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este\Desktop\New Transport Outlook Model Page\"/>
    </mc:Choice>
  </mc:AlternateContent>
  <bookViews>
    <workbookView xWindow="105" yWindow="6570" windowWidth="28860" windowHeight="6765" activeTab="1"/>
  </bookViews>
  <sheets>
    <sheet name="Provenance" sheetId="21" r:id="rId1"/>
    <sheet name="Total Trip Tables" sheetId="6" r:id="rId2"/>
    <sheet name="Total Distance Tables" sheetId="12" r:id="rId3"/>
    <sheet name="Total Duration Tables" sheetId="13" r:id="rId4"/>
    <sheet name="Total Trip Tables Sup #2" sheetId="18" r:id="rId5"/>
    <sheet name="Total Trip Tables Sup #1" sheetId="9" r:id="rId6"/>
    <sheet name="Total Trip Tables Original" sheetId="3" r:id="rId7"/>
    <sheet name="Total Distance Tables Sup #2" sheetId="16" r:id="rId8"/>
    <sheet name="Total Distance Tables Sup #1" sheetId="10" r:id="rId9"/>
    <sheet name="Total Distance Tables Original" sheetId="4" r:id="rId10"/>
    <sheet name="Total Duration Tables Sup #2" sheetId="17" r:id="rId11"/>
    <sheet name="Total Duration Tables Sup #1" sheetId="11" r:id="rId12"/>
    <sheet name="Total Duration Tables Original" sheetId="5" r:id="rId13"/>
    <sheet name="Original Population" sheetId="20" r:id="rId14"/>
    <sheet name="Updated Population" sheetId="7" r:id="rId15"/>
    <sheet name="Formatted Trip Summary" sheetId="2" r:id="rId16"/>
    <sheet name="Unformatted Trip Summary" sheetId="1" r:id="rId17"/>
    <sheet name="Active Mode Assumptions" sheetId="19" r:id="rId18"/>
    <sheet name="PT Assumptions" sheetId="15" r:id="rId19"/>
    <sheet name="Other Assumptions" sheetId="8" r:id="rId20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Auckland_Reference">'Formatted Trip Summary'!$A$81</definedName>
    <definedName name="BOP_Reference">'Formatted Trip Summary'!$A$249</definedName>
    <definedName name="Canterbury_Reference">'Formatted Trip Summary'!$A$858</definedName>
    <definedName name="Gisborne_Reference">'Formatted Trip Summary'!$A$319</definedName>
    <definedName name="Hawkes_Bay_Reference">'Formatted Trip Summary'!$A$403</definedName>
    <definedName name="Manawatu_Reference">'Formatted Trip Summary'!$A$550</definedName>
    <definedName name="Nelson_Reference">'Formatted Trip Summary'!$A$711</definedName>
    <definedName name="Northland_Reference">'Formatted Trip Summary'!$A$4</definedName>
    <definedName name="Otago_Reference">'Formatted Trip Summary'!$A$935</definedName>
    <definedName name="Southland_Reference">'Formatted Trip Summary'!$A$1005</definedName>
    <definedName name="Taranaki_Reference">'Formatted Trip Summary'!$A$473</definedName>
    <definedName name="Waikato_Reference">'Formatted Trip Summary'!$A$165</definedName>
    <definedName name="Wellington_Reference">'Formatted Trip Summary'!$A$627</definedName>
    <definedName name="West_Coast_Reference">'Formatted Trip Summary'!$A$788</definedName>
  </definedNames>
  <calcPr calcId="162913"/>
</workbook>
</file>

<file path=xl/calcChain.xml><?xml version="1.0" encoding="utf-8"?>
<calcChain xmlns="http://schemas.openxmlformats.org/spreadsheetml/2006/main">
  <c r="I158" i="7" l="1"/>
  <c r="J158" i="7"/>
  <c r="K158" i="7"/>
  <c r="I147" i="7"/>
  <c r="J147" i="7"/>
  <c r="K147" i="7"/>
  <c r="I136" i="7"/>
  <c r="J136" i="7"/>
  <c r="K136" i="7"/>
  <c r="I125" i="7"/>
  <c r="J125" i="7"/>
  <c r="K125" i="7"/>
  <c r="I114" i="7"/>
  <c r="J114" i="7"/>
  <c r="K114" i="7"/>
  <c r="I103" i="7"/>
  <c r="J103" i="7"/>
  <c r="K103" i="7"/>
  <c r="I92" i="7"/>
  <c r="J92" i="7"/>
  <c r="K92" i="7"/>
  <c r="I81" i="7"/>
  <c r="J81" i="7"/>
  <c r="K81" i="7"/>
  <c r="I70" i="7"/>
  <c r="J70" i="7"/>
  <c r="K70" i="7"/>
  <c r="I59" i="7"/>
  <c r="J59" i="7"/>
  <c r="K59" i="7"/>
  <c r="K48" i="7"/>
  <c r="I48" i="7"/>
  <c r="J48" i="7"/>
  <c r="I37" i="7"/>
  <c r="J37" i="7"/>
  <c r="K37" i="7"/>
  <c r="I26" i="7"/>
  <c r="J26" i="7"/>
  <c r="K26" i="7"/>
  <c r="I15" i="7"/>
  <c r="J15" i="7"/>
  <c r="K15" i="7"/>
  <c r="I4" i="7"/>
  <c r="J4" i="7"/>
  <c r="K4" i="7"/>
  <c r="J169" i="7" l="1"/>
  <c r="I169" i="7"/>
  <c r="K169" i="7"/>
  <c r="O95" i="8"/>
  <c r="N95" i="8"/>
  <c r="M95" i="8"/>
  <c r="O94" i="8"/>
  <c r="N94" i="8"/>
  <c r="M94" i="8"/>
  <c r="O93" i="8"/>
  <c r="N93" i="8"/>
  <c r="M93" i="8"/>
  <c r="O92" i="8"/>
  <c r="N92" i="8"/>
  <c r="M92" i="8"/>
  <c r="O91" i="8"/>
  <c r="N91" i="8"/>
  <c r="M91" i="8"/>
  <c r="O89" i="8"/>
  <c r="N89" i="8"/>
  <c r="M89" i="8"/>
  <c r="O88" i="8"/>
  <c r="N88" i="8"/>
  <c r="M88" i="8"/>
  <c r="O84" i="8"/>
  <c r="N84" i="8"/>
  <c r="M84" i="8"/>
  <c r="O83" i="8"/>
  <c r="N83" i="8"/>
  <c r="M83" i="8"/>
  <c r="O82" i="8"/>
  <c r="N82" i="8"/>
  <c r="M82" i="8"/>
  <c r="O81" i="8"/>
  <c r="N81" i="8"/>
  <c r="M81" i="8"/>
  <c r="O80" i="8"/>
  <c r="N80" i="8"/>
  <c r="M80" i="8"/>
  <c r="O78" i="8"/>
  <c r="N78" i="8"/>
  <c r="M78" i="8"/>
  <c r="O77" i="8"/>
  <c r="N77" i="8"/>
  <c r="M77" i="8"/>
  <c r="O73" i="8"/>
  <c r="N73" i="8"/>
  <c r="M73" i="8"/>
  <c r="O72" i="8"/>
  <c r="N72" i="8"/>
  <c r="M72" i="8"/>
  <c r="O71" i="8"/>
  <c r="N71" i="8"/>
  <c r="M71" i="8"/>
  <c r="O70" i="8"/>
  <c r="N70" i="8"/>
  <c r="M70" i="8"/>
  <c r="O69" i="8"/>
  <c r="N69" i="8"/>
  <c r="M69" i="8"/>
  <c r="O67" i="8"/>
  <c r="N67" i="8"/>
  <c r="M67" i="8"/>
  <c r="O66" i="8"/>
  <c r="N66" i="8"/>
  <c r="M66" i="8"/>
  <c r="O57" i="8"/>
  <c r="N57" i="8"/>
  <c r="M57" i="8"/>
  <c r="O56" i="8"/>
  <c r="N56" i="8"/>
  <c r="M56" i="8"/>
  <c r="O55" i="8"/>
  <c r="N55" i="8"/>
  <c r="M55" i="8"/>
  <c r="O54" i="8"/>
  <c r="N54" i="8"/>
  <c r="M54" i="8"/>
  <c r="O53" i="8"/>
  <c r="N53" i="8"/>
  <c r="M53" i="8"/>
  <c r="O52" i="8"/>
  <c r="N52" i="8"/>
  <c r="M52" i="8"/>
  <c r="O51" i="8"/>
  <c r="N51" i="8"/>
  <c r="M51" i="8"/>
  <c r="O50" i="8"/>
  <c r="N50" i="8"/>
  <c r="M50" i="8"/>
  <c r="O49" i="8"/>
  <c r="N49" i="8"/>
  <c r="M49" i="8"/>
  <c r="O48" i="8"/>
  <c r="N48" i="8"/>
  <c r="M48" i="8"/>
  <c r="O47" i="8"/>
  <c r="N47" i="8"/>
  <c r="M47" i="8"/>
  <c r="O46" i="8"/>
  <c r="N46" i="8"/>
  <c r="M46" i="8"/>
  <c r="O45" i="8"/>
  <c r="N45" i="8"/>
  <c r="M45" i="8"/>
  <c r="O44" i="8"/>
  <c r="N44" i="8"/>
  <c r="M44" i="8"/>
  <c r="O38" i="8"/>
  <c r="N38" i="8"/>
  <c r="M38" i="8"/>
  <c r="O37" i="8"/>
  <c r="N37" i="8"/>
  <c r="M37" i="8"/>
  <c r="O36" i="8"/>
  <c r="N36" i="8"/>
  <c r="M36" i="8"/>
  <c r="O35" i="8"/>
  <c r="N35" i="8"/>
  <c r="M35" i="8"/>
  <c r="O34" i="8"/>
  <c r="N34" i="8"/>
  <c r="M34" i="8"/>
  <c r="O33" i="8"/>
  <c r="N33" i="8"/>
  <c r="M33" i="8"/>
  <c r="O32" i="8"/>
  <c r="N32" i="8"/>
  <c r="M32" i="8"/>
  <c r="O31" i="8"/>
  <c r="N31" i="8"/>
  <c r="M31" i="8"/>
  <c r="O30" i="8"/>
  <c r="N30" i="8"/>
  <c r="M30" i="8"/>
  <c r="O29" i="8"/>
  <c r="N29" i="8"/>
  <c r="M29" i="8"/>
  <c r="O28" i="8"/>
  <c r="N28" i="8"/>
  <c r="M28" i="8"/>
  <c r="O27" i="8"/>
  <c r="N27" i="8"/>
  <c r="M27" i="8"/>
  <c r="O26" i="8"/>
  <c r="N26" i="8"/>
  <c r="M26" i="8"/>
  <c r="O25" i="8"/>
  <c r="N25" i="8"/>
  <c r="M25" i="8"/>
  <c r="O19" i="8"/>
  <c r="N19" i="8"/>
  <c r="M19" i="8"/>
  <c r="O18" i="8"/>
  <c r="N18" i="8"/>
  <c r="M18" i="8"/>
  <c r="O17" i="8"/>
  <c r="N17" i="8"/>
  <c r="M17" i="8"/>
  <c r="O16" i="8"/>
  <c r="N16" i="8"/>
  <c r="M16" i="8"/>
  <c r="O15" i="8"/>
  <c r="N15" i="8"/>
  <c r="M15" i="8"/>
  <c r="O14" i="8"/>
  <c r="N14" i="8"/>
  <c r="M14" i="8"/>
  <c r="O13" i="8"/>
  <c r="N13" i="8"/>
  <c r="M13" i="8"/>
  <c r="O12" i="8"/>
  <c r="N12" i="8"/>
  <c r="M12" i="8"/>
  <c r="O11" i="8"/>
  <c r="N11" i="8"/>
  <c r="M11" i="8"/>
  <c r="O10" i="8"/>
  <c r="N10" i="8"/>
  <c r="M10" i="8"/>
  <c r="O9" i="8"/>
  <c r="N9" i="8"/>
  <c r="M9" i="8"/>
  <c r="O8" i="8"/>
  <c r="N8" i="8"/>
  <c r="M8" i="8"/>
  <c r="O7" i="8"/>
  <c r="N7" i="8"/>
  <c r="M7" i="8"/>
  <c r="O6" i="8"/>
  <c r="N6" i="8"/>
  <c r="M6" i="8"/>
  <c r="F57" i="8"/>
  <c r="E57" i="8"/>
  <c r="F56" i="8"/>
  <c r="E56" i="8"/>
  <c r="F55" i="8"/>
  <c r="E55" i="8"/>
  <c r="F54" i="8"/>
  <c r="E54" i="8"/>
  <c r="F53" i="8"/>
  <c r="E53" i="8"/>
  <c r="F52" i="8"/>
  <c r="E52" i="8"/>
  <c r="F51" i="8"/>
  <c r="E51" i="8"/>
  <c r="F50" i="8"/>
  <c r="E50" i="8"/>
  <c r="F49" i="8"/>
  <c r="E49" i="8"/>
  <c r="F48" i="8"/>
  <c r="E48" i="8"/>
  <c r="F47" i="8"/>
  <c r="E47" i="8"/>
  <c r="F46" i="8"/>
  <c r="E46" i="8"/>
  <c r="F45" i="8"/>
  <c r="E45" i="8"/>
  <c r="F44" i="8"/>
  <c r="E44" i="8"/>
  <c r="F38" i="8"/>
  <c r="E38" i="8"/>
  <c r="F37" i="8"/>
  <c r="E37" i="8"/>
  <c r="F36" i="8"/>
  <c r="E36" i="8"/>
  <c r="F35" i="8"/>
  <c r="E35" i="8"/>
  <c r="F34" i="8"/>
  <c r="E34" i="8"/>
  <c r="F33" i="8"/>
  <c r="E33" i="8"/>
  <c r="F32" i="8"/>
  <c r="E32" i="8"/>
  <c r="F31" i="8"/>
  <c r="E31" i="8"/>
  <c r="F30" i="8"/>
  <c r="E30" i="8"/>
  <c r="F29" i="8"/>
  <c r="E29" i="8"/>
  <c r="F28" i="8"/>
  <c r="E28" i="8"/>
  <c r="F27" i="8"/>
  <c r="E27" i="8"/>
  <c r="F26" i="8"/>
  <c r="E26" i="8"/>
  <c r="F25" i="8"/>
  <c r="E25" i="8"/>
  <c r="F19" i="8"/>
  <c r="E19" i="8"/>
  <c r="F18" i="8"/>
  <c r="E18" i="8"/>
  <c r="F17" i="8"/>
  <c r="E17" i="8"/>
  <c r="F16" i="8"/>
  <c r="E16" i="8"/>
  <c r="F15" i="8"/>
  <c r="E15" i="8"/>
  <c r="F14" i="8"/>
  <c r="E14" i="8"/>
  <c r="F13" i="8"/>
  <c r="E13" i="8"/>
  <c r="F12" i="8"/>
  <c r="E12" i="8"/>
  <c r="F11" i="8"/>
  <c r="E11" i="8"/>
  <c r="F10" i="8"/>
  <c r="E10" i="8"/>
  <c r="F9" i="8"/>
  <c r="E9" i="8"/>
  <c r="F8" i="8"/>
  <c r="E8" i="8"/>
  <c r="F7" i="8"/>
  <c r="E7" i="8"/>
  <c r="F6" i="8"/>
  <c r="E6" i="8"/>
  <c r="J1072" i="1" l="1"/>
  <c r="I1072" i="1"/>
  <c r="H1072" i="1"/>
  <c r="G1072" i="1"/>
  <c r="F1072" i="1"/>
  <c r="E1072" i="1"/>
  <c r="D1072" i="1"/>
  <c r="C1072" i="1"/>
  <c r="B1072" i="1"/>
  <c r="A1072" i="1"/>
  <c r="J1071" i="1"/>
  <c r="I1071" i="1"/>
  <c r="H1071" i="1"/>
  <c r="G1071" i="1"/>
  <c r="F1071" i="1"/>
  <c r="E1071" i="1"/>
  <c r="D1071" i="1"/>
  <c r="C1071" i="1"/>
  <c r="B1071" i="1"/>
  <c r="A1071" i="1"/>
  <c r="J1070" i="1"/>
  <c r="I1070" i="1"/>
  <c r="H1070" i="1"/>
  <c r="G1070" i="1"/>
  <c r="F1070" i="1"/>
  <c r="E1070" i="1"/>
  <c r="D1070" i="1"/>
  <c r="C1070" i="1"/>
  <c r="B1070" i="1"/>
  <c r="A1070" i="1"/>
  <c r="J1069" i="1"/>
  <c r="I1069" i="1"/>
  <c r="H1069" i="1"/>
  <c r="G1069" i="1"/>
  <c r="F1069" i="1"/>
  <c r="E1069" i="1"/>
  <c r="D1069" i="1"/>
  <c r="C1069" i="1"/>
  <c r="B1069" i="1"/>
  <c r="A1069" i="1"/>
  <c r="J1068" i="1"/>
  <c r="I1068" i="1"/>
  <c r="H1068" i="1"/>
  <c r="G1068" i="1"/>
  <c r="F1068" i="1"/>
  <c r="E1068" i="1"/>
  <c r="D1068" i="1"/>
  <c r="C1068" i="1"/>
  <c r="B1068" i="1"/>
  <c r="A1068" i="1"/>
  <c r="J1067" i="1"/>
  <c r="I1067" i="1"/>
  <c r="H1067" i="1"/>
  <c r="G1067" i="1"/>
  <c r="F1067" i="1"/>
  <c r="E1067" i="1"/>
  <c r="D1067" i="1"/>
  <c r="C1067" i="1"/>
  <c r="B1067" i="1"/>
  <c r="A1067" i="1"/>
  <c r="J1066" i="1"/>
  <c r="I1066" i="1"/>
  <c r="H1066" i="1"/>
  <c r="G1066" i="1"/>
  <c r="F1066" i="1"/>
  <c r="E1066" i="1"/>
  <c r="D1066" i="1"/>
  <c r="C1066" i="1"/>
  <c r="B1066" i="1"/>
  <c r="A1066" i="1"/>
  <c r="J1065" i="1"/>
  <c r="I1065" i="1"/>
  <c r="H1065" i="1"/>
  <c r="G1065" i="1"/>
  <c r="F1065" i="1"/>
  <c r="E1065" i="1"/>
  <c r="D1065" i="1"/>
  <c r="C1065" i="1"/>
  <c r="B1065" i="1"/>
  <c r="A1065" i="1"/>
  <c r="J1064" i="1"/>
  <c r="I1064" i="1"/>
  <c r="H1064" i="1"/>
  <c r="G1064" i="1"/>
  <c r="F1064" i="1"/>
  <c r="E1064" i="1"/>
  <c r="D1064" i="1"/>
  <c r="C1064" i="1"/>
  <c r="B1064" i="1"/>
  <c r="A1064" i="1"/>
  <c r="J1063" i="1"/>
  <c r="I1063" i="1"/>
  <c r="H1063" i="1"/>
  <c r="G1063" i="1"/>
  <c r="F1063" i="1"/>
  <c r="E1063" i="1"/>
  <c r="D1063" i="1"/>
  <c r="C1063" i="1"/>
  <c r="B1063" i="1"/>
  <c r="A1063" i="1"/>
  <c r="J1062" i="1"/>
  <c r="I1062" i="1"/>
  <c r="H1062" i="1"/>
  <c r="G1062" i="1"/>
  <c r="F1062" i="1"/>
  <c r="E1062" i="1"/>
  <c r="D1062" i="1"/>
  <c r="C1062" i="1"/>
  <c r="B1062" i="1"/>
  <c r="A1062" i="1"/>
  <c r="J1061" i="1"/>
  <c r="I1061" i="1"/>
  <c r="H1061" i="1"/>
  <c r="G1061" i="1"/>
  <c r="F1061" i="1"/>
  <c r="E1061" i="1"/>
  <c r="D1061" i="1"/>
  <c r="C1061" i="1"/>
  <c r="B1061" i="1"/>
  <c r="A1061" i="1"/>
  <c r="J1060" i="1"/>
  <c r="I1060" i="1"/>
  <c r="H1060" i="1"/>
  <c r="G1060" i="1"/>
  <c r="F1060" i="1"/>
  <c r="E1060" i="1"/>
  <c r="D1060" i="1"/>
  <c r="C1060" i="1"/>
  <c r="B1060" i="1"/>
  <c r="A1060" i="1"/>
  <c r="J1059" i="1"/>
  <c r="I1059" i="1"/>
  <c r="H1059" i="1"/>
  <c r="G1059" i="1"/>
  <c r="F1059" i="1"/>
  <c r="E1059" i="1"/>
  <c r="D1059" i="1"/>
  <c r="C1059" i="1"/>
  <c r="B1059" i="1"/>
  <c r="A1059" i="1"/>
  <c r="J1058" i="1"/>
  <c r="I1058" i="1"/>
  <c r="H1058" i="1"/>
  <c r="G1058" i="1"/>
  <c r="F1058" i="1"/>
  <c r="E1058" i="1"/>
  <c r="D1058" i="1"/>
  <c r="C1058" i="1"/>
  <c r="B1058" i="1"/>
  <c r="A1058" i="1"/>
  <c r="J1057" i="1"/>
  <c r="I1057" i="1"/>
  <c r="H1057" i="1"/>
  <c r="G1057" i="1"/>
  <c r="F1057" i="1"/>
  <c r="E1057" i="1"/>
  <c r="D1057" i="1"/>
  <c r="C1057" i="1"/>
  <c r="B1057" i="1"/>
  <c r="A1057" i="1"/>
  <c r="J1056" i="1"/>
  <c r="I1056" i="1"/>
  <c r="H1056" i="1"/>
  <c r="G1056" i="1"/>
  <c r="F1056" i="1"/>
  <c r="E1056" i="1"/>
  <c r="D1056" i="1"/>
  <c r="C1056" i="1"/>
  <c r="B1056" i="1"/>
  <c r="A1056" i="1"/>
  <c r="J1055" i="1"/>
  <c r="I1055" i="1"/>
  <c r="H1055" i="1"/>
  <c r="G1055" i="1"/>
  <c r="F1055" i="1"/>
  <c r="E1055" i="1"/>
  <c r="D1055" i="1"/>
  <c r="C1055" i="1"/>
  <c r="B1055" i="1"/>
  <c r="A1055" i="1"/>
  <c r="J1054" i="1"/>
  <c r="I1054" i="1"/>
  <c r="H1054" i="1"/>
  <c r="G1054" i="1"/>
  <c r="F1054" i="1"/>
  <c r="E1054" i="1"/>
  <c r="D1054" i="1"/>
  <c r="C1054" i="1"/>
  <c r="B1054" i="1"/>
  <c r="A1054" i="1"/>
  <c r="J1053" i="1"/>
  <c r="I1053" i="1"/>
  <c r="H1053" i="1"/>
  <c r="G1053" i="1"/>
  <c r="F1053" i="1"/>
  <c r="E1053" i="1"/>
  <c r="D1053" i="1"/>
  <c r="C1053" i="1"/>
  <c r="B1053" i="1"/>
  <c r="A1053" i="1"/>
  <c r="J1052" i="1"/>
  <c r="I1052" i="1"/>
  <c r="H1052" i="1"/>
  <c r="G1052" i="1"/>
  <c r="F1052" i="1"/>
  <c r="E1052" i="1"/>
  <c r="D1052" i="1"/>
  <c r="C1052" i="1"/>
  <c r="B1052" i="1"/>
  <c r="A1052" i="1"/>
  <c r="J1051" i="1"/>
  <c r="I1051" i="1"/>
  <c r="H1051" i="1"/>
  <c r="G1051" i="1"/>
  <c r="F1051" i="1"/>
  <c r="E1051" i="1"/>
  <c r="D1051" i="1"/>
  <c r="C1051" i="1"/>
  <c r="B1051" i="1"/>
  <c r="A1051" i="1"/>
  <c r="J1050" i="1"/>
  <c r="I1050" i="1"/>
  <c r="H1050" i="1"/>
  <c r="G1050" i="1"/>
  <c r="F1050" i="1"/>
  <c r="E1050" i="1"/>
  <c r="D1050" i="1"/>
  <c r="C1050" i="1"/>
  <c r="B1050" i="1"/>
  <c r="A1050" i="1"/>
  <c r="J1049" i="1"/>
  <c r="I1049" i="1"/>
  <c r="H1049" i="1"/>
  <c r="G1049" i="1"/>
  <c r="F1049" i="1"/>
  <c r="E1049" i="1"/>
  <c r="D1049" i="1"/>
  <c r="C1049" i="1"/>
  <c r="B1049" i="1"/>
  <c r="A1049" i="1"/>
  <c r="J1048" i="1"/>
  <c r="I1048" i="1"/>
  <c r="H1048" i="1"/>
  <c r="G1048" i="1"/>
  <c r="F1048" i="1"/>
  <c r="E1048" i="1"/>
  <c r="D1048" i="1"/>
  <c r="C1048" i="1"/>
  <c r="B1048" i="1"/>
  <c r="A1048" i="1"/>
  <c r="J1047" i="1"/>
  <c r="I1047" i="1"/>
  <c r="H1047" i="1"/>
  <c r="G1047" i="1"/>
  <c r="F1047" i="1"/>
  <c r="E1047" i="1"/>
  <c r="D1047" i="1"/>
  <c r="C1047" i="1"/>
  <c r="B1047" i="1"/>
  <c r="A1047" i="1"/>
  <c r="J1046" i="1"/>
  <c r="I1046" i="1"/>
  <c r="H1046" i="1"/>
  <c r="G1046" i="1"/>
  <c r="F1046" i="1"/>
  <c r="E1046" i="1"/>
  <c r="D1046" i="1"/>
  <c r="C1046" i="1"/>
  <c r="B1046" i="1"/>
  <c r="A1046" i="1"/>
  <c r="J1045" i="1"/>
  <c r="I1045" i="1"/>
  <c r="H1045" i="1"/>
  <c r="G1045" i="1"/>
  <c r="F1045" i="1"/>
  <c r="E1045" i="1"/>
  <c r="D1045" i="1"/>
  <c r="C1045" i="1"/>
  <c r="B1045" i="1"/>
  <c r="A1045" i="1"/>
  <c r="J1044" i="1"/>
  <c r="I1044" i="1"/>
  <c r="H1044" i="1"/>
  <c r="G1044" i="1"/>
  <c r="F1044" i="1"/>
  <c r="E1044" i="1"/>
  <c r="D1044" i="1"/>
  <c r="C1044" i="1"/>
  <c r="B1044" i="1"/>
  <c r="A1044" i="1"/>
  <c r="J1043" i="1"/>
  <c r="I1043" i="1"/>
  <c r="H1043" i="1"/>
  <c r="G1043" i="1"/>
  <c r="F1043" i="1"/>
  <c r="E1043" i="1"/>
  <c r="D1043" i="1"/>
  <c r="C1043" i="1"/>
  <c r="B1043" i="1"/>
  <c r="A1043" i="1"/>
  <c r="J1042" i="1"/>
  <c r="I1042" i="1"/>
  <c r="H1042" i="1"/>
  <c r="G1042" i="1"/>
  <c r="F1042" i="1"/>
  <c r="E1042" i="1"/>
  <c r="D1042" i="1"/>
  <c r="C1042" i="1"/>
  <c r="B1042" i="1"/>
  <c r="A1042" i="1"/>
  <c r="J1041" i="1"/>
  <c r="I1041" i="1"/>
  <c r="H1041" i="1"/>
  <c r="G1041" i="1"/>
  <c r="F1041" i="1"/>
  <c r="E1041" i="1"/>
  <c r="D1041" i="1"/>
  <c r="C1041" i="1"/>
  <c r="B1041" i="1"/>
  <c r="A1041" i="1"/>
  <c r="J1040" i="1"/>
  <c r="I1040" i="1"/>
  <c r="H1040" i="1"/>
  <c r="G1040" i="1"/>
  <c r="F1040" i="1"/>
  <c r="E1040" i="1"/>
  <c r="D1040" i="1"/>
  <c r="C1040" i="1"/>
  <c r="B1040" i="1"/>
  <c r="A1040" i="1"/>
  <c r="J1039" i="1"/>
  <c r="I1039" i="1"/>
  <c r="H1039" i="1"/>
  <c r="G1039" i="1"/>
  <c r="F1039" i="1"/>
  <c r="E1039" i="1"/>
  <c r="D1039" i="1"/>
  <c r="C1039" i="1"/>
  <c r="B1039" i="1"/>
  <c r="A1039" i="1"/>
  <c r="J1038" i="1"/>
  <c r="I1038" i="1"/>
  <c r="H1038" i="1"/>
  <c r="G1038" i="1"/>
  <c r="F1038" i="1"/>
  <c r="E1038" i="1"/>
  <c r="D1038" i="1"/>
  <c r="C1038" i="1"/>
  <c r="B1038" i="1"/>
  <c r="A1038" i="1"/>
  <c r="J1037" i="1"/>
  <c r="H1037" i="1"/>
  <c r="G1037" i="1"/>
  <c r="F1037" i="1"/>
  <c r="E1037" i="1"/>
  <c r="D1037" i="1"/>
  <c r="C1037" i="1"/>
  <c r="B1037" i="1"/>
  <c r="A1037" i="1"/>
  <c r="J1036" i="1"/>
  <c r="H1036" i="1"/>
  <c r="G1036" i="1"/>
  <c r="F1036" i="1"/>
  <c r="E1036" i="1"/>
  <c r="D1036" i="1"/>
  <c r="C1036" i="1"/>
  <c r="B1036" i="1"/>
  <c r="A1036" i="1"/>
  <c r="J1035" i="1"/>
  <c r="H1035" i="1"/>
  <c r="G1035" i="1"/>
  <c r="F1035" i="1"/>
  <c r="E1035" i="1"/>
  <c r="D1035" i="1"/>
  <c r="C1035" i="1"/>
  <c r="B1035" i="1"/>
  <c r="A1035" i="1"/>
  <c r="J1034" i="1"/>
  <c r="H1034" i="1"/>
  <c r="G1034" i="1"/>
  <c r="F1034" i="1"/>
  <c r="E1034" i="1"/>
  <c r="D1034" i="1"/>
  <c r="C1034" i="1"/>
  <c r="B1034" i="1"/>
  <c r="A1034" i="1"/>
  <c r="J1033" i="1"/>
  <c r="H1033" i="1"/>
  <c r="G1033" i="1"/>
  <c r="F1033" i="1"/>
  <c r="E1033" i="1"/>
  <c r="D1033" i="1"/>
  <c r="C1033" i="1"/>
  <c r="B1033" i="1"/>
  <c r="A1033" i="1"/>
  <c r="J1032" i="1"/>
  <c r="H1032" i="1"/>
  <c r="G1032" i="1"/>
  <c r="F1032" i="1"/>
  <c r="E1032" i="1"/>
  <c r="D1032" i="1"/>
  <c r="C1032" i="1"/>
  <c r="B1032" i="1"/>
  <c r="A1032" i="1"/>
  <c r="J1031" i="1"/>
  <c r="H1031" i="1"/>
  <c r="G1031" i="1"/>
  <c r="F1031" i="1"/>
  <c r="E1031" i="1"/>
  <c r="D1031" i="1"/>
  <c r="C1031" i="1"/>
  <c r="B1031" i="1"/>
  <c r="A1031" i="1"/>
  <c r="J1030" i="1"/>
  <c r="I1030" i="1"/>
  <c r="H1030" i="1"/>
  <c r="G1030" i="1"/>
  <c r="F1030" i="1"/>
  <c r="E1030" i="1"/>
  <c r="D1030" i="1"/>
  <c r="C1030" i="1"/>
  <c r="B1030" i="1"/>
  <c r="A1030" i="1"/>
  <c r="J1029" i="1"/>
  <c r="I1029" i="1"/>
  <c r="H1029" i="1"/>
  <c r="G1029" i="1"/>
  <c r="F1029" i="1"/>
  <c r="E1029" i="1"/>
  <c r="D1029" i="1"/>
  <c r="C1029" i="1"/>
  <c r="B1029" i="1"/>
  <c r="A1029" i="1"/>
  <c r="J1028" i="1"/>
  <c r="I1028" i="1"/>
  <c r="H1028" i="1"/>
  <c r="G1028" i="1"/>
  <c r="F1028" i="1"/>
  <c r="E1028" i="1"/>
  <c r="D1028" i="1"/>
  <c r="C1028" i="1"/>
  <c r="B1028" i="1"/>
  <c r="A1028" i="1"/>
  <c r="J1027" i="1"/>
  <c r="I1027" i="1"/>
  <c r="H1027" i="1"/>
  <c r="G1027" i="1"/>
  <c r="F1027" i="1"/>
  <c r="E1027" i="1"/>
  <c r="D1027" i="1"/>
  <c r="C1027" i="1"/>
  <c r="B1027" i="1"/>
  <c r="A1027" i="1"/>
  <c r="J1026" i="1"/>
  <c r="I1026" i="1"/>
  <c r="H1026" i="1"/>
  <c r="G1026" i="1"/>
  <c r="F1026" i="1"/>
  <c r="E1026" i="1"/>
  <c r="D1026" i="1"/>
  <c r="C1026" i="1"/>
  <c r="B1026" i="1"/>
  <c r="A1026" i="1"/>
  <c r="J1025" i="1"/>
  <c r="I1025" i="1"/>
  <c r="H1025" i="1"/>
  <c r="G1025" i="1"/>
  <c r="F1025" i="1"/>
  <c r="E1025" i="1"/>
  <c r="D1025" i="1"/>
  <c r="C1025" i="1"/>
  <c r="B1025" i="1"/>
  <c r="A1025" i="1"/>
  <c r="J1024" i="1"/>
  <c r="I1024" i="1"/>
  <c r="H1024" i="1"/>
  <c r="G1024" i="1"/>
  <c r="F1024" i="1"/>
  <c r="E1024" i="1"/>
  <c r="D1024" i="1"/>
  <c r="C1024" i="1"/>
  <c r="B1024" i="1"/>
  <c r="A1024" i="1"/>
  <c r="J1023" i="1"/>
  <c r="I1023" i="1"/>
  <c r="H1023" i="1"/>
  <c r="G1023" i="1"/>
  <c r="F1023" i="1"/>
  <c r="E1023" i="1"/>
  <c r="D1023" i="1"/>
  <c r="C1023" i="1"/>
  <c r="B1023" i="1"/>
  <c r="A1023" i="1"/>
  <c r="J1022" i="1"/>
  <c r="I1022" i="1"/>
  <c r="H1022" i="1"/>
  <c r="G1022" i="1"/>
  <c r="F1022" i="1"/>
  <c r="E1022" i="1"/>
  <c r="D1022" i="1"/>
  <c r="C1022" i="1"/>
  <c r="B1022" i="1"/>
  <c r="A1022" i="1"/>
  <c r="J1021" i="1"/>
  <c r="I1021" i="1"/>
  <c r="H1021" i="1"/>
  <c r="G1021" i="1"/>
  <c r="F1021" i="1"/>
  <c r="E1021" i="1"/>
  <c r="D1021" i="1"/>
  <c r="C1021" i="1"/>
  <c r="B1021" i="1"/>
  <c r="A1021" i="1"/>
  <c r="J1020" i="1"/>
  <c r="I1020" i="1"/>
  <c r="H1020" i="1"/>
  <c r="G1020" i="1"/>
  <c r="F1020" i="1"/>
  <c r="E1020" i="1"/>
  <c r="D1020" i="1"/>
  <c r="C1020" i="1"/>
  <c r="B1020" i="1"/>
  <c r="A1020" i="1"/>
  <c r="J1019" i="1"/>
  <c r="I1019" i="1"/>
  <c r="H1019" i="1"/>
  <c r="G1019" i="1"/>
  <c r="F1019" i="1"/>
  <c r="E1019" i="1"/>
  <c r="D1019" i="1"/>
  <c r="C1019" i="1"/>
  <c r="B1019" i="1"/>
  <c r="A1019" i="1"/>
  <c r="J1018" i="1"/>
  <c r="I1018" i="1"/>
  <c r="H1018" i="1"/>
  <c r="G1018" i="1"/>
  <c r="F1018" i="1"/>
  <c r="E1018" i="1"/>
  <c r="D1018" i="1"/>
  <c r="C1018" i="1"/>
  <c r="B1018" i="1"/>
  <c r="A1018" i="1"/>
  <c r="J1017" i="1"/>
  <c r="I1017" i="1"/>
  <c r="H1017" i="1"/>
  <c r="G1017" i="1"/>
  <c r="F1017" i="1"/>
  <c r="E1017" i="1"/>
  <c r="D1017" i="1"/>
  <c r="C1017" i="1"/>
  <c r="B1017" i="1"/>
  <c r="A1017" i="1"/>
  <c r="J1016" i="1"/>
  <c r="I1016" i="1"/>
  <c r="H1016" i="1"/>
  <c r="G1016" i="1"/>
  <c r="F1016" i="1"/>
  <c r="E1016" i="1"/>
  <c r="D1016" i="1"/>
  <c r="C1016" i="1"/>
  <c r="B1016" i="1"/>
  <c r="A1016" i="1"/>
  <c r="J1015" i="1"/>
  <c r="I1015" i="1"/>
  <c r="H1015" i="1"/>
  <c r="G1015" i="1"/>
  <c r="F1015" i="1"/>
  <c r="E1015" i="1"/>
  <c r="D1015" i="1"/>
  <c r="C1015" i="1"/>
  <c r="B1015" i="1"/>
  <c r="A1015" i="1"/>
  <c r="J1014" i="1"/>
  <c r="I1014" i="1"/>
  <c r="H1014" i="1"/>
  <c r="G1014" i="1"/>
  <c r="F1014" i="1"/>
  <c r="E1014" i="1"/>
  <c r="D1014" i="1"/>
  <c r="C1014" i="1"/>
  <c r="B1014" i="1"/>
  <c r="A1014" i="1"/>
  <c r="J1013" i="1"/>
  <c r="I1013" i="1"/>
  <c r="H1013" i="1"/>
  <c r="G1013" i="1"/>
  <c r="F1013" i="1"/>
  <c r="E1013" i="1"/>
  <c r="D1013" i="1"/>
  <c r="C1013" i="1"/>
  <c r="B1013" i="1"/>
  <c r="A1013" i="1"/>
  <c r="J1012" i="1"/>
  <c r="I1012" i="1"/>
  <c r="H1012" i="1"/>
  <c r="G1012" i="1"/>
  <c r="F1012" i="1"/>
  <c r="E1012" i="1"/>
  <c r="D1012" i="1"/>
  <c r="C1012" i="1"/>
  <c r="B1012" i="1"/>
  <c r="A1012" i="1"/>
  <c r="J1011" i="1"/>
  <c r="I1011" i="1"/>
  <c r="H1011" i="1"/>
  <c r="G1011" i="1"/>
  <c r="F1011" i="1"/>
  <c r="E1011" i="1"/>
  <c r="D1011" i="1"/>
  <c r="C1011" i="1"/>
  <c r="B1011" i="1"/>
  <c r="A1011" i="1"/>
  <c r="J1010" i="1"/>
  <c r="I1010" i="1"/>
  <c r="H1010" i="1"/>
  <c r="G1010" i="1"/>
  <c r="F1010" i="1"/>
  <c r="E1010" i="1"/>
  <c r="D1010" i="1"/>
  <c r="C1010" i="1"/>
  <c r="B1010" i="1"/>
  <c r="A1010" i="1"/>
  <c r="J1009" i="1"/>
  <c r="I1009" i="1"/>
  <c r="H1009" i="1"/>
  <c r="G1009" i="1"/>
  <c r="F1009" i="1"/>
  <c r="E1009" i="1"/>
  <c r="D1009" i="1"/>
  <c r="C1009" i="1"/>
  <c r="B1009" i="1"/>
  <c r="A1009" i="1"/>
  <c r="J1008" i="1"/>
  <c r="I1008" i="1"/>
  <c r="H1008" i="1"/>
  <c r="G1008" i="1"/>
  <c r="F1008" i="1"/>
  <c r="E1008" i="1"/>
  <c r="D1008" i="1"/>
  <c r="C1008" i="1"/>
  <c r="B1008" i="1"/>
  <c r="A1008" i="1"/>
  <c r="J1007" i="1"/>
  <c r="I1007" i="1"/>
  <c r="H1007" i="1"/>
  <c r="G1007" i="1"/>
  <c r="F1007" i="1"/>
  <c r="E1007" i="1"/>
  <c r="D1007" i="1"/>
  <c r="C1007" i="1"/>
  <c r="B1007" i="1"/>
  <c r="A1007" i="1"/>
  <c r="J1006" i="1"/>
  <c r="I1006" i="1"/>
  <c r="H1006" i="1"/>
  <c r="G1006" i="1"/>
  <c r="F1006" i="1"/>
  <c r="E1006" i="1"/>
  <c r="D1006" i="1"/>
  <c r="C1006" i="1"/>
  <c r="B1006" i="1"/>
  <c r="A1006" i="1"/>
  <c r="J1005" i="1"/>
  <c r="I1005" i="1"/>
  <c r="H1005" i="1"/>
  <c r="G1005" i="1"/>
  <c r="F1005" i="1"/>
  <c r="E1005" i="1"/>
  <c r="D1005" i="1"/>
  <c r="C1005" i="1"/>
  <c r="B1005" i="1"/>
  <c r="A1005" i="1"/>
  <c r="J1004" i="1"/>
  <c r="I1004" i="1"/>
  <c r="H1004" i="1"/>
  <c r="G1004" i="1"/>
  <c r="F1004" i="1"/>
  <c r="E1004" i="1"/>
  <c r="D1004" i="1"/>
  <c r="C1004" i="1"/>
  <c r="B1004" i="1"/>
  <c r="A1004" i="1"/>
  <c r="J1003" i="1"/>
  <c r="I1003" i="1"/>
  <c r="H1003" i="1"/>
  <c r="G1003" i="1"/>
  <c r="F1003" i="1"/>
  <c r="E1003" i="1"/>
  <c r="D1003" i="1"/>
  <c r="C1003" i="1"/>
  <c r="B1003" i="1"/>
  <c r="A1003" i="1"/>
  <c r="J1002" i="1"/>
  <c r="I1002" i="1"/>
  <c r="H1002" i="1"/>
  <c r="G1002" i="1"/>
  <c r="F1002" i="1"/>
  <c r="E1002" i="1"/>
  <c r="D1002" i="1"/>
  <c r="C1002" i="1"/>
  <c r="B1002" i="1"/>
  <c r="A1002" i="1"/>
  <c r="J1001" i="1"/>
  <c r="I1001" i="1"/>
  <c r="H1001" i="1"/>
  <c r="G1001" i="1"/>
  <c r="F1001" i="1"/>
  <c r="E1001" i="1"/>
  <c r="D1001" i="1"/>
  <c r="C1001" i="1"/>
  <c r="B1001" i="1"/>
  <c r="A1001" i="1"/>
  <c r="J1000" i="1"/>
  <c r="I1000" i="1"/>
  <c r="H1000" i="1"/>
  <c r="G1000" i="1"/>
  <c r="F1000" i="1"/>
  <c r="E1000" i="1"/>
  <c r="D1000" i="1"/>
  <c r="C1000" i="1"/>
  <c r="B1000" i="1"/>
  <c r="A1000" i="1"/>
  <c r="J999" i="1"/>
  <c r="I999" i="1"/>
  <c r="H999" i="1"/>
  <c r="G999" i="1"/>
  <c r="F999" i="1"/>
  <c r="E999" i="1"/>
  <c r="D999" i="1"/>
  <c r="C999" i="1"/>
  <c r="B999" i="1"/>
  <c r="A999" i="1"/>
  <c r="J998" i="1"/>
  <c r="I998" i="1"/>
  <c r="H998" i="1"/>
  <c r="G998" i="1"/>
  <c r="F998" i="1"/>
  <c r="E998" i="1"/>
  <c r="D998" i="1"/>
  <c r="C998" i="1"/>
  <c r="B998" i="1"/>
  <c r="A998" i="1"/>
  <c r="J997" i="1"/>
  <c r="I997" i="1"/>
  <c r="H997" i="1"/>
  <c r="G997" i="1"/>
  <c r="F997" i="1"/>
  <c r="E997" i="1"/>
  <c r="D997" i="1"/>
  <c r="C997" i="1"/>
  <c r="B997" i="1"/>
  <c r="A997" i="1"/>
  <c r="J996" i="1"/>
  <c r="I996" i="1"/>
  <c r="H996" i="1"/>
  <c r="G996" i="1"/>
  <c r="F996" i="1"/>
  <c r="E996" i="1"/>
  <c r="D996" i="1"/>
  <c r="C996" i="1"/>
  <c r="B996" i="1"/>
  <c r="A996" i="1"/>
  <c r="J995" i="1"/>
  <c r="I995" i="1"/>
  <c r="H995" i="1"/>
  <c r="G995" i="1"/>
  <c r="F995" i="1"/>
  <c r="E995" i="1"/>
  <c r="D995" i="1"/>
  <c r="C995" i="1"/>
  <c r="B995" i="1"/>
  <c r="A995" i="1"/>
  <c r="J994" i="1"/>
  <c r="I994" i="1"/>
  <c r="H994" i="1"/>
  <c r="G994" i="1"/>
  <c r="F994" i="1"/>
  <c r="E994" i="1"/>
  <c r="D994" i="1"/>
  <c r="C994" i="1"/>
  <c r="B994" i="1"/>
  <c r="A994" i="1"/>
  <c r="J993" i="1"/>
  <c r="I993" i="1"/>
  <c r="H993" i="1"/>
  <c r="G993" i="1"/>
  <c r="F993" i="1"/>
  <c r="E993" i="1"/>
  <c r="D993" i="1"/>
  <c r="C993" i="1"/>
  <c r="B993" i="1"/>
  <c r="A993" i="1"/>
  <c r="J992" i="1"/>
  <c r="I992" i="1"/>
  <c r="H992" i="1"/>
  <c r="G992" i="1"/>
  <c r="F992" i="1"/>
  <c r="E992" i="1"/>
  <c r="D992" i="1"/>
  <c r="C992" i="1"/>
  <c r="B992" i="1"/>
  <c r="A992" i="1"/>
  <c r="J991" i="1"/>
  <c r="I991" i="1"/>
  <c r="H991" i="1"/>
  <c r="G991" i="1"/>
  <c r="F991" i="1"/>
  <c r="E991" i="1"/>
  <c r="D991" i="1"/>
  <c r="C991" i="1"/>
  <c r="B991" i="1"/>
  <c r="A991" i="1"/>
  <c r="J990" i="1"/>
  <c r="I990" i="1"/>
  <c r="H990" i="1"/>
  <c r="G990" i="1"/>
  <c r="F990" i="1"/>
  <c r="E990" i="1"/>
  <c r="D990" i="1"/>
  <c r="C990" i="1"/>
  <c r="B990" i="1"/>
  <c r="A990" i="1"/>
  <c r="J989" i="1"/>
  <c r="I989" i="1"/>
  <c r="H989" i="1"/>
  <c r="G989" i="1"/>
  <c r="F989" i="1"/>
  <c r="E989" i="1"/>
  <c r="D989" i="1"/>
  <c r="C989" i="1"/>
  <c r="B989" i="1"/>
  <c r="A989" i="1"/>
  <c r="J988" i="1"/>
  <c r="I988" i="1"/>
  <c r="H988" i="1"/>
  <c r="G988" i="1"/>
  <c r="F988" i="1"/>
  <c r="E988" i="1"/>
  <c r="D988" i="1"/>
  <c r="C988" i="1"/>
  <c r="B988" i="1"/>
  <c r="A988" i="1"/>
  <c r="J987" i="1"/>
  <c r="I987" i="1"/>
  <c r="H987" i="1"/>
  <c r="G987" i="1"/>
  <c r="F987" i="1"/>
  <c r="E987" i="1"/>
  <c r="D987" i="1"/>
  <c r="C987" i="1"/>
  <c r="B987" i="1"/>
  <c r="A987" i="1"/>
  <c r="J986" i="1"/>
  <c r="I986" i="1"/>
  <c r="H986" i="1"/>
  <c r="G986" i="1"/>
  <c r="F986" i="1"/>
  <c r="E986" i="1"/>
  <c r="D986" i="1"/>
  <c r="C986" i="1"/>
  <c r="B986" i="1"/>
  <c r="A986" i="1"/>
  <c r="J985" i="1"/>
  <c r="I985" i="1"/>
  <c r="H985" i="1"/>
  <c r="G985" i="1"/>
  <c r="F985" i="1"/>
  <c r="E985" i="1"/>
  <c r="D985" i="1"/>
  <c r="C985" i="1"/>
  <c r="B985" i="1"/>
  <c r="A985" i="1"/>
  <c r="J984" i="1"/>
  <c r="I984" i="1"/>
  <c r="H984" i="1"/>
  <c r="G984" i="1"/>
  <c r="F984" i="1"/>
  <c r="E984" i="1"/>
  <c r="D984" i="1"/>
  <c r="C984" i="1"/>
  <c r="B984" i="1"/>
  <c r="A984" i="1"/>
  <c r="J983" i="1"/>
  <c r="I983" i="1"/>
  <c r="H983" i="1"/>
  <c r="G983" i="1"/>
  <c r="F983" i="1"/>
  <c r="E983" i="1"/>
  <c r="D983" i="1"/>
  <c r="C983" i="1"/>
  <c r="B983" i="1"/>
  <c r="A983" i="1"/>
  <c r="J982" i="1"/>
  <c r="I982" i="1"/>
  <c r="H982" i="1"/>
  <c r="G982" i="1"/>
  <c r="F982" i="1"/>
  <c r="E982" i="1"/>
  <c r="D982" i="1"/>
  <c r="C982" i="1"/>
  <c r="B982" i="1"/>
  <c r="A982" i="1"/>
  <c r="J981" i="1"/>
  <c r="I981" i="1"/>
  <c r="H981" i="1"/>
  <c r="G981" i="1"/>
  <c r="F981" i="1"/>
  <c r="E981" i="1"/>
  <c r="D981" i="1"/>
  <c r="C981" i="1"/>
  <c r="B981" i="1"/>
  <c r="A981" i="1"/>
  <c r="J980" i="1"/>
  <c r="I980" i="1"/>
  <c r="H980" i="1"/>
  <c r="G980" i="1"/>
  <c r="F980" i="1"/>
  <c r="E980" i="1"/>
  <c r="D980" i="1"/>
  <c r="C980" i="1"/>
  <c r="B980" i="1"/>
  <c r="A980" i="1"/>
  <c r="J979" i="1"/>
  <c r="I979" i="1"/>
  <c r="H979" i="1"/>
  <c r="G979" i="1"/>
  <c r="F979" i="1"/>
  <c r="E979" i="1"/>
  <c r="D979" i="1"/>
  <c r="C979" i="1"/>
  <c r="B979" i="1"/>
  <c r="A979" i="1"/>
  <c r="J978" i="1"/>
  <c r="I978" i="1"/>
  <c r="H978" i="1"/>
  <c r="G978" i="1"/>
  <c r="F978" i="1"/>
  <c r="E978" i="1"/>
  <c r="D978" i="1"/>
  <c r="C978" i="1"/>
  <c r="B978" i="1"/>
  <c r="A978" i="1"/>
  <c r="J977" i="1"/>
  <c r="I977" i="1"/>
  <c r="H977" i="1"/>
  <c r="G977" i="1"/>
  <c r="F977" i="1"/>
  <c r="E977" i="1"/>
  <c r="D977" i="1"/>
  <c r="C977" i="1"/>
  <c r="B977" i="1"/>
  <c r="A977" i="1"/>
  <c r="J976" i="1"/>
  <c r="I976" i="1"/>
  <c r="H976" i="1"/>
  <c r="G976" i="1"/>
  <c r="F976" i="1"/>
  <c r="E976" i="1"/>
  <c r="D976" i="1"/>
  <c r="C976" i="1"/>
  <c r="B976" i="1"/>
  <c r="A976" i="1"/>
  <c r="J975" i="1"/>
  <c r="I975" i="1"/>
  <c r="H975" i="1"/>
  <c r="G975" i="1"/>
  <c r="F975" i="1"/>
  <c r="E975" i="1"/>
  <c r="D975" i="1"/>
  <c r="C975" i="1"/>
  <c r="B975" i="1"/>
  <c r="A975" i="1"/>
  <c r="J974" i="1"/>
  <c r="I974" i="1"/>
  <c r="H974" i="1"/>
  <c r="G974" i="1"/>
  <c r="F974" i="1"/>
  <c r="E974" i="1"/>
  <c r="D974" i="1"/>
  <c r="C974" i="1"/>
  <c r="B974" i="1"/>
  <c r="A974" i="1"/>
  <c r="J973" i="1"/>
  <c r="I973" i="1"/>
  <c r="H973" i="1"/>
  <c r="G973" i="1"/>
  <c r="F973" i="1"/>
  <c r="E973" i="1"/>
  <c r="D973" i="1"/>
  <c r="C973" i="1"/>
  <c r="B973" i="1"/>
  <c r="A973" i="1"/>
  <c r="J972" i="1"/>
  <c r="I972" i="1"/>
  <c r="H972" i="1"/>
  <c r="G972" i="1"/>
  <c r="F972" i="1"/>
  <c r="E972" i="1"/>
  <c r="D972" i="1"/>
  <c r="C972" i="1"/>
  <c r="B972" i="1"/>
  <c r="A972" i="1"/>
  <c r="J971" i="1"/>
  <c r="I971" i="1"/>
  <c r="H971" i="1"/>
  <c r="G971" i="1"/>
  <c r="F971" i="1"/>
  <c r="E971" i="1"/>
  <c r="D971" i="1"/>
  <c r="C971" i="1"/>
  <c r="B971" i="1"/>
  <c r="A971" i="1"/>
  <c r="J970" i="1"/>
  <c r="I970" i="1"/>
  <c r="H970" i="1"/>
  <c r="G970" i="1"/>
  <c r="F970" i="1"/>
  <c r="E970" i="1"/>
  <c r="D970" i="1"/>
  <c r="C970" i="1"/>
  <c r="B970" i="1"/>
  <c r="A970" i="1"/>
  <c r="J969" i="1"/>
  <c r="I969" i="1"/>
  <c r="H969" i="1"/>
  <c r="G969" i="1"/>
  <c r="F969" i="1"/>
  <c r="E969" i="1"/>
  <c r="D969" i="1"/>
  <c r="C969" i="1"/>
  <c r="B969" i="1"/>
  <c r="A969" i="1"/>
  <c r="J968" i="1"/>
  <c r="I968" i="1"/>
  <c r="H968" i="1"/>
  <c r="G968" i="1"/>
  <c r="F968" i="1"/>
  <c r="E968" i="1"/>
  <c r="D968" i="1"/>
  <c r="C968" i="1"/>
  <c r="B968" i="1"/>
  <c r="A968" i="1"/>
  <c r="J967" i="1"/>
  <c r="H967" i="1"/>
  <c r="G967" i="1"/>
  <c r="F967" i="1"/>
  <c r="E967" i="1"/>
  <c r="D967" i="1"/>
  <c r="C967" i="1"/>
  <c r="B967" i="1"/>
  <c r="A967" i="1"/>
  <c r="J966" i="1"/>
  <c r="H966" i="1"/>
  <c r="G966" i="1"/>
  <c r="F966" i="1"/>
  <c r="E966" i="1"/>
  <c r="D966" i="1"/>
  <c r="C966" i="1"/>
  <c r="B966" i="1"/>
  <c r="A966" i="1"/>
  <c r="J965" i="1"/>
  <c r="H965" i="1"/>
  <c r="G965" i="1"/>
  <c r="F965" i="1"/>
  <c r="E965" i="1"/>
  <c r="D965" i="1"/>
  <c r="C965" i="1"/>
  <c r="B965" i="1"/>
  <c r="A965" i="1"/>
  <c r="J964" i="1"/>
  <c r="H964" i="1"/>
  <c r="G964" i="1"/>
  <c r="F964" i="1"/>
  <c r="E964" i="1"/>
  <c r="D964" i="1"/>
  <c r="C964" i="1"/>
  <c r="B964" i="1"/>
  <c r="A964" i="1"/>
  <c r="J963" i="1"/>
  <c r="H963" i="1"/>
  <c r="G963" i="1"/>
  <c r="F963" i="1"/>
  <c r="E963" i="1"/>
  <c r="D963" i="1"/>
  <c r="C963" i="1"/>
  <c r="B963" i="1"/>
  <c r="A963" i="1"/>
  <c r="J962" i="1"/>
  <c r="H962" i="1"/>
  <c r="G962" i="1"/>
  <c r="F962" i="1"/>
  <c r="E962" i="1"/>
  <c r="D962" i="1"/>
  <c r="C962" i="1"/>
  <c r="B962" i="1"/>
  <c r="A962" i="1"/>
  <c r="J961" i="1"/>
  <c r="H961" i="1"/>
  <c r="G961" i="1"/>
  <c r="F961" i="1"/>
  <c r="E961" i="1"/>
  <c r="D961" i="1"/>
  <c r="C961" i="1"/>
  <c r="B961" i="1"/>
  <c r="A961" i="1"/>
  <c r="J960" i="1"/>
  <c r="I960" i="1"/>
  <c r="H960" i="1"/>
  <c r="G960" i="1"/>
  <c r="F960" i="1"/>
  <c r="E960" i="1"/>
  <c r="D960" i="1"/>
  <c r="C960" i="1"/>
  <c r="B960" i="1"/>
  <c r="A960" i="1"/>
  <c r="J959" i="1"/>
  <c r="I959" i="1"/>
  <c r="H959" i="1"/>
  <c r="G959" i="1"/>
  <c r="F959" i="1"/>
  <c r="E959" i="1"/>
  <c r="D959" i="1"/>
  <c r="C959" i="1"/>
  <c r="B959" i="1"/>
  <c r="A959" i="1"/>
  <c r="J958" i="1"/>
  <c r="I958" i="1"/>
  <c r="H958" i="1"/>
  <c r="G958" i="1"/>
  <c r="F958" i="1"/>
  <c r="E958" i="1"/>
  <c r="D958" i="1"/>
  <c r="C958" i="1"/>
  <c r="B958" i="1"/>
  <c r="A958" i="1"/>
  <c r="J957" i="1"/>
  <c r="I957" i="1"/>
  <c r="H957" i="1"/>
  <c r="G957" i="1"/>
  <c r="F957" i="1"/>
  <c r="E957" i="1"/>
  <c r="D957" i="1"/>
  <c r="C957" i="1"/>
  <c r="B957" i="1"/>
  <c r="A957" i="1"/>
  <c r="J956" i="1"/>
  <c r="I956" i="1"/>
  <c r="H956" i="1"/>
  <c r="G956" i="1"/>
  <c r="F956" i="1"/>
  <c r="E956" i="1"/>
  <c r="D956" i="1"/>
  <c r="C956" i="1"/>
  <c r="B956" i="1"/>
  <c r="A956" i="1"/>
  <c r="J955" i="1"/>
  <c r="I955" i="1"/>
  <c r="H955" i="1"/>
  <c r="G955" i="1"/>
  <c r="F955" i="1"/>
  <c r="E955" i="1"/>
  <c r="D955" i="1"/>
  <c r="C955" i="1"/>
  <c r="B955" i="1"/>
  <c r="A955" i="1"/>
  <c r="J954" i="1"/>
  <c r="I954" i="1"/>
  <c r="H954" i="1"/>
  <c r="G954" i="1"/>
  <c r="F954" i="1"/>
  <c r="E954" i="1"/>
  <c r="D954" i="1"/>
  <c r="C954" i="1"/>
  <c r="B954" i="1"/>
  <c r="A954" i="1"/>
  <c r="J953" i="1"/>
  <c r="I953" i="1"/>
  <c r="H953" i="1"/>
  <c r="G953" i="1"/>
  <c r="F953" i="1"/>
  <c r="E953" i="1"/>
  <c r="D953" i="1"/>
  <c r="C953" i="1"/>
  <c r="B953" i="1"/>
  <c r="A953" i="1"/>
  <c r="J952" i="1"/>
  <c r="I952" i="1"/>
  <c r="H952" i="1"/>
  <c r="G952" i="1"/>
  <c r="F952" i="1"/>
  <c r="E952" i="1"/>
  <c r="D952" i="1"/>
  <c r="C952" i="1"/>
  <c r="B952" i="1"/>
  <c r="A952" i="1"/>
  <c r="J951" i="1"/>
  <c r="I951" i="1"/>
  <c r="H951" i="1"/>
  <c r="G951" i="1"/>
  <c r="F951" i="1"/>
  <c r="E951" i="1"/>
  <c r="D951" i="1"/>
  <c r="C951" i="1"/>
  <c r="B951" i="1"/>
  <c r="A951" i="1"/>
  <c r="J950" i="1"/>
  <c r="I950" i="1"/>
  <c r="H950" i="1"/>
  <c r="G950" i="1"/>
  <c r="F950" i="1"/>
  <c r="E950" i="1"/>
  <c r="D950" i="1"/>
  <c r="C950" i="1"/>
  <c r="B950" i="1"/>
  <c r="A950" i="1"/>
  <c r="J949" i="1"/>
  <c r="I949" i="1"/>
  <c r="H949" i="1"/>
  <c r="G949" i="1"/>
  <c r="F949" i="1"/>
  <c r="E949" i="1"/>
  <c r="D949" i="1"/>
  <c r="C949" i="1"/>
  <c r="B949" i="1"/>
  <c r="A949" i="1"/>
  <c r="J948" i="1"/>
  <c r="I948" i="1"/>
  <c r="H948" i="1"/>
  <c r="G948" i="1"/>
  <c r="F948" i="1"/>
  <c r="E948" i="1"/>
  <c r="D948" i="1"/>
  <c r="C948" i="1"/>
  <c r="B948" i="1"/>
  <c r="A948" i="1"/>
  <c r="J947" i="1"/>
  <c r="I947" i="1"/>
  <c r="H947" i="1"/>
  <c r="G947" i="1"/>
  <c r="F947" i="1"/>
  <c r="E947" i="1"/>
  <c r="D947" i="1"/>
  <c r="C947" i="1"/>
  <c r="B947" i="1"/>
  <c r="A947" i="1"/>
  <c r="J946" i="1"/>
  <c r="I946" i="1"/>
  <c r="H946" i="1"/>
  <c r="G946" i="1"/>
  <c r="F946" i="1"/>
  <c r="E946" i="1"/>
  <c r="D946" i="1"/>
  <c r="C946" i="1"/>
  <c r="B946" i="1"/>
  <c r="A946" i="1"/>
  <c r="J945" i="1"/>
  <c r="I945" i="1"/>
  <c r="H945" i="1"/>
  <c r="G945" i="1"/>
  <c r="F945" i="1"/>
  <c r="E945" i="1"/>
  <c r="D945" i="1"/>
  <c r="C945" i="1"/>
  <c r="B945" i="1"/>
  <c r="A945" i="1"/>
  <c r="J944" i="1"/>
  <c r="I944" i="1"/>
  <c r="H944" i="1"/>
  <c r="G944" i="1"/>
  <c r="F944" i="1"/>
  <c r="E944" i="1"/>
  <c r="D944" i="1"/>
  <c r="C944" i="1"/>
  <c r="B944" i="1"/>
  <c r="A944" i="1"/>
  <c r="J943" i="1"/>
  <c r="I943" i="1"/>
  <c r="H943" i="1"/>
  <c r="G943" i="1"/>
  <c r="F943" i="1"/>
  <c r="E943" i="1"/>
  <c r="D943" i="1"/>
  <c r="C943" i="1"/>
  <c r="B943" i="1"/>
  <c r="A943" i="1"/>
  <c r="J942" i="1"/>
  <c r="I942" i="1"/>
  <c r="H942" i="1"/>
  <c r="G942" i="1"/>
  <c r="F942" i="1"/>
  <c r="E942" i="1"/>
  <c r="D942" i="1"/>
  <c r="C942" i="1"/>
  <c r="B942" i="1"/>
  <c r="A942" i="1"/>
  <c r="J941" i="1"/>
  <c r="I941" i="1"/>
  <c r="H941" i="1"/>
  <c r="G941" i="1"/>
  <c r="F941" i="1"/>
  <c r="E941" i="1"/>
  <c r="D941" i="1"/>
  <c r="C941" i="1"/>
  <c r="B941" i="1"/>
  <c r="A941" i="1"/>
  <c r="J940" i="1"/>
  <c r="I940" i="1"/>
  <c r="H940" i="1"/>
  <c r="G940" i="1"/>
  <c r="F940" i="1"/>
  <c r="E940" i="1"/>
  <c r="D940" i="1"/>
  <c r="C940" i="1"/>
  <c r="B940" i="1"/>
  <c r="A940" i="1"/>
  <c r="J939" i="1"/>
  <c r="I939" i="1"/>
  <c r="H939" i="1"/>
  <c r="G939" i="1"/>
  <c r="F939" i="1"/>
  <c r="E939" i="1"/>
  <c r="D939" i="1"/>
  <c r="C939" i="1"/>
  <c r="B939" i="1"/>
  <c r="A939" i="1"/>
  <c r="J938" i="1"/>
  <c r="I938" i="1"/>
  <c r="H938" i="1"/>
  <c r="G938" i="1"/>
  <c r="F938" i="1"/>
  <c r="E938" i="1"/>
  <c r="D938" i="1"/>
  <c r="C938" i="1"/>
  <c r="B938" i="1"/>
  <c r="A938" i="1"/>
  <c r="J937" i="1"/>
  <c r="I937" i="1"/>
  <c r="H937" i="1"/>
  <c r="G937" i="1"/>
  <c r="F937" i="1"/>
  <c r="E937" i="1"/>
  <c r="D937" i="1"/>
  <c r="C937" i="1"/>
  <c r="B937" i="1"/>
  <c r="A937" i="1"/>
  <c r="J936" i="1"/>
  <c r="I936" i="1"/>
  <c r="H936" i="1"/>
  <c r="G936" i="1"/>
  <c r="F936" i="1"/>
  <c r="E936" i="1"/>
  <c r="D936" i="1"/>
  <c r="C936" i="1"/>
  <c r="B936" i="1"/>
  <c r="A936" i="1"/>
  <c r="J935" i="1"/>
  <c r="I935" i="1"/>
  <c r="H935" i="1"/>
  <c r="G935" i="1"/>
  <c r="F935" i="1"/>
  <c r="E935" i="1"/>
  <c r="D935" i="1"/>
  <c r="C935" i="1"/>
  <c r="B935" i="1"/>
  <c r="A935" i="1"/>
  <c r="J934" i="1"/>
  <c r="I934" i="1"/>
  <c r="H934" i="1"/>
  <c r="G934" i="1"/>
  <c r="F934" i="1"/>
  <c r="E934" i="1"/>
  <c r="D934" i="1"/>
  <c r="C934" i="1"/>
  <c r="B934" i="1"/>
  <c r="A934" i="1"/>
  <c r="J933" i="1"/>
  <c r="I933" i="1"/>
  <c r="H933" i="1"/>
  <c r="G933" i="1"/>
  <c r="F933" i="1"/>
  <c r="E933" i="1"/>
  <c r="D933" i="1"/>
  <c r="C933" i="1"/>
  <c r="B933" i="1"/>
  <c r="A933" i="1"/>
  <c r="J932" i="1"/>
  <c r="I932" i="1"/>
  <c r="H932" i="1"/>
  <c r="G932" i="1"/>
  <c r="F932" i="1"/>
  <c r="E932" i="1"/>
  <c r="D932" i="1"/>
  <c r="C932" i="1"/>
  <c r="B932" i="1"/>
  <c r="A932" i="1"/>
  <c r="J931" i="1"/>
  <c r="I931" i="1"/>
  <c r="H931" i="1"/>
  <c r="G931" i="1"/>
  <c r="F931" i="1"/>
  <c r="E931" i="1"/>
  <c r="D931" i="1"/>
  <c r="C931" i="1"/>
  <c r="B931" i="1"/>
  <c r="A931" i="1"/>
  <c r="J930" i="1"/>
  <c r="I930" i="1"/>
  <c r="H930" i="1"/>
  <c r="G930" i="1"/>
  <c r="F930" i="1"/>
  <c r="E930" i="1"/>
  <c r="D930" i="1"/>
  <c r="C930" i="1"/>
  <c r="B930" i="1"/>
  <c r="A930" i="1"/>
  <c r="J929" i="1"/>
  <c r="I929" i="1"/>
  <c r="H929" i="1"/>
  <c r="G929" i="1"/>
  <c r="F929" i="1"/>
  <c r="E929" i="1"/>
  <c r="D929" i="1"/>
  <c r="C929" i="1"/>
  <c r="B929" i="1"/>
  <c r="A929" i="1"/>
  <c r="J928" i="1"/>
  <c r="I928" i="1"/>
  <c r="H928" i="1"/>
  <c r="G928" i="1"/>
  <c r="F928" i="1"/>
  <c r="E928" i="1"/>
  <c r="D928" i="1"/>
  <c r="C928" i="1"/>
  <c r="B928" i="1"/>
  <c r="A928" i="1"/>
  <c r="J927" i="1"/>
  <c r="I927" i="1"/>
  <c r="H927" i="1"/>
  <c r="G927" i="1"/>
  <c r="F927" i="1"/>
  <c r="E927" i="1"/>
  <c r="D927" i="1"/>
  <c r="C927" i="1"/>
  <c r="B927" i="1"/>
  <c r="A927" i="1"/>
  <c r="J926" i="1"/>
  <c r="I926" i="1"/>
  <c r="H926" i="1"/>
  <c r="G926" i="1"/>
  <c r="F926" i="1"/>
  <c r="E926" i="1"/>
  <c r="D926" i="1"/>
  <c r="C926" i="1"/>
  <c r="B926" i="1"/>
  <c r="A926" i="1"/>
  <c r="J925" i="1"/>
  <c r="I925" i="1"/>
  <c r="H925" i="1"/>
  <c r="G925" i="1"/>
  <c r="F925" i="1"/>
  <c r="E925" i="1"/>
  <c r="D925" i="1"/>
  <c r="C925" i="1"/>
  <c r="B925" i="1"/>
  <c r="A925" i="1"/>
  <c r="J924" i="1"/>
  <c r="I924" i="1"/>
  <c r="H924" i="1"/>
  <c r="G924" i="1"/>
  <c r="F924" i="1"/>
  <c r="E924" i="1"/>
  <c r="D924" i="1"/>
  <c r="C924" i="1"/>
  <c r="B924" i="1"/>
  <c r="A924" i="1"/>
  <c r="J923" i="1"/>
  <c r="I923" i="1"/>
  <c r="H923" i="1"/>
  <c r="G923" i="1"/>
  <c r="F923" i="1"/>
  <c r="E923" i="1"/>
  <c r="D923" i="1"/>
  <c r="C923" i="1"/>
  <c r="B923" i="1"/>
  <c r="A923" i="1"/>
  <c r="J922" i="1"/>
  <c r="I922" i="1"/>
  <c r="H922" i="1"/>
  <c r="G922" i="1"/>
  <c r="F922" i="1"/>
  <c r="E922" i="1"/>
  <c r="D922" i="1"/>
  <c r="C922" i="1"/>
  <c r="B922" i="1"/>
  <c r="A922" i="1"/>
  <c r="J921" i="1"/>
  <c r="I921" i="1"/>
  <c r="H921" i="1"/>
  <c r="G921" i="1"/>
  <c r="F921" i="1"/>
  <c r="E921" i="1"/>
  <c r="D921" i="1"/>
  <c r="C921" i="1"/>
  <c r="B921" i="1"/>
  <c r="A921" i="1"/>
  <c r="J920" i="1"/>
  <c r="I920" i="1"/>
  <c r="H920" i="1"/>
  <c r="G920" i="1"/>
  <c r="F920" i="1"/>
  <c r="E920" i="1"/>
  <c r="D920" i="1"/>
  <c r="C920" i="1"/>
  <c r="B920" i="1"/>
  <c r="A920" i="1"/>
  <c r="J919" i="1"/>
  <c r="I919" i="1"/>
  <c r="H919" i="1"/>
  <c r="G919" i="1"/>
  <c r="F919" i="1"/>
  <c r="E919" i="1"/>
  <c r="D919" i="1"/>
  <c r="C919" i="1"/>
  <c r="B919" i="1"/>
  <c r="A919" i="1"/>
  <c r="J918" i="1"/>
  <c r="I918" i="1"/>
  <c r="H918" i="1"/>
  <c r="G918" i="1"/>
  <c r="F918" i="1"/>
  <c r="E918" i="1"/>
  <c r="D918" i="1"/>
  <c r="C918" i="1"/>
  <c r="B918" i="1"/>
  <c r="A918" i="1"/>
  <c r="J917" i="1"/>
  <c r="I917" i="1"/>
  <c r="H917" i="1"/>
  <c r="G917" i="1"/>
  <c r="F917" i="1"/>
  <c r="E917" i="1"/>
  <c r="D917" i="1"/>
  <c r="C917" i="1"/>
  <c r="B917" i="1"/>
  <c r="A917" i="1"/>
  <c r="J916" i="1"/>
  <c r="I916" i="1"/>
  <c r="H916" i="1"/>
  <c r="G916" i="1"/>
  <c r="F916" i="1"/>
  <c r="E916" i="1"/>
  <c r="D916" i="1"/>
  <c r="C916" i="1"/>
  <c r="B916" i="1"/>
  <c r="A916" i="1"/>
  <c r="J915" i="1"/>
  <c r="I915" i="1"/>
  <c r="H915" i="1"/>
  <c r="G915" i="1"/>
  <c r="F915" i="1"/>
  <c r="E915" i="1"/>
  <c r="D915" i="1"/>
  <c r="C915" i="1"/>
  <c r="B915" i="1"/>
  <c r="A915" i="1"/>
  <c r="J914" i="1"/>
  <c r="I914" i="1"/>
  <c r="H914" i="1"/>
  <c r="G914" i="1"/>
  <c r="F914" i="1"/>
  <c r="E914" i="1"/>
  <c r="D914" i="1"/>
  <c r="C914" i="1"/>
  <c r="B914" i="1"/>
  <c r="A914" i="1"/>
  <c r="J913" i="1"/>
  <c r="I913" i="1"/>
  <c r="H913" i="1"/>
  <c r="G913" i="1"/>
  <c r="F913" i="1"/>
  <c r="E913" i="1"/>
  <c r="D913" i="1"/>
  <c r="C913" i="1"/>
  <c r="B913" i="1"/>
  <c r="A913" i="1"/>
  <c r="J912" i="1"/>
  <c r="I912" i="1"/>
  <c r="H912" i="1"/>
  <c r="G912" i="1"/>
  <c r="F912" i="1"/>
  <c r="E912" i="1"/>
  <c r="D912" i="1"/>
  <c r="C912" i="1"/>
  <c r="B912" i="1"/>
  <c r="A912" i="1"/>
  <c r="J911" i="1"/>
  <c r="I911" i="1"/>
  <c r="H911" i="1"/>
  <c r="G911" i="1"/>
  <c r="F911" i="1"/>
  <c r="E911" i="1"/>
  <c r="D911" i="1"/>
  <c r="C911" i="1"/>
  <c r="B911" i="1"/>
  <c r="A911" i="1"/>
  <c r="J910" i="1"/>
  <c r="I910" i="1"/>
  <c r="H910" i="1"/>
  <c r="G910" i="1"/>
  <c r="F910" i="1"/>
  <c r="E910" i="1"/>
  <c r="D910" i="1"/>
  <c r="C910" i="1"/>
  <c r="B910" i="1"/>
  <c r="A910" i="1"/>
  <c r="J909" i="1"/>
  <c r="I909" i="1"/>
  <c r="H909" i="1"/>
  <c r="G909" i="1"/>
  <c r="F909" i="1"/>
  <c r="E909" i="1"/>
  <c r="D909" i="1"/>
  <c r="C909" i="1"/>
  <c r="B909" i="1"/>
  <c r="A909" i="1"/>
  <c r="J908" i="1"/>
  <c r="I908" i="1"/>
  <c r="H908" i="1"/>
  <c r="G908" i="1"/>
  <c r="F908" i="1"/>
  <c r="E908" i="1"/>
  <c r="D908" i="1"/>
  <c r="C908" i="1"/>
  <c r="B908" i="1"/>
  <c r="A908" i="1"/>
  <c r="J907" i="1"/>
  <c r="I907" i="1"/>
  <c r="H907" i="1"/>
  <c r="G907" i="1"/>
  <c r="F907" i="1"/>
  <c r="E907" i="1"/>
  <c r="D907" i="1"/>
  <c r="C907" i="1"/>
  <c r="B907" i="1"/>
  <c r="A907" i="1"/>
  <c r="J906" i="1"/>
  <c r="I906" i="1"/>
  <c r="H906" i="1"/>
  <c r="G906" i="1"/>
  <c r="F906" i="1"/>
  <c r="E906" i="1"/>
  <c r="D906" i="1"/>
  <c r="C906" i="1"/>
  <c r="B906" i="1"/>
  <c r="A906" i="1"/>
  <c r="J905" i="1"/>
  <c r="I905" i="1"/>
  <c r="H905" i="1"/>
  <c r="G905" i="1"/>
  <c r="F905" i="1"/>
  <c r="E905" i="1"/>
  <c r="D905" i="1"/>
  <c r="C905" i="1"/>
  <c r="B905" i="1"/>
  <c r="A905" i="1"/>
  <c r="J904" i="1"/>
  <c r="I904" i="1"/>
  <c r="H904" i="1"/>
  <c r="G904" i="1"/>
  <c r="F904" i="1"/>
  <c r="E904" i="1"/>
  <c r="D904" i="1"/>
  <c r="C904" i="1"/>
  <c r="B904" i="1"/>
  <c r="A904" i="1"/>
  <c r="J903" i="1"/>
  <c r="I903" i="1"/>
  <c r="H903" i="1"/>
  <c r="G903" i="1"/>
  <c r="F903" i="1"/>
  <c r="E903" i="1"/>
  <c r="D903" i="1"/>
  <c r="C903" i="1"/>
  <c r="B903" i="1"/>
  <c r="A903" i="1"/>
  <c r="J902" i="1"/>
  <c r="I902" i="1"/>
  <c r="H902" i="1"/>
  <c r="G902" i="1"/>
  <c r="F902" i="1"/>
  <c r="E902" i="1"/>
  <c r="D902" i="1"/>
  <c r="C902" i="1"/>
  <c r="B902" i="1"/>
  <c r="A902" i="1"/>
  <c r="J901" i="1"/>
  <c r="I901" i="1"/>
  <c r="H901" i="1"/>
  <c r="G901" i="1"/>
  <c r="F901" i="1"/>
  <c r="E901" i="1"/>
  <c r="D901" i="1"/>
  <c r="C901" i="1"/>
  <c r="B901" i="1"/>
  <c r="A901" i="1"/>
  <c r="J900" i="1"/>
  <c r="I900" i="1"/>
  <c r="H900" i="1"/>
  <c r="G900" i="1"/>
  <c r="F900" i="1"/>
  <c r="E900" i="1"/>
  <c r="D900" i="1"/>
  <c r="C900" i="1"/>
  <c r="B900" i="1"/>
  <c r="A900" i="1"/>
  <c r="J899" i="1"/>
  <c r="I899" i="1"/>
  <c r="H899" i="1"/>
  <c r="G899" i="1"/>
  <c r="F899" i="1"/>
  <c r="E899" i="1"/>
  <c r="D899" i="1"/>
  <c r="C899" i="1"/>
  <c r="B899" i="1"/>
  <c r="A899" i="1"/>
  <c r="J898" i="1"/>
  <c r="I898" i="1"/>
  <c r="H898" i="1"/>
  <c r="G898" i="1"/>
  <c r="F898" i="1"/>
  <c r="E898" i="1"/>
  <c r="D898" i="1"/>
  <c r="C898" i="1"/>
  <c r="B898" i="1"/>
  <c r="A898" i="1"/>
  <c r="J897" i="1"/>
  <c r="I897" i="1"/>
  <c r="H897" i="1"/>
  <c r="G897" i="1"/>
  <c r="F897" i="1"/>
  <c r="E897" i="1"/>
  <c r="D897" i="1"/>
  <c r="C897" i="1"/>
  <c r="B897" i="1"/>
  <c r="A897" i="1"/>
  <c r="J896" i="1"/>
  <c r="I896" i="1"/>
  <c r="H896" i="1"/>
  <c r="G896" i="1"/>
  <c r="F896" i="1"/>
  <c r="E896" i="1"/>
  <c r="D896" i="1"/>
  <c r="C896" i="1"/>
  <c r="B896" i="1"/>
  <c r="A896" i="1"/>
  <c r="J895" i="1"/>
  <c r="I895" i="1"/>
  <c r="H895" i="1"/>
  <c r="G895" i="1"/>
  <c r="F895" i="1"/>
  <c r="E895" i="1"/>
  <c r="D895" i="1"/>
  <c r="C895" i="1"/>
  <c r="B895" i="1"/>
  <c r="A895" i="1"/>
  <c r="J894" i="1"/>
  <c r="I894" i="1"/>
  <c r="H894" i="1"/>
  <c r="G894" i="1"/>
  <c r="F894" i="1"/>
  <c r="E894" i="1"/>
  <c r="D894" i="1"/>
  <c r="C894" i="1"/>
  <c r="B894" i="1"/>
  <c r="A894" i="1"/>
  <c r="J893" i="1"/>
  <c r="I893" i="1"/>
  <c r="H893" i="1"/>
  <c r="G893" i="1"/>
  <c r="F893" i="1"/>
  <c r="E893" i="1"/>
  <c r="D893" i="1"/>
  <c r="C893" i="1"/>
  <c r="B893" i="1"/>
  <c r="A893" i="1"/>
  <c r="J892" i="1"/>
  <c r="I892" i="1"/>
  <c r="H892" i="1"/>
  <c r="G892" i="1"/>
  <c r="F892" i="1"/>
  <c r="E892" i="1"/>
  <c r="D892" i="1"/>
  <c r="C892" i="1"/>
  <c r="B892" i="1"/>
  <c r="A892" i="1"/>
  <c r="J891" i="1"/>
  <c r="I891" i="1"/>
  <c r="H891" i="1"/>
  <c r="G891" i="1"/>
  <c r="F891" i="1"/>
  <c r="E891" i="1"/>
  <c r="D891" i="1"/>
  <c r="C891" i="1"/>
  <c r="B891" i="1"/>
  <c r="A891" i="1"/>
  <c r="J890" i="1"/>
  <c r="H890" i="1"/>
  <c r="G890" i="1"/>
  <c r="F890" i="1"/>
  <c r="E890" i="1"/>
  <c r="D890" i="1"/>
  <c r="C890" i="1"/>
  <c r="B890" i="1"/>
  <c r="A890" i="1"/>
  <c r="J889" i="1"/>
  <c r="H889" i="1"/>
  <c r="G889" i="1"/>
  <c r="F889" i="1"/>
  <c r="E889" i="1"/>
  <c r="D889" i="1"/>
  <c r="C889" i="1"/>
  <c r="B889" i="1"/>
  <c r="A889" i="1"/>
  <c r="J888" i="1"/>
  <c r="H888" i="1"/>
  <c r="G888" i="1"/>
  <c r="F888" i="1"/>
  <c r="E888" i="1"/>
  <c r="D888" i="1"/>
  <c r="C888" i="1"/>
  <c r="B888" i="1"/>
  <c r="A888" i="1"/>
  <c r="J887" i="1"/>
  <c r="H887" i="1"/>
  <c r="G887" i="1"/>
  <c r="F887" i="1"/>
  <c r="E887" i="1"/>
  <c r="D887" i="1"/>
  <c r="C887" i="1"/>
  <c r="B887" i="1"/>
  <c r="A887" i="1"/>
  <c r="J886" i="1"/>
  <c r="H886" i="1"/>
  <c r="G886" i="1"/>
  <c r="F886" i="1"/>
  <c r="E886" i="1"/>
  <c r="D886" i="1"/>
  <c r="C886" i="1"/>
  <c r="B886" i="1"/>
  <c r="A886" i="1"/>
  <c r="J885" i="1"/>
  <c r="H885" i="1"/>
  <c r="G885" i="1"/>
  <c r="F885" i="1"/>
  <c r="E885" i="1"/>
  <c r="D885" i="1"/>
  <c r="C885" i="1"/>
  <c r="B885" i="1"/>
  <c r="A885" i="1"/>
  <c r="J884" i="1"/>
  <c r="H884" i="1"/>
  <c r="G884" i="1"/>
  <c r="F884" i="1"/>
  <c r="E884" i="1"/>
  <c r="D884" i="1"/>
  <c r="C884" i="1"/>
  <c r="B884" i="1"/>
  <c r="A884" i="1"/>
  <c r="J883" i="1"/>
  <c r="I883" i="1"/>
  <c r="H883" i="1"/>
  <c r="G883" i="1"/>
  <c r="F883" i="1"/>
  <c r="E883" i="1"/>
  <c r="D883" i="1"/>
  <c r="C883" i="1"/>
  <c r="B883" i="1"/>
  <c r="A883" i="1"/>
  <c r="J882" i="1"/>
  <c r="I882" i="1"/>
  <c r="H882" i="1"/>
  <c r="G882" i="1"/>
  <c r="F882" i="1"/>
  <c r="E882" i="1"/>
  <c r="D882" i="1"/>
  <c r="C882" i="1"/>
  <c r="B882" i="1"/>
  <c r="A882" i="1"/>
  <c r="J881" i="1"/>
  <c r="I881" i="1"/>
  <c r="H881" i="1"/>
  <c r="G881" i="1"/>
  <c r="F881" i="1"/>
  <c r="E881" i="1"/>
  <c r="D881" i="1"/>
  <c r="C881" i="1"/>
  <c r="B881" i="1"/>
  <c r="A881" i="1"/>
  <c r="J880" i="1"/>
  <c r="I880" i="1"/>
  <c r="H880" i="1"/>
  <c r="G880" i="1"/>
  <c r="F880" i="1"/>
  <c r="E880" i="1"/>
  <c r="D880" i="1"/>
  <c r="C880" i="1"/>
  <c r="B880" i="1"/>
  <c r="A880" i="1"/>
  <c r="J879" i="1"/>
  <c r="I879" i="1"/>
  <c r="H879" i="1"/>
  <c r="G879" i="1"/>
  <c r="F879" i="1"/>
  <c r="E879" i="1"/>
  <c r="D879" i="1"/>
  <c r="C879" i="1"/>
  <c r="B879" i="1"/>
  <c r="A879" i="1"/>
  <c r="J878" i="1"/>
  <c r="I878" i="1"/>
  <c r="H878" i="1"/>
  <c r="G878" i="1"/>
  <c r="F878" i="1"/>
  <c r="E878" i="1"/>
  <c r="D878" i="1"/>
  <c r="C878" i="1"/>
  <c r="B878" i="1"/>
  <c r="A878" i="1"/>
  <c r="J877" i="1"/>
  <c r="I877" i="1"/>
  <c r="H877" i="1"/>
  <c r="G877" i="1"/>
  <c r="F877" i="1"/>
  <c r="E877" i="1"/>
  <c r="D877" i="1"/>
  <c r="C877" i="1"/>
  <c r="B877" i="1"/>
  <c r="A877" i="1"/>
  <c r="J876" i="1"/>
  <c r="I876" i="1"/>
  <c r="H876" i="1"/>
  <c r="G876" i="1"/>
  <c r="F876" i="1"/>
  <c r="E876" i="1"/>
  <c r="D876" i="1"/>
  <c r="C876" i="1"/>
  <c r="B876" i="1"/>
  <c r="A876" i="1"/>
  <c r="J875" i="1"/>
  <c r="I875" i="1"/>
  <c r="H875" i="1"/>
  <c r="G875" i="1"/>
  <c r="F875" i="1"/>
  <c r="E875" i="1"/>
  <c r="D875" i="1"/>
  <c r="C875" i="1"/>
  <c r="B875" i="1"/>
  <c r="A875" i="1"/>
  <c r="J874" i="1"/>
  <c r="I874" i="1"/>
  <c r="H874" i="1"/>
  <c r="G874" i="1"/>
  <c r="F874" i="1"/>
  <c r="E874" i="1"/>
  <c r="D874" i="1"/>
  <c r="C874" i="1"/>
  <c r="B874" i="1"/>
  <c r="A874" i="1"/>
  <c r="J873" i="1"/>
  <c r="I873" i="1"/>
  <c r="H873" i="1"/>
  <c r="G873" i="1"/>
  <c r="F873" i="1"/>
  <c r="E873" i="1"/>
  <c r="D873" i="1"/>
  <c r="C873" i="1"/>
  <c r="B873" i="1"/>
  <c r="A873" i="1"/>
  <c r="J872" i="1"/>
  <c r="I872" i="1"/>
  <c r="H872" i="1"/>
  <c r="G872" i="1"/>
  <c r="F872" i="1"/>
  <c r="E872" i="1"/>
  <c r="D872" i="1"/>
  <c r="C872" i="1"/>
  <c r="B872" i="1"/>
  <c r="A872" i="1"/>
  <c r="J871" i="1"/>
  <c r="I871" i="1"/>
  <c r="H871" i="1"/>
  <c r="G871" i="1"/>
  <c r="F871" i="1"/>
  <c r="E871" i="1"/>
  <c r="D871" i="1"/>
  <c r="C871" i="1"/>
  <c r="B871" i="1"/>
  <c r="A871" i="1"/>
  <c r="J870" i="1"/>
  <c r="I870" i="1"/>
  <c r="H870" i="1"/>
  <c r="G870" i="1"/>
  <c r="F870" i="1"/>
  <c r="E870" i="1"/>
  <c r="D870" i="1"/>
  <c r="C870" i="1"/>
  <c r="B870" i="1"/>
  <c r="A870" i="1"/>
  <c r="J869" i="1"/>
  <c r="I869" i="1"/>
  <c r="H869" i="1"/>
  <c r="G869" i="1"/>
  <c r="F869" i="1"/>
  <c r="E869" i="1"/>
  <c r="D869" i="1"/>
  <c r="C869" i="1"/>
  <c r="B869" i="1"/>
  <c r="A869" i="1"/>
  <c r="J868" i="1"/>
  <c r="I868" i="1"/>
  <c r="H868" i="1"/>
  <c r="G868" i="1"/>
  <c r="F868" i="1"/>
  <c r="E868" i="1"/>
  <c r="D868" i="1"/>
  <c r="C868" i="1"/>
  <c r="B868" i="1"/>
  <c r="A868" i="1"/>
  <c r="J867" i="1"/>
  <c r="I867" i="1"/>
  <c r="H867" i="1"/>
  <c r="G867" i="1"/>
  <c r="F867" i="1"/>
  <c r="E867" i="1"/>
  <c r="D867" i="1"/>
  <c r="C867" i="1"/>
  <c r="B867" i="1"/>
  <c r="A867" i="1"/>
  <c r="J866" i="1"/>
  <c r="I866" i="1"/>
  <c r="H866" i="1"/>
  <c r="G866" i="1"/>
  <c r="F866" i="1"/>
  <c r="E866" i="1"/>
  <c r="D866" i="1"/>
  <c r="C866" i="1"/>
  <c r="B866" i="1"/>
  <c r="A866" i="1"/>
  <c r="J865" i="1"/>
  <c r="I865" i="1"/>
  <c r="H865" i="1"/>
  <c r="G865" i="1"/>
  <c r="F865" i="1"/>
  <c r="E865" i="1"/>
  <c r="D865" i="1"/>
  <c r="C865" i="1"/>
  <c r="B865" i="1"/>
  <c r="A865" i="1"/>
  <c r="J864" i="1"/>
  <c r="I864" i="1"/>
  <c r="H864" i="1"/>
  <c r="G864" i="1"/>
  <c r="F864" i="1"/>
  <c r="E864" i="1"/>
  <c r="D864" i="1"/>
  <c r="C864" i="1"/>
  <c r="B864" i="1"/>
  <c r="A864" i="1"/>
  <c r="J863" i="1"/>
  <c r="I863" i="1"/>
  <c r="H863" i="1"/>
  <c r="G863" i="1"/>
  <c r="F863" i="1"/>
  <c r="E863" i="1"/>
  <c r="D863" i="1"/>
  <c r="C863" i="1"/>
  <c r="B863" i="1"/>
  <c r="A863" i="1"/>
  <c r="J862" i="1"/>
  <c r="I862" i="1"/>
  <c r="H862" i="1"/>
  <c r="G862" i="1"/>
  <c r="F862" i="1"/>
  <c r="E862" i="1"/>
  <c r="D862" i="1"/>
  <c r="C862" i="1"/>
  <c r="B862" i="1"/>
  <c r="A862" i="1"/>
  <c r="J861" i="1"/>
  <c r="I861" i="1"/>
  <c r="H861" i="1"/>
  <c r="G861" i="1"/>
  <c r="F861" i="1"/>
  <c r="E861" i="1"/>
  <c r="D861" i="1"/>
  <c r="C861" i="1"/>
  <c r="B861" i="1"/>
  <c r="A861" i="1"/>
  <c r="J860" i="1"/>
  <c r="I860" i="1"/>
  <c r="H860" i="1"/>
  <c r="G860" i="1"/>
  <c r="F860" i="1"/>
  <c r="E860" i="1"/>
  <c r="D860" i="1"/>
  <c r="C860" i="1"/>
  <c r="B860" i="1"/>
  <c r="A860" i="1"/>
  <c r="J859" i="1"/>
  <c r="I859" i="1"/>
  <c r="H859" i="1"/>
  <c r="G859" i="1"/>
  <c r="F859" i="1"/>
  <c r="E859" i="1"/>
  <c r="D859" i="1"/>
  <c r="C859" i="1"/>
  <c r="B859" i="1"/>
  <c r="A859" i="1"/>
  <c r="J858" i="1"/>
  <c r="I858" i="1"/>
  <c r="H858" i="1"/>
  <c r="G858" i="1"/>
  <c r="F858" i="1"/>
  <c r="E858" i="1"/>
  <c r="D858" i="1"/>
  <c r="C858" i="1"/>
  <c r="B858" i="1"/>
  <c r="A858" i="1"/>
  <c r="J857" i="1"/>
  <c r="I857" i="1"/>
  <c r="H857" i="1"/>
  <c r="G857" i="1"/>
  <c r="F857" i="1"/>
  <c r="E857" i="1"/>
  <c r="D857" i="1"/>
  <c r="C857" i="1"/>
  <c r="B857" i="1"/>
  <c r="A857" i="1"/>
  <c r="J856" i="1"/>
  <c r="I856" i="1"/>
  <c r="H856" i="1"/>
  <c r="G856" i="1"/>
  <c r="F856" i="1"/>
  <c r="E856" i="1"/>
  <c r="D856" i="1"/>
  <c r="C856" i="1"/>
  <c r="B856" i="1"/>
  <c r="A856" i="1"/>
  <c r="J855" i="1"/>
  <c r="I855" i="1"/>
  <c r="H855" i="1"/>
  <c r="G855" i="1"/>
  <c r="F855" i="1"/>
  <c r="E855" i="1"/>
  <c r="D855" i="1"/>
  <c r="C855" i="1"/>
  <c r="B855" i="1"/>
  <c r="A855" i="1"/>
  <c r="J854" i="1"/>
  <c r="I854" i="1"/>
  <c r="H854" i="1"/>
  <c r="G854" i="1"/>
  <c r="F854" i="1"/>
  <c r="E854" i="1"/>
  <c r="D854" i="1"/>
  <c r="C854" i="1"/>
  <c r="B854" i="1"/>
  <c r="A854" i="1"/>
  <c r="J853" i="1"/>
  <c r="I853" i="1"/>
  <c r="H853" i="1"/>
  <c r="G853" i="1"/>
  <c r="F853" i="1"/>
  <c r="E853" i="1"/>
  <c r="D853" i="1"/>
  <c r="C853" i="1"/>
  <c r="B853" i="1"/>
  <c r="A853" i="1"/>
  <c r="J852" i="1"/>
  <c r="I852" i="1"/>
  <c r="H852" i="1"/>
  <c r="G852" i="1"/>
  <c r="F852" i="1"/>
  <c r="E852" i="1"/>
  <c r="D852" i="1"/>
  <c r="C852" i="1"/>
  <c r="B852" i="1"/>
  <c r="A852" i="1"/>
  <c r="J851" i="1"/>
  <c r="I851" i="1"/>
  <c r="H851" i="1"/>
  <c r="G851" i="1"/>
  <c r="F851" i="1"/>
  <c r="E851" i="1"/>
  <c r="D851" i="1"/>
  <c r="C851" i="1"/>
  <c r="B851" i="1"/>
  <c r="A851" i="1"/>
  <c r="J850" i="1"/>
  <c r="I850" i="1"/>
  <c r="H850" i="1"/>
  <c r="G850" i="1"/>
  <c r="F850" i="1"/>
  <c r="E850" i="1"/>
  <c r="D850" i="1"/>
  <c r="C850" i="1"/>
  <c r="B850" i="1"/>
  <c r="A850" i="1"/>
  <c r="J849" i="1"/>
  <c r="I849" i="1"/>
  <c r="H849" i="1"/>
  <c r="G849" i="1"/>
  <c r="F849" i="1"/>
  <c r="E849" i="1"/>
  <c r="D849" i="1"/>
  <c r="C849" i="1"/>
  <c r="B849" i="1"/>
  <c r="A849" i="1"/>
  <c r="J848" i="1"/>
  <c r="I848" i="1"/>
  <c r="H848" i="1"/>
  <c r="G848" i="1"/>
  <c r="F848" i="1"/>
  <c r="E848" i="1"/>
  <c r="D848" i="1"/>
  <c r="C848" i="1"/>
  <c r="B848" i="1"/>
  <c r="A848" i="1"/>
  <c r="J847" i="1"/>
  <c r="I847" i="1"/>
  <c r="H847" i="1"/>
  <c r="G847" i="1"/>
  <c r="F847" i="1"/>
  <c r="E847" i="1"/>
  <c r="D847" i="1"/>
  <c r="C847" i="1"/>
  <c r="B847" i="1"/>
  <c r="A847" i="1"/>
  <c r="J846" i="1"/>
  <c r="I846" i="1"/>
  <c r="H846" i="1"/>
  <c r="G846" i="1"/>
  <c r="F846" i="1"/>
  <c r="E846" i="1"/>
  <c r="D846" i="1"/>
  <c r="C846" i="1"/>
  <c r="B846" i="1"/>
  <c r="A846" i="1"/>
  <c r="J845" i="1"/>
  <c r="I845" i="1"/>
  <c r="H845" i="1"/>
  <c r="G845" i="1"/>
  <c r="F845" i="1"/>
  <c r="E845" i="1"/>
  <c r="D845" i="1"/>
  <c r="C845" i="1"/>
  <c r="B845" i="1"/>
  <c r="A845" i="1"/>
  <c r="J844" i="1"/>
  <c r="I844" i="1"/>
  <c r="H844" i="1"/>
  <c r="G844" i="1"/>
  <c r="F844" i="1"/>
  <c r="E844" i="1"/>
  <c r="D844" i="1"/>
  <c r="C844" i="1"/>
  <c r="B844" i="1"/>
  <c r="A844" i="1"/>
  <c r="J843" i="1"/>
  <c r="I843" i="1"/>
  <c r="H843" i="1"/>
  <c r="G843" i="1"/>
  <c r="F843" i="1"/>
  <c r="E843" i="1"/>
  <c r="D843" i="1"/>
  <c r="C843" i="1"/>
  <c r="B843" i="1"/>
  <c r="A843" i="1"/>
  <c r="J842" i="1"/>
  <c r="I842" i="1"/>
  <c r="H842" i="1"/>
  <c r="G842" i="1"/>
  <c r="F842" i="1"/>
  <c r="E842" i="1"/>
  <c r="D842" i="1"/>
  <c r="C842" i="1"/>
  <c r="B842" i="1"/>
  <c r="A842" i="1"/>
  <c r="J841" i="1"/>
  <c r="I841" i="1"/>
  <c r="H841" i="1"/>
  <c r="G841" i="1"/>
  <c r="F841" i="1"/>
  <c r="E841" i="1"/>
  <c r="D841" i="1"/>
  <c r="C841" i="1"/>
  <c r="B841" i="1"/>
  <c r="A841" i="1"/>
  <c r="J840" i="1"/>
  <c r="I840" i="1"/>
  <c r="H840" i="1"/>
  <c r="G840" i="1"/>
  <c r="F840" i="1"/>
  <c r="E840" i="1"/>
  <c r="D840" i="1"/>
  <c r="C840" i="1"/>
  <c r="B840" i="1"/>
  <c r="A840" i="1"/>
  <c r="J839" i="1"/>
  <c r="I839" i="1"/>
  <c r="H839" i="1"/>
  <c r="G839" i="1"/>
  <c r="F839" i="1"/>
  <c r="E839" i="1"/>
  <c r="D839" i="1"/>
  <c r="C839" i="1"/>
  <c r="B839" i="1"/>
  <c r="A839" i="1"/>
  <c r="J838" i="1"/>
  <c r="I838" i="1"/>
  <c r="H838" i="1"/>
  <c r="G838" i="1"/>
  <c r="F838" i="1"/>
  <c r="E838" i="1"/>
  <c r="D838" i="1"/>
  <c r="C838" i="1"/>
  <c r="B838" i="1"/>
  <c r="A838" i="1"/>
  <c r="J837" i="1"/>
  <c r="I837" i="1"/>
  <c r="H837" i="1"/>
  <c r="G837" i="1"/>
  <c r="F837" i="1"/>
  <c r="E837" i="1"/>
  <c r="D837" i="1"/>
  <c r="C837" i="1"/>
  <c r="B837" i="1"/>
  <c r="A837" i="1"/>
  <c r="J836" i="1"/>
  <c r="I836" i="1"/>
  <c r="H836" i="1"/>
  <c r="G836" i="1"/>
  <c r="F836" i="1"/>
  <c r="E836" i="1"/>
  <c r="D836" i="1"/>
  <c r="C836" i="1"/>
  <c r="B836" i="1"/>
  <c r="A836" i="1"/>
  <c r="J835" i="1"/>
  <c r="I835" i="1"/>
  <c r="H835" i="1"/>
  <c r="G835" i="1"/>
  <c r="F835" i="1"/>
  <c r="E835" i="1"/>
  <c r="D835" i="1"/>
  <c r="C835" i="1"/>
  <c r="B835" i="1"/>
  <c r="A835" i="1"/>
  <c r="J834" i="1"/>
  <c r="I834" i="1"/>
  <c r="H834" i="1"/>
  <c r="G834" i="1"/>
  <c r="F834" i="1"/>
  <c r="E834" i="1"/>
  <c r="D834" i="1"/>
  <c r="C834" i="1"/>
  <c r="B834" i="1"/>
  <c r="A834" i="1"/>
  <c r="J833" i="1"/>
  <c r="I833" i="1"/>
  <c r="H833" i="1"/>
  <c r="G833" i="1"/>
  <c r="F833" i="1"/>
  <c r="E833" i="1"/>
  <c r="D833" i="1"/>
  <c r="C833" i="1"/>
  <c r="B833" i="1"/>
  <c r="A833" i="1"/>
  <c r="J832" i="1"/>
  <c r="I832" i="1"/>
  <c r="H832" i="1"/>
  <c r="G832" i="1"/>
  <c r="F832" i="1"/>
  <c r="E832" i="1"/>
  <c r="D832" i="1"/>
  <c r="C832" i="1"/>
  <c r="B832" i="1"/>
  <c r="A832" i="1"/>
  <c r="J831" i="1"/>
  <c r="I831" i="1"/>
  <c r="H831" i="1"/>
  <c r="G831" i="1"/>
  <c r="F831" i="1"/>
  <c r="E831" i="1"/>
  <c r="D831" i="1"/>
  <c r="C831" i="1"/>
  <c r="B831" i="1"/>
  <c r="A831" i="1"/>
  <c r="J830" i="1"/>
  <c r="I830" i="1"/>
  <c r="H830" i="1"/>
  <c r="G830" i="1"/>
  <c r="F830" i="1"/>
  <c r="E830" i="1"/>
  <c r="D830" i="1"/>
  <c r="C830" i="1"/>
  <c r="B830" i="1"/>
  <c r="A830" i="1"/>
  <c r="J829" i="1"/>
  <c r="I829" i="1"/>
  <c r="H829" i="1"/>
  <c r="G829" i="1"/>
  <c r="F829" i="1"/>
  <c r="E829" i="1"/>
  <c r="D829" i="1"/>
  <c r="C829" i="1"/>
  <c r="B829" i="1"/>
  <c r="A829" i="1"/>
  <c r="J828" i="1"/>
  <c r="I828" i="1"/>
  <c r="H828" i="1"/>
  <c r="G828" i="1"/>
  <c r="F828" i="1"/>
  <c r="E828" i="1"/>
  <c r="D828" i="1"/>
  <c r="C828" i="1"/>
  <c r="B828" i="1"/>
  <c r="A828" i="1"/>
  <c r="J827" i="1"/>
  <c r="I827" i="1"/>
  <c r="H827" i="1"/>
  <c r="G827" i="1"/>
  <c r="F827" i="1"/>
  <c r="E827" i="1"/>
  <c r="D827" i="1"/>
  <c r="C827" i="1"/>
  <c r="B827" i="1"/>
  <c r="A827" i="1"/>
  <c r="J826" i="1"/>
  <c r="I826" i="1"/>
  <c r="H826" i="1"/>
  <c r="G826" i="1"/>
  <c r="F826" i="1"/>
  <c r="E826" i="1"/>
  <c r="D826" i="1"/>
  <c r="C826" i="1"/>
  <c r="B826" i="1"/>
  <c r="A826" i="1"/>
  <c r="J825" i="1"/>
  <c r="I825" i="1"/>
  <c r="H825" i="1"/>
  <c r="G825" i="1"/>
  <c r="F825" i="1"/>
  <c r="E825" i="1"/>
  <c r="D825" i="1"/>
  <c r="C825" i="1"/>
  <c r="B825" i="1"/>
  <c r="A825" i="1"/>
  <c r="J824" i="1"/>
  <c r="I824" i="1"/>
  <c r="H824" i="1"/>
  <c r="G824" i="1"/>
  <c r="F824" i="1"/>
  <c r="E824" i="1"/>
  <c r="D824" i="1"/>
  <c r="C824" i="1"/>
  <c r="B824" i="1"/>
  <c r="A824" i="1"/>
  <c r="J823" i="1"/>
  <c r="I823" i="1"/>
  <c r="H823" i="1"/>
  <c r="G823" i="1"/>
  <c r="F823" i="1"/>
  <c r="E823" i="1"/>
  <c r="D823" i="1"/>
  <c r="C823" i="1"/>
  <c r="B823" i="1"/>
  <c r="A823" i="1"/>
  <c r="J822" i="1"/>
  <c r="I822" i="1"/>
  <c r="H822" i="1"/>
  <c r="G822" i="1"/>
  <c r="F822" i="1"/>
  <c r="E822" i="1"/>
  <c r="D822" i="1"/>
  <c r="C822" i="1"/>
  <c r="B822" i="1"/>
  <c r="A822" i="1"/>
  <c r="J821" i="1"/>
  <c r="I821" i="1"/>
  <c r="H821" i="1"/>
  <c r="G821" i="1"/>
  <c r="F821" i="1"/>
  <c r="E821" i="1"/>
  <c r="D821" i="1"/>
  <c r="C821" i="1"/>
  <c r="B821" i="1"/>
  <c r="A821" i="1"/>
  <c r="J820" i="1"/>
  <c r="H820" i="1"/>
  <c r="G820" i="1"/>
  <c r="F820" i="1"/>
  <c r="E820" i="1"/>
  <c r="D820" i="1"/>
  <c r="C820" i="1"/>
  <c r="B820" i="1"/>
  <c r="A820" i="1"/>
  <c r="J819" i="1"/>
  <c r="H819" i="1"/>
  <c r="G819" i="1"/>
  <c r="F819" i="1"/>
  <c r="E819" i="1"/>
  <c r="D819" i="1"/>
  <c r="C819" i="1"/>
  <c r="B819" i="1"/>
  <c r="A819" i="1"/>
  <c r="J818" i="1"/>
  <c r="H818" i="1"/>
  <c r="G818" i="1"/>
  <c r="F818" i="1"/>
  <c r="E818" i="1"/>
  <c r="D818" i="1"/>
  <c r="C818" i="1"/>
  <c r="B818" i="1"/>
  <c r="A818" i="1"/>
  <c r="J817" i="1"/>
  <c r="H817" i="1"/>
  <c r="G817" i="1"/>
  <c r="F817" i="1"/>
  <c r="E817" i="1"/>
  <c r="D817" i="1"/>
  <c r="C817" i="1"/>
  <c r="B817" i="1"/>
  <c r="A817" i="1"/>
  <c r="J816" i="1"/>
  <c r="H816" i="1"/>
  <c r="G816" i="1"/>
  <c r="F816" i="1"/>
  <c r="E816" i="1"/>
  <c r="D816" i="1"/>
  <c r="C816" i="1"/>
  <c r="B816" i="1"/>
  <c r="A816" i="1"/>
  <c r="J815" i="1"/>
  <c r="H815" i="1"/>
  <c r="G815" i="1"/>
  <c r="F815" i="1"/>
  <c r="E815" i="1"/>
  <c r="D815" i="1"/>
  <c r="C815" i="1"/>
  <c r="B815" i="1"/>
  <c r="A815" i="1"/>
  <c r="J814" i="1"/>
  <c r="H814" i="1"/>
  <c r="G814" i="1"/>
  <c r="F814" i="1"/>
  <c r="E814" i="1"/>
  <c r="D814" i="1"/>
  <c r="C814" i="1"/>
  <c r="B814" i="1"/>
  <c r="A814" i="1"/>
  <c r="J813" i="1"/>
  <c r="I813" i="1"/>
  <c r="H813" i="1"/>
  <c r="G813" i="1"/>
  <c r="F813" i="1"/>
  <c r="E813" i="1"/>
  <c r="D813" i="1"/>
  <c r="C813" i="1"/>
  <c r="B813" i="1"/>
  <c r="A813" i="1"/>
  <c r="J812" i="1"/>
  <c r="I812" i="1"/>
  <c r="H812" i="1"/>
  <c r="G812" i="1"/>
  <c r="F812" i="1"/>
  <c r="E812" i="1"/>
  <c r="D812" i="1"/>
  <c r="C812" i="1"/>
  <c r="B812" i="1"/>
  <c r="A812" i="1"/>
  <c r="J811" i="1"/>
  <c r="I811" i="1"/>
  <c r="H811" i="1"/>
  <c r="G811" i="1"/>
  <c r="F811" i="1"/>
  <c r="E811" i="1"/>
  <c r="D811" i="1"/>
  <c r="C811" i="1"/>
  <c r="B811" i="1"/>
  <c r="A811" i="1"/>
  <c r="J810" i="1"/>
  <c r="I810" i="1"/>
  <c r="H810" i="1"/>
  <c r="G810" i="1"/>
  <c r="F810" i="1"/>
  <c r="E810" i="1"/>
  <c r="D810" i="1"/>
  <c r="C810" i="1"/>
  <c r="B810" i="1"/>
  <c r="A810" i="1"/>
  <c r="J809" i="1"/>
  <c r="I809" i="1"/>
  <c r="H809" i="1"/>
  <c r="G809" i="1"/>
  <c r="F809" i="1"/>
  <c r="E809" i="1"/>
  <c r="D809" i="1"/>
  <c r="C809" i="1"/>
  <c r="B809" i="1"/>
  <c r="A809" i="1"/>
  <c r="J808" i="1"/>
  <c r="I808" i="1"/>
  <c r="H808" i="1"/>
  <c r="G808" i="1"/>
  <c r="F808" i="1"/>
  <c r="E808" i="1"/>
  <c r="D808" i="1"/>
  <c r="C808" i="1"/>
  <c r="B808" i="1"/>
  <c r="A808" i="1"/>
  <c r="J807" i="1"/>
  <c r="I807" i="1"/>
  <c r="H807" i="1"/>
  <c r="G807" i="1"/>
  <c r="F807" i="1"/>
  <c r="E807" i="1"/>
  <c r="D807" i="1"/>
  <c r="C807" i="1"/>
  <c r="B807" i="1"/>
  <c r="A807" i="1"/>
  <c r="J806" i="1"/>
  <c r="I806" i="1"/>
  <c r="H806" i="1"/>
  <c r="G806" i="1"/>
  <c r="F806" i="1"/>
  <c r="E806" i="1"/>
  <c r="D806" i="1"/>
  <c r="C806" i="1"/>
  <c r="B806" i="1"/>
  <c r="A806" i="1"/>
  <c r="J805" i="1"/>
  <c r="I805" i="1"/>
  <c r="H805" i="1"/>
  <c r="G805" i="1"/>
  <c r="F805" i="1"/>
  <c r="E805" i="1"/>
  <c r="D805" i="1"/>
  <c r="C805" i="1"/>
  <c r="B805" i="1"/>
  <c r="A805" i="1"/>
  <c r="J804" i="1"/>
  <c r="I804" i="1"/>
  <c r="H804" i="1"/>
  <c r="G804" i="1"/>
  <c r="F804" i="1"/>
  <c r="E804" i="1"/>
  <c r="D804" i="1"/>
  <c r="C804" i="1"/>
  <c r="B804" i="1"/>
  <c r="A804" i="1"/>
  <c r="J803" i="1"/>
  <c r="I803" i="1"/>
  <c r="H803" i="1"/>
  <c r="G803" i="1"/>
  <c r="F803" i="1"/>
  <c r="E803" i="1"/>
  <c r="D803" i="1"/>
  <c r="C803" i="1"/>
  <c r="B803" i="1"/>
  <c r="A803" i="1"/>
  <c r="J802" i="1"/>
  <c r="I802" i="1"/>
  <c r="H802" i="1"/>
  <c r="G802" i="1"/>
  <c r="F802" i="1"/>
  <c r="E802" i="1"/>
  <c r="D802" i="1"/>
  <c r="C802" i="1"/>
  <c r="B802" i="1"/>
  <c r="A802" i="1"/>
  <c r="J801" i="1"/>
  <c r="I801" i="1"/>
  <c r="H801" i="1"/>
  <c r="G801" i="1"/>
  <c r="F801" i="1"/>
  <c r="E801" i="1"/>
  <c r="D801" i="1"/>
  <c r="C801" i="1"/>
  <c r="B801" i="1"/>
  <c r="A801" i="1"/>
  <c r="J800" i="1"/>
  <c r="I800" i="1"/>
  <c r="H800" i="1"/>
  <c r="G800" i="1"/>
  <c r="F800" i="1"/>
  <c r="E800" i="1"/>
  <c r="D800" i="1"/>
  <c r="C800" i="1"/>
  <c r="B800" i="1"/>
  <c r="A800" i="1"/>
  <c r="J799" i="1"/>
  <c r="I799" i="1"/>
  <c r="H799" i="1"/>
  <c r="G799" i="1"/>
  <c r="F799" i="1"/>
  <c r="E799" i="1"/>
  <c r="D799" i="1"/>
  <c r="C799" i="1"/>
  <c r="B799" i="1"/>
  <c r="A799" i="1"/>
  <c r="J798" i="1"/>
  <c r="I798" i="1"/>
  <c r="H798" i="1"/>
  <c r="G798" i="1"/>
  <c r="F798" i="1"/>
  <c r="E798" i="1"/>
  <c r="D798" i="1"/>
  <c r="C798" i="1"/>
  <c r="B798" i="1"/>
  <c r="A798" i="1"/>
  <c r="J797" i="1"/>
  <c r="I797" i="1"/>
  <c r="H797" i="1"/>
  <c r="G797" i="1"/>
  <c r="F797" i="1"/>
  <c r="E797" i="1"/>
  <c r="D797" i="1"/>
  <c r="C797" i="1"/>
  <c r="B797" i="1"/>
  <c r="A797" i="1"/>
  <c r="J796" i="1"/>
  <c r="I796" i="1"/>
  <c r="H796" i="1"/>
  <c r="G796" i="1"/>
  <c r="F796" i="1"/>
  <c r="E796" i="1"/>
  <c r="D796" i="1"/>
  <c r="C796" i="1"/>
  <c r="B796" i="1"/>
  <c r="A796" i="1"/>
  <c r="J795" i="1"/>
  <c r="I795" i="1"/>
  <c r="H795" i="1"/>
  <c r="G795" i="1"/>
  <c r="F795" i="1"/>
  <c r="E795" i="1"/>
  <c r="D795" i="1"/>
  <c r="C795" i="1"/>
  <c r="B795" i="1"/>
  <c r="A795" i="1"/>
  <c r="J794" i="1"/>
  <c r="I794" i="1"/>
  <c r="H794" i="1"/>
  <c r="G794" i="1"/>
  <c r="F794" i="1"/>
  <c r="E794" i="1"/>
  <c r="D794" i="1"/>
  <c r="C794" i="1"/>
  <c r="B794" i="1"/>
  <c r="A794" i="1"/>
  <c r="J793" i="1"/>
  <c r="I793" i="1"/>
  <c r="H793" i="1"/>
  <c r="G793" i="1"/>
  <c r="F793" i="1"/>
  <c r="E793" i="1"/>
  <c r="D793" i="1"/>
  <c r="C793" i="1"/>
  <c r="B793" i="1"/>
  <c r="A793" i="1"/>
  <c r="J792" i="1"/>
  <c r="I792" i="1"/>
  <c r="H792" i="1"/>
  <c r="G792" i="1"/>
  <c r="F792" i="1"/>
  <c r="E792" i="1"/>
  <c r="D792" i="1"/>
  <c r="C792" i="1"/>
  <c r="B792" i="1"/>
  <c r="A792" i="1"/>
  <c r="J791" i="1"/>
  <c r="I791" i="1"/>
  <c r="H791" i="1"/>
  <c r="G791" i="1"/>
  <c r="F791" i="1"/>
  <c r="E791" i="1"/>
  <c r="D791" i="1"/>
  <c r="C791" i="1"/>
  <c r="B791" i="1"/>
  <c r="A791" i="1"/>
  <c r="J790" i="1"/>
  <c r="I790" i="1"/>
  <c r="H790" i="1"/>
  <c r="G790" i="1"/>
  <c r="F790" i="1"/>
  <c r="E790" i="1"/>
  <c r="D790" i="1"/>
  <c r="C790" i="1"/>
  <c r="B790" i="1"/>
  <c r="A790" i="1"/>
  <c r="J789" i="1"/>
  <c r="I789" i="1"/>
  <c r="H789" i="1"/>
  <c r="G789" i="1"/>
  <c r="F789" i="1"/>
  <c r="E789" i="1"/>
  <c r="D789" i="1"/>
  <c r="C789" i="1"/>
  <c r="B789" i="1"/>
  <c r="A789" i="1"/>
  <c r="J788" i="1"/>
  <c r="I788" i="1"/>
  <c r="H788" i="1"/>
  <c r="G788" i="1"/>
  <c r="F788" i="1"/>
  <c r="E788" i="1"/>
  <c r="D788" i="1"/>
  <c r="C788" i="1"/>
  <c r="B788" i="1"/>
  <c r="A788" i="1"/>
  <c r="J787" i="1"/>
  <c r="I787" i="1"/>
  <c r="H787" i="1"/>
  <c r="G787" i="1"/>
  <c r="F787" i="1"/>
  <c r="E787" i="1"/>
  <c r="D787" i="1"/>
  <c r="C787" i="1"/>
  <c r="B787" i="1"/>
  <c r="A787" i="1"/>
  <c r="J786" i="1"/>
  <c r="I786" i="1"/>
  <c r="H786" i="1"/>
  <c r="G786" i="1"/>
  <c r="F786" i="1"/>
  <c r="E786" i="1"/>
  <c r="D786" i="1"/>
  <c r="C786" i="1"/>
  <c r="B786" i="1"/>
  <c r="A786" i="1"/>
  <c r="J785" i="1"/>
  <c r="I785" i="1"/>
  <c r="H785" i="1"/>
  <c r="G785" i="1"/>
  <c r="F785" i="1"/>
  <c r="E785" i="1"/>
  <c r="D785" i="1"/>
  <c r="C785" i="1"/>
  <c r="B785" i="1"/>
  <c r="A785" i="1"/>
  <c r="J784" i="1"/>
  <c r="I784" i="1"/>
  <c r="H784" i="1"/>
  <c r="G784" i="1"/>
  <c r="F784" i="1"/>
  <c r="E784" i="1"/>
  <c r="D784" i="1"/>
  <c r="C784" i="1"/>
  <c r="B784" i="1"/>
  <c r="A784" i="1"/>
  <c r="J783" i="1"/>
  <c r="I783" i="1"/>
  <c r="H783" i="1"/>
  <c r="G783" i="1"/>
  <c r="F783" i="1"/>
  <c r="E783" i="1"/>
  <c r="D783" i="1"/>
  <c r="C783" i="1"/>
  <c r="B783" i="1"/>
  <c r="A783" i="1"/>
  <c r="J782" i="1"/>
  <c r="I782" i="1"/>
  <c r="H782" i="1"/>
  <c r="G782" i="1"/>
  <c r="F782" i="1"/>
  <c r="E782" i="1"/>
  <c r="D782" i="1"/>
  <c r="C782" i="1"/>
  <c r="B782" i="1"/>
  <c r="A782" i="1"/>
  <c r="J781" i="1"/>
  <c r="I781" i="1"/>
  <c r="H781" i="1"/>
  <c r="G781" i="1"/>
  <c r="F781" i="1"/>
  <c r="E781" i="1"/>
  <c r="D781" i="1"/>
  <c r="C781" i="1"/>
  <c r="B781" i="1"/>
  <c r="A781" i="1"/>
  <c r="J780" i="1"/>
  <c r="I780" i="1"/>
  <c r="H780" i="1"/>
  <c r="G780" i="1"/>
  <c r="F780" i="1"/>
  <c r="E780" i="1"/>
  <c r="D780" i="1"/>
  <c r="C780" i="1"/>
  <c r="B780" i="1"/>
  <c r="A780" i="1"/>
  <c r="J779" i="1"/>
  <c r="I779" i="1"/>
  <c r="H779" i="1"/>
  <c r="G779" i="1"/>
  <c r="F779" i="1"/>
  <c r="E779" i="1"/>
  <c r="D779" i="1"/>
  <c r="C779" i="1"/>
  <c r="B779" i="1"/>
  <c r="A779" i="1"/>
  <c r="J778" i="1"/>
  <c r="I778" i="1"/>
  <c r="H778" i="1"/>
  <c r="G778" i="1"/>
  <c r="F778" i="1"/>
  <c r="E778" i="1"/>
  <c r="D778" i="1"/>
  <c r="C778" i="1"/>
  <c r="B778" i="1"/>
  <c r="A778" i="1"/>
  <c r="J777" i="1"/>
  <c r="I777" i="1"/>
  <c r="H777" i="1"/>
  <c r="G777" i="1"/>
  <c r="F777" i="1"/>
  <c r="E777" i="1"/>
  <c r="D777" i="1"/>
  <c r="C777" i="1"/>
  <c r="B777" i="1"/>
  <c r="A777" i="1"/>
  <c r="J776" i="1"/>
  <c r="I776" i="1"/>
  <c r="H776" i="1"/>
  <c r="G776" i="1"/>
  <c r="F776" i="1"/>
  <c r="E776" i="1"/>
  <c r="D776" i="1"/>
  <c r="C776" i="1"/>
  <c r="B776" i="1"/>
  <c r="A776" i="1"/>
  <c r="J775" i="1"/>
  <c r="I775" i="1"/>
  <c r="H775" i="1"/>
  <c r="G775" i="1"/>
  <c r="F775" i="1"/>
  <c r="E775" i="1"/>
  <c r="D775" i="1"/>
  <c r="C775" i="1"/>
  <c r="B775" i="1"/>
  <c r="A775" i="1"/>
  <c r="J774" i="1"/>
  <c r="I774" i="1"/>
  <c r="H774" i="1"/>
  <c r="G774" i="1"/>
  <c r="F774" i="1"/>
  <c r="E774" i="1"/>
  <c r="D774" i="1"/>
  <c r="C774" i="1"/>
  <c r="B774" i="1"/>
  <c r="A774" i="1"/>
  <c r="J773" i="1"/>
  <c r="I773" i="1"/>
  <c r="H773" i="1"/>
  <c r="G773" i="1"/>
  <c r="F773" i="1"/>
  <c r="E773" i="1"/>
  <c r="D773" i="1"/>
  <c r="C773" i="1"/>
  <c r="B773" i="1"/>
  <c r="A773" i="1"/>
  <c r="J772" i="1"/>
  <c r="I772" i="1"/>
  <c r="H772" i="1"/>
  <c r="G772" i="1"/>
  <c r="F772" i="1"/>
  <c r="E772" i="1"/>
  <c r="D772" i="1"/>
  <c r="C772" i="1"/>
  <c r="B772" i="1"/>
  <c r="A772" i="1"/>
  <c r="J771" i="1"/>
  <c r="I771" i="1"/>
  <c r="H771" i="1"/>
  <c r="G771" i="1"/>
  <c r="F771" i="1"/>
  <c r="E771" i="1"/>
  <c r="D771" i="1"/>
  <c r="C771" i="1"/>
  <c r="B771" i="1"/>
  <c r="A771" i="1"/>
  <c r="J770" i="1"/>
  <c r="I770" i="1"/>
  <c r="H770" i="1"/>
  <c r="G770" i="1"/>
  <c r="F770" i="1"/>
  <c r="E770" i="1"/>
  <c r="D770" i="1"/>
  <c r="C770" i="1"/>
  <c r="B770" i="1"/>
  <c r="A770" i="1"/>
  <c r="J769" i="1"/>
  <c r="I769" i="1"/>
  <c r="H769" i="1"/>
  <c r="G769" i="1"/>
  <c r="F769" i="1"/>
  <c r="E769" i="1"/>
  <c r="D769" i="1"/>
  <c r="C769" i="1"/>
  <c r="B769" i="1"/>
  <c r="A769" i="1"/>
  <c r="J768" i="1"/>
  <c r="I768" i="1"/>
  <c r="H768" i="1"/>
  <c r="G768" i="1"/>
  <c r="F768" i="1"/>
  <c r="E768" i="1"/>
  <c r="D768" i="1"/>
  <c r="C768" i="1"/>
  <c r="B768" i="1"/>
  <c r="A768" i="1"/>
  <c r="J767" i="1"/>
  <c r="I767" i="1"/>
  <c r="H767" i="1"/>
  <c r="G767" i="1"/>
  <c r="F767" i="1"/>
  <c r="E767" i="1"/>
  <c r="D767" i="1"/>
  <c r="C767" i="1"/>
  <c r="B767" i="1"/>
  <c r="A767" i="1"/>
  <c r="J766" i="1"/>
  <c r="I766" i="1"/>
  <c r="H766" i="1"/>
  <c r="G766" i="1"/>
  <c r="F766" i="1"/>
  <c r="E766" i="1"/>
  <c r="D766" i="1"/>
  <c r="C766" i="1"/>
  <c r="B766" i="1"/>
  <c r="A766" i="1"/>
  <c r="J765" i="1"/>
  <c r="I765" i="1"/>
  <c r="H765" i="1"/>
  <c r="G765" i="1"/>
  <c r="F765" i="1"/>
  <c r="E765" i="1"/>
  <c r="D765" i="1"/>
  <c r="C765" i="1"/>
  <c r="B765" i="1"/>
  <c r="A765" i="1"/>
  <c r="J764" i="1"/>
  <c r="I764" i="1"/>
  <c r="H764" i="1"/>
  <c r="G764" i="1"/>
  <c r="F764" i="1"/>
  <c r="E764" i="1"/>
  <c r="D764" i="1"/>
  <c r="C764" i="1"/>
  <c r="B764" i="1"/>
  <c r="A764" i="1"/>
  <c r="J763" i="1"/>
  <c r="I763" i="1"/>
  <c r="H763" i="1"/>
  <c r="G763" i="1"/>
  <c r="F763" i="1"/>
  <c r="E763" i="1"/>
  <c r="D763" i="1"/>
  <c r="C763" i="1"/>
  <c r="B763" i="1"/>
  <c r="A763" i="1"/>
  <c r="J762" i="1"/>
  <c r="I762" i="1"/>
  <c r="H762" i="1"/>
  <c r="G762" i="1"/>
  <c r="F762" i="1"/>
  <c r="E762" i="1"/>
  <c r="D762" i="1"/>
  <c r="C762" i="1"/>
  <c r="B762" i="1"/>
  <c r="A762" i="1"/>
  <c r="J761" i="1"/>
  <c r="I761" i="1"/>
  <c r="H761" i="1"/>
  <c r="G761" i="1"/>
  <c r="F761" i="1"/>
  <c r="E761" i="1"/>
  <c r="D761" i="1"/>
  <c r="C761" i="1"/>
  <c r="B761" i="1"/>
  <c r="A761" i="1"/>
  <c r="J760" i="1"/>
  <c r="I760" i="1"/>
  <c r="H760" i="1"/>
  <c r="G760" i="1"/>
  <c r="F760" i="1"/>
  <c r="E760" i="1"/>
  <c r="D760" i="1"/>
  <c r="C760" i="1"/>
  <c r="B760" i="1"/>
  <c r="A760" i="1"/>
  <c r="J759" i="1"/>
  <c r="I759" i="1"/>
  <c r="H759" i="1"/>
  <c r="G759" i="1"/>
  <c r="F759" i="1"/>
  <c r="E759" i="1"/>
  <c r="D759" i="1"/>
  <c r="C759" i="1"/>
  <c r="B759" i="1"/>
  <c r="A759" i="1"/>
  <c r="J758" i="1"/>
  <c r="I758" i="1"/>
  <c r="H758" i="1"/>
  <c r="G758" i="1"/>
  <c r="F758" i="1"/>
  <c r="E758" i="1"/>
  <c r="D758" i="1"/>
  <c r="C758" i="1"/>
  <c r="B758" i="1"/>
  <c r="A758" i="1"/>
  <c r="J757" i="1"/>
  <c r="I757" i="1"/>
  <c r="H757" i="1"/>
  <c r="G757" i="1"/>
  <c r="F757" i="1"/>
  <c r="E757" i="1"/>
  <c r="D757" i="1"/>
  <c r="C757" i="1"/>
  <c r="B757" i="1"/>
  <c r="A757" i="1"/>
  <c r="J756" i="1"/>
  <c r="I756" i="1"/>
  <c r="H756" i="1"/>
  <c r="G756" i="1"/>
  <c r="F756" i="1"/>
  <c r="E756" i="1"/>
  <c r="D756" i="1"/>
  <c r="C756" i="1"/>
  <c r="B756" i="1"/>
  <c r="A756" i="1"/>
  <c r="J755" i="1"/>
  <c r="I755" i="1"/>
  <c r="H755" i="1"/>
  <c r="G755" i="1"/>
  <c r="F755" i="1"/>
  <c r="E755" i="1"/>
  <c r="D755" i="1"/>
  <c r="C755" i="1"/>
  <c r="B755" i="1"/>
  <c r="A755" i="1"/>
  <c r="J754" i="1"/>
  <c r="I754" i="1"/>
  <c r="H754" i="1"/>
  <c r="G754" i="1"/>
  <c r="F754" i="1"/>
  <c r="E754" i="1"/>
  <c r="D754" i="1"/>
  <c r="C754" i="1"/>
  <c r="B754" i="1"/>
  <c r="A754" i="1"/>
  <c r="J753" i="1"/>
  <c r="I753" i="1"/>
  <c r="H753" i="1"/>
  <c r="G753" i="1"/>
  <c r="F753" i="1"/>
  <c r="E753" i="1"/>
  <c r="D753" i="1"/>
  <c r="C753" i="1"/>
  <c r="B753" i="1"/>
  <c r="A753" i="1"/>
  <c r="J752" i="1"/>
  <c r="I752" i="1"/>
  <c r="H752" i="1"/>
  <c r="G752" i="1"/>
  <c r="F752" i="1"/>
  <c r="E752" i="1"/>
  <c r="D752" i="1"/>
  <c r="C752" i="1"/>
  <c r="B752" i="1"/>
  <c r="A752" i="1"/>
  <c r="J751" i="1"/>
  <c r="I751" i="1"/>
  <c r="H751" i="1"/>
  <c r="G751" i="1"/>
  <c r="F751" i="1"/>
  <c r="E751" i="1"/>
  <c r="D751" i="1"/>
  <c r="C751" i="1"/>
  <c r="B751" i="1"/>
  <c r="A751" i="1"/>
  <c r="J750" i="1"/>
  <c r="I750" i="1"/>
  <c r="H750" i="1"/>
  <c r="G750" i="1"/>
  <c r="F750" i="1"/>
  <c r="E750" i="1"/>
  <c r="D750" i="1"/>
  <c r="C750" i="1"/>
  <c r="B750" i="1"/>
  <c r="A750" i="1"/>
  <c r="J749" i="1"/>
  <c r="I749" i="1"/>
  <c r="H749" i="1"/>
  <c r="G749" i="1"/>
  <c r="F749" i="1"/>
  <c r="E749" i="1"/>
  <c r="D749" i="1"/>
  <c r="C749" i="1"/>
  <c r="B749" i="1"/>
  <c r="A749" i="1"/>
  <c r="J748" i="1"/>
  <c r="I748" i="1"/>
  <c r="H748" i="1"/>
  <c r="G748" i="1"/>
  <c r="F748" i="1"/>
  <c r="E748" i="1"/>
  <c r="D748" i="1"/>
  <c r="C748" i="1"/>
  <c r="B748" i="1"/>
  <c r="A748" i="1"/>
  <c r="J747" i="1"/>
  <c r="I747" i="1"/>
  <c r="H747" i="1"/>
  <c r="G747" i="1"/>
  <c r="F747" i="1"/>
  <c r="E747" i="1"/>
  <c r="D747" i="1"/>
  <c r="C747" i="1"/>
  <c r="B747" i="1"/>
  <c r="A747" i="1"/>
  <c r="J746" i="1"/>
  <c r="I746" i="1"/>
  <c r="H746" i="1"/>
  <c r="G746" i="1"/>
  <c r="F746" i="1"/>
  <c r="E746" i="1"/>
  <c r="D746" i="1"/>
  <c r="C746" i="1"/>
  <c r="B746" i="1"/>
  <c r="A746" i="1"/>
  <c r="J745" i="1"/>
  <c r="I745" i="1"/>
  <c r="H745" i="1"/>
  <c r="G745" i="1"/>
  <c r="F745" i="1"/>
  <c r="E745" i="1"/>
  <c r="D745" i="1"/>
  <c r="C745" i="1"/>
  <c r="B745" i="1"/>
  <c r="A745" i="1"/>
  <c r="J744" i="1"/>
  <c r="I744" i="1"/>
  <c r="H744" i="1"/>
  <c r="G744" i="1"/>
  <c r="F744" i="1"/>
  <c r="E744" i="1"/>
  <c r="D744" i="1"/>
  <c r="C744" i="1"/>
  <c r="B744" i="1"/>
  <c r="A744" i="1"/>
  <c r="J743" i="1"/>
  <c r="H743" i="1"/>
  <c r="G743" i="1"/>
  <c r="F743" i="1"/>
  <c r="E743" i="1"/>
  <c r="D743" i="1"/>
  <c r="C743" i="1"/>
  <c r="B743" i="1"/>
  <c r="A743" i="1"/>
  <c r="J742" i="1"/>
  <c r="H742" i="1"/>
  <c r="G742" i="1"/>
  <c r="F742" i="1"/>
  <c r="E742" i="1"/>
  <c r="D742" i="1"/>
  <c r="C742" i="1"/>
  <c r="B742" i="1"/>
  <c r="A742" i="1"/>
  <c r="J741" i="1"/>
  <c r="H741" i="1"/>
  <c r="G741" i="1"/>
  <c r="F741" i="1"/>
  <c r="E741" i="1"/>
  <c r="D741" i="1"/>
  <c r="C741" i="1"/>
  <c r="B741" i="1"/>
  <c r="A741" i="1"/>
  <c r="J740" i="1"/>
  <c r="H740" i="1"/>
  <c r="G740" i="1"/>
  <c r="F740" i="1"/>
  <c r="E740" i="1"/>
  <c r="D740" i="1"/>
  <c r="C740" i="1"/>
  <c r="B740" i="1"/>
  <c r="A740" i="1"/>
  <c r="J739" i="1"/>
  <c r="H739" i="1"/>
  <c r="G739" i="1"/>
  <c r="F739" i="1"/>
  <c r="E739" i="1"/>
  <c r="D739" i="1"/>
  <c r="C739" i="1"/>
  <c r="B739" i="1"/>
  <c r="A739" i="1"/>
  <c r="J738" i="1"/>
  <c r="H738" i="1"/>
  <c r="G738" i="1"/>
  <c r="F738" i="1"/>
  <c r="E738" i="1"/>
  <c r="D738" i="1"/>
  <c r="C738" i="1"/>
  <c r="B738" i="1"/>
  <c r="A738" i="1"/>
  <c r="J737" i="1"/>
  <c r="H737" i="1"/>
  <c r="G737" i="1"/>
  <c r="F737" i="1"/>
  <c r="E737" i="1"/>
  <c r="D737" i="1"/>
  <c r="C737" i="1"/>
  <c r="B737" i="1"/>
  <c r="A737" i="1"/>
  <c r="J736" i="1"/>
  <c r="I736" i="1"/>
  <c r="H736" i="1"/>
  <c r="G736" i="1"/>
  <c r="F736" i="1"/>
  <c r="E736" i="1"/>
  <c r="D736" i="1"/>
  <c r="C736" i="1"/>
  <c r="B736" i="1"/>
  <c r="A736" i="1"/>
  <c r="J735" i="1"/>
  <c r="I735" i="1"/>
  <c r="H735" i="1"/>
  <c r="G735" i="1"/>
  <c r="F735" i="1"/>
  <c r="E735" i="1"/>
  <c r="D735" i="1"/>
  <c r="C735" i="1"/>
  <c r="B735" i="1"/>
  <c r="A735" i="1"/>
  <c r="J734" i="1"/>
  <c r="I734" i="1"/>
  <c r="H734" i="1"/>
  <c r="G734" i="1"/>
  <c r="F734" i="1"/>
  <c r="E734" i="1"/>
  <c r="D734" i="1"/>
  <c r="C734" i="1"/>
  <c r="B734" i="1"/>
  <c r="A734" i="1"/>
  <c r="J733" i="1"/>
  <c r="I733" i="1"/>
  <c r="H733" i="1"/>
  <c r="G733" i="1"/>
  <c r="F733" i="1"/>
  <c r="E733" i="1"/>
  <c r="D733" i="1"/>
  <c r="C733" i="1"/>
  <c r="B733" i="1"/>
  <c r="A733" i="1"/>
  <c r="J732" i="1"/>
  <c r="I732" i="1"/>
  <c r="H732" i="1"/>
  <c r="G732" i="1"/>
  <c r="F732" i="1"/>
  <c r="E732" i="1"/>
  <c r="D732" i="1"/>
  <c r="C732" i="1"/>
  <c r="B732" i="1"/>
  <c r="A732" i="1"/>
  <c r="J731" i="1"/>
  <c r="I731" i="1"/>
  <c r="H731" i="1"/>
  <c r="G731" i="1"/>
  <c r="F731" i="1"/>
  <c r="E731" i="1"/>
  <c r="D731" i="1"/>
  <c r="C731" i="1"/>
  <c r="B731" i="1"/>
  <c r="A731" i="1"/>
  <c r="J730" i="1"/>
  <c r="I730" i="1"/>
  <c r="H730" i="1"/>
  <c r="G730" i="1"/>
  <c r="F730" i="1"/>
  <c r="E730" i="1"/>
  <c r="D730" i="1"/>
  <c r="C730" i="1"/>
  <c r="B730" i="1"/>
  <c r="A730" i="1"/>
  <c r="J729" i="1"/>
  <c r="I729" i="1"/>
  <c r="H729" i="1"/>
  <c r="G729" i="1"/>
  <c r="F729" i="1"/>
  <c r="E729" i="1"/>
  <c r="D729" i="1"/>
  <c r="C729" i="1"/>
  <c r="B729" i="1"/>
  <c r="A729" i="1"/>
  <c r="J728" i="1"/>
  <c r="I728" i="1"/>
  <c r="H728" i="1"/>
  <c r="G728" i="1"/>
  <c r="F728" i="1"/>
  <c r="E728" i="1"/>
  <c r="D728" i="1"/>
  <c r="C728" i="1"/>
  <c r="B728" i="1"/>
  <c r="A728" i="1"/>
  <c r="J727" i="1"/>
  <c r="I727" i="1"/>
  <c r="H727" i="1"/>
  <c r="G727" i="1"/>
  <c r="F727" i="1"/>
  <c r="E727" i="1"/>
  <c r="D727" i="1"/>
  <c r="C727" i="1"/>
  <c r="B727" i="1"/>
  <c r="A727" i="1"/>
  <c r="J726" i="1"/>
  <c r="I726" i="1"/>
  <c r="H726" i="1"/>
  <c r="G726" i="1"/>
  <c r="F726" i="1"/>
  <c r="E726" i="1"/>
  <c r="D726" i="1"/>
  <c r="C726" i="1"/>
  <c r="B726" i="1"/>
  <c r="A726" i="1"/>
  <c r="J725" i="1"/>
  <c r="I725" i="1"/>
  <c r="H725" i="1"/>
  <c r="G725" i="1"/>
  <c r="F725" i="1"/>
  <c r="E725" i="1"/>
  <c r="D725" i="1"/>
  <c r="C725" i="1"/>
  <c r="B725" i="1"/>
  <c r="A725" i="1"/>
  <c r="J724" i="1"/>
  <c r="I724" i="1"/>
  <c r="H724" i="1"/>
  <c r="G724" i="1"/>
  <c r="F724" i="1"/>
  <c r="E724" i="1"/>
  <c r="D724" i="1"/>
  <c r="C724" i="1"/>
  <c r="B724" i="1"/>
  <c r="A724" i="1"/>
  <c r="J723" i="1"/>
  <c r="I723" i="1"/>
  <c r="H723" i="1"/>
  <c r="G723" i="1"/>
  <c r="F723" i="1"/>
  <c r="E723" i="1"/>
  <c r="D723" i="1"/>
  <c r="C723" i="1"/>
  <c r="B723" i="1"/>
  <c r="A723" i="1"/>
  <c r="J722" i="1"/>
  <c r="I722" i="1"/>
  <c r="H722" i="1"/>
  <c r="G722" i="1"/>
  <c r="F722" i="1"/>
  <c r="E722" i="1"/>
  <c r="D722" i="1"/>
  <c r="C722" i="1"/>
  <c r="B722" i="1"/>
  <c r="A722" i="1"/>
  <c r="J721" i="1"/>
  <c r="I721" i="1"/>
  <c r="H721" i="1"/>
  <c r="G721" i="1"/>
  <c r="F721" i="1"/>
  <c r="E721" i="1"/>
  <c r="D721" i="1"/>
  <c r="C721" i="1"/>
  <c r="B721" i="1"/>
  <c r="A721" i="1"/>
  <c r="J720" i="1"/>
  <c r="I720" i="1"/>
  <c r="H720" i="1"/>
  <c r="G720" i="1"/>
  <c r="F720" i="1"/>
  <c r="E720" i="1"/>
  <c r="D720" i="1"/>
  <c r="C720" i="1"/>
  <c r="B720" i="1"/>
  <c r="A720" i="1"/>
  <c r="J719" i="1"/>
  <c r="I719" i="1"/>
  <c r="H719" i="1"/>
  <c r="G719" i="1"/>
  <c r="F719" i="1"/>
  <c r="E719" i="1"/>
  <c r="D719" i="1"/>
  <c r="C719" i="1"/>
  <c r="B719" i="1"/>
  <c r="A719" i="1"/>
  <c r="J718" i="1"/>
  <c r="I718" i="1"/>
  <c r="H718" i="1"/>
  <c r="G718" i="1"/>
  <c r="F718" i="1"/>
  <c r="E718" i="1"/>
  <c r="D718" i="1"/>
  <c r="C718" i="1"/>
  <c r="B718" i="1"/>
  <c r="A718" i="1"/>
  <c r="J717" i="1"/>
  <c r="I717" i="1"/>
  <c r="H717" i="1"/>
  <c r="G717" i="1"/>
  <c r="F717" i="1"/>
  <c r="E717" i="1"/>
  <c r="D717" i="1"/>
  <c r="C717" i="1"/>
  <c r="B717" i="1"/>
  <c r="A717" i="1"/>
  <c r="J716" i="1"/>
  <c r="I716" i="1"/>
  <c r="H716" i="1"/>
  <c r="G716" i="1"/>
  <c r="F716" i="1"/>
  <c r="E716" i="1"/>
  <c r="D716" i="1"/>
  <c r="C716" i="1"/>
  <c r="B716" i="1"/>
  <c r="A716" i="1"/>
  <c r="J715" i="1"/>
  <c r="I715" i="1"/>
  <c r="H715" i="1"/>
  <c r="G715" i="1"/>
  <c r="F715" i="1"/>
  <c r="E715" i="1"/>
  <c r="D715" i="1"/>
  <c r="C715" i="1"/>
  <c r="B715" i="1"/>
  <c r="A715" i="1"/>
  <c r="J714" i="1"/>
  <c r="I714" i="1"/>
  <c r="H714" i="1"/>
  <c r="G714" i="1"/>
  <c r="F714" i="1"/>
  <c r="E714" i="1"/>
  <c r="D714" i="1"/>
  <c r="C714" i="1"/>
  <c r="B714" i="1"/>
  <c r="A714" i="1"/>
  <c r="J713" i="1"/>
  <c r="I713" i="1"/>
  <c r="H713" i="1"/>
  <c r="G713" i="1"/>
  <c r="F713" i="1"/>
  <c r="E713" i="1"/>
  <c r="D713" i="1"/>
  <c r="C713" i="1"/>
  <c r="B713" i="1"/>
  <c r="A713" i="1"/>
  <c r="J712" i="1"/>
  <c r="I712" i="1"/>
  <c r="H712" i="1"/>
  <c r="G712" i="1"/>
  <c r="F712" i="1"/>
  <c r="E712" i="1"/>
  <c r="D712" i="1"/>
  <c r="C712" i="1"/>
  <c r="B712" i="1"/>
  <c r="A712" i="1"/>
  <c r="J711" i="1"/>
  <c r="I711" i="1"/>
  <c r="H711" i="1"/>
  <c r="G711" i="1"/>
  <c r="F711" i="1"/>
  <c r="E711" i="1"/>
  <c r="D711" i="1"/>
  <c r="C711" i="1"/>
  <c r="B711" i="1"/>
  <c r="A711" i="1"/>
  <c r="J710" i="1"/>
  <c r="I710" i="1"/>
  <c r="H710" i="1"/>
  <c r="G710" i="1"/>
  <c r="F710" i="1"/>
  <c r="E710" i="1"/>
  <c r="D710" i="1"/>
  <c r="C710" i="1"/>
  <c r="B710" i="1"/>
  <c r="A710" i="1"/>
  <c r="J709" i="1"/>
  <c r="I709" i="1"/>
  <c r="H709" i="1"/>
  <c r="G709" i="1"/>
  <c r="F709" i="1"/>
  <c r="E709" i="1"/>
  <c r="D709" i="1"/>
  <c r="C709" i="1"/>
  <c r="B709" i="1"/>
  <c r="A709" i="1"/>
  <c r="J708" i="1"/>
  <c r="I708" i="1"/>
  <c r="H708" i="1"/>
  <c r="G708" i="1"/>
  <c r="F708" i="1"/>
  <c r="E708" i="1"/>
  <c r="D708" i="1"/>
  <c r="C708" i="1"/>
  <c r="B708" i="1"/>
  <c r="A708" i="1"/>
  <c r="J707" i="1"/>
  <c r="I707" i="1"/>
  <c r="H707" i="1"/>
  <c r="G707" i="1"/>
  <c r="F707" i="1"/>
  <c r="E707" i="1"/>
  <c r="D707" i="1"/>
  <c r="C707" i="1"/>
  <c r="B707" i="1"/>
  <c r="A707" i="1"/>
  <c r="J706" i="1"/>
  <c r="I706" i="1"/>
  <c r="H706" i="1"/>
  <c r="G706" i="1"/>
  <c r="F706" i="1"/>
  <c r="E706" i="1"/>
  <c r="D706" i="1"/>
  <c r="C706" i="1"/>
  <c r="B706" i="1"/>
  <c r="A706" i="1"/>
  <c r="J705" i="1"/>
  <c r="I705" i="1"/>
  <c r="H705" i="1"/>
  <c r="G705" i="1"/>
  <c r="F705" i="1"/>
  <c r="E705" i="1"/>
  <c r="D705" i="1"/>
  <c r="C705" i="1"/>
  <c r="B705" i="1"/>
  <c r="A705" i="1"/>
  <c r="J704" i="1"/>
  <c r="I704" i="1"/>
  <c r="H704" i="1"/>
  <c r="G704" i="1"/>
  <c r="F704" i="1"/>
  <c r="E704" i="1"/>
  <c r="D704" i="1"/>
  <c r="C704" i="1"/>
  <c r="B704" i="1"/>
  <c r="A704" i="1"/>
  <c r="J703" i="1"/>
  <c r="I703" i="1"/>
  <c r="H703" i="1"/>
  <c r="G703" i="1"/>
  <c r="F703" i="1"/>
  <c r="E703" i="1"/>
  <c r="D703" i="1"/>
  <c r="C703" i="1"/>
  <c r="B703" i="1"/>
  <c r="A703" i="1"/>
  <c r="J702" i="1"/>
  <c r="I702" i="1"/>
  <c r="H702" i="1"/>
  <c r="G702" i="1"/>
  <c r="F702" i="1"/>
  <c r="E702" i="1"/>
  <c r="D702" i="1"/>
  <c r="C702" i="1"/>
  <c r="B702" i="1"/>
  <c r="A702" i="1"/>
  <c r="J701" i="1"/>
  <c r="I701" i="1"/>
  <c r="H701" i="1"/>
  <c r="G701" i="1"/>
  <c r="F701" i="1"/>
  <c r="E701" i="1"/>
  <c r="D701" i="1"/>
  <c r="C701" i="1"/>
  <c r="B701" i="1"/>
  <c r="A701" i="1"/>
  <c r="J700" i="1"/>
  <c r="I700" i="1"/>
  <c r="H700" i="1"/>
  <c r="G700" i="1"/>
  <c r="F700" i="1"/>
  <c r="E700" i="1"/>
  <c r="D700" i="1"/>
  <c r="C700" i="1"/>
  <c r="B700" i="1"/>
  <c r="A700" i="1"/>
  <c r="J699" i="1"/>
  <c r="I699" i="1"/>
  <c r="H699" i="1"/>
  <c r="G699" i="1"/>
  <c r="F699" i="1"/>
  <c r="E699" i="1"/>
  <c r="D699" i="1"/>
  <c r="C699" i="1"/>
  <c r="B699" i="1"/>
  <c r="A699" i="1"/>
  <c r="J698" i="1"/>
  <c r="I698" i="1"/>
  <c r="H698" i="1"/>
  <c r="G698" i="1"/>
  <c r="F698" i="1"/>
  <c r="E698" i="1"/>
  <c r="D698" i="1"/>
  <c r="C698" i="1"/>
  <c r="B698" i="1"/>
  <c r="A698" i="1"/>
  <c r="J697" i="1"/>
  <c r="I697" i="1"/>
  <c r="H697" i="1"/>
  <c r="G697" i="1"/>
  <c r="F697" i="1"/>
  <c r="E697" i="1"/>
  <c r="D697" i="1"/>
  <c r="C697" i="1"/>
  <c r="B697" i="1"/>
  <c r="A697" i="1"/>
  <c r="J696" i="1"/>
  <c r="I696" i="1"/>
  <c r="H696" i="1"/>
  <c r="G696" i="1"/>
  <c r="F696" i="1"/>
  <c r="E696" i="1"/>
  <c r="D696" i="1"/>
  <c r="C696" i="1"/>
  <c r="B696" i="1"/>
  <c r="A696" i="1"/>
  <c r="J695" i="1"/>
  <c r="I695" i="1"/>
  <c r="H695" i="1"/>
  <c r="G695" i="1"/>
  <c r="F695" i="1"/>
  <c r="E695" i="1"/>
  <c r="D695" i="1"/>
  <c r="C695" i="1"/>
  <c r="B695" i="1"/>
  <c r="A695" i="1"/>
  <c r="J694" i="1"/>
  <c r="I694" i="1"/>
  <c r="H694" i="1"/>
  <c r="G694" i="1"/>
  <c r="F694" i="1"/>
  <c r="E694" i="1"/>
  <c r="D694" i="1"/>
  <c r="C694" i="1"/>
  <c r="B694" i="1"/>
  <c r="A694" i="1"/>
  <c r="J693" i="1"/>
  <c r="I693" i="1"/>
  <c r="H693" i="1"/>
  <c r="G693" i="1"/>
  <c r="F693" i="1"/>
  <c r="E693" i="1"/>
  <c r="D693" i="1"/>
  <c r="C693" i="1"/>
  <c r="B693" i="1"/>
  <c r="A693" i="1"/>
  <c r="J692" i="1"/>
  <c r="I692" i="1"/>
  <c r="H692" i="1"/>
  <c r="G692" i="1"/>
  <c r="F692" i="1"/>
  <c r="E692" i="1"/>
  <c r="D692" i="1"/>
  <c r="C692" i="1"/>
  <c r="B692" i="1"/>
  <c r="A692" i="1"/>
  <c r="J691" i="1"/>
  <c r="I691" i="1"/>
  <c r="H691" i="1"/>
  <c r="G691" i="1"/>
  <c r="F691" i="1"/>
  <c r="E691" i="1"/>
  <c r="D691" i="1"/>
  <c r="C691" i="1"/>
  <c r="B691" i="1"/>
  <c r="A691" i="1"/>
  <c r="J690" i="1"/>
  <c r="I690" i="1"/>
  <c r="H690" i="1"/>
  <c r="G690" i="1"/>
  <c r="F690" i="1"/>
  <c r="E690" i="1"/>
  <c r="D690" i="1"/>
  <c r="C690" i="1"/>
  <c r="B690" i="1"/>
  <c r="A690" i="1"/>
  <c r="J689" i="1"/>
  <c r="I689" i="1"/>
  <c r="H689" i="1"/>
  <c r="G689" i="1"/>
  <c r="F689" i="1"/>
  <c r="E689" i="1"/>
  <c r="D689" i="1"/>
  <c r="C689" i="1"/>
  <c r="B689" i="1"/>
  <c r="A689" i="1"/>
  <c r="J688" i="1"/>
  <c r="I688" i="1"/>
  <c r="H688" i="1"/>
  <c r="G688" i="1"/>
  <c r="F688" i="1"/>
  <c r="E688" i="1"/>
  <c r="D688" i="1"/>
  <c r="C688" i="1"/>
  <c r="B688" i="1"/>
  <c r="A688" i="1"/>
  <c r="J687" i="1"/>
  <c r="I687" i="1"/>
  <c r="H687" i="1"/>
  <c r="G687" i="1"/>
  <c r="F687" i="1"/>
  <c r="E687" i="1"/>
  <c r="D687" i="1"/>
  <c r="C687" i="1"/>
  <c r="B687" i="1"/>
  <c r="A687" i="1"/>
  <c r="J686" i="1"/>
  <c r="I686" i="1"/>
  <c r="H686" i="1"/>
  <c r="G686" i="1"/>
  <c r="F686" i="1"/>
  <c r="E686" i="1"/>
  <c r="D686" i="1"/>
  <c r="C686" i="1"/>
  <c r="B686" i="1"/>
  <c r="A686" i="1"/>
  <c r="J685" i="1"/>
  <c r="I685" i="1"/>
  <c r="H685" i="1"/>
  <c r="G685" i="1"/>
  <c r="F685" i="1"/>
  <c r="E685" i="1"/>
  <c r="D685" i="1"/>
  <c r="C685" i="1"/>
  <c r="B685" i="1"/>
  <c r="A685" i="1"/>
  <c r="J684" i="1"/>
  <c r="I684" i="1"/>
  <c r="H684" i="1"/>
  <c r="G684" i="1"/>
  <c r="F684" i="1"/>
  <c r="E684" i="1"/>
  <c r="D684" i="1"/>
  <c r="C684" i="1"/>
  <c r="B684" i="1"/>
  <c r="A684" i="1"/>
  <c r="J683" i="1"/>
  <c r="I683" i="1"/>
  <c r="H683" i="1"/>
  <c r="G683" i="1"/>
  <c r="F683" i="1"/>
  <c r="E683" i="1"/>
  <c r="D683" i="1"/>
  <c r="C683" i="1"/>
  <c r="B683" i="1"/>
  <c r="A683" i="1"/>
  <c r="J682" i="1"/>
  <c r="I682" i="1"/>
  <c r="H682" i="1"/>
  <c r="G682" i="1"/>
  <c r="F682" i="1"/>
  <c r="E682" i="1"/>
  <c r="D682" i="1"/>
  <c r="C682" i="1"/>
  <c r="B682" i="1"/>
  <c r="A682" i="1"/>
  <c r="J681" i="1"/>
  <c r="I681" i="1"/>
  <c r="H681" i="1"/>
  <c r="G681" i="1"/>
  <c r="F681" i="1"/>
  <c r="E681" i="1"/>
  <c r="D681" i="1"/>
  <c r="C681" i="1"/>
  <c r="B681" i="1"/>
  <c r="A681" i="1"/>
  <c r="J680" i="1"/>
  <c r="I680" i="1"/>
  <c r="H680" i="1"/>
  <c r="G680" i="1"/>
  <c r="F680" i="1"/>
  <c r="E680" i="1"/>
  <c r="D680" i="1"/>
  <c r="C680" i="1"/>
  <c r="B680" i="1"/>
  <c r="A680" i="1"/>
  <c r="J679" i="1"/>
  <c r="I679" i="1"/>
  <c r="H679" i="1"/>
  <c r="G679" i="1"/>
  <c r="F679" i="1"/>
  <c r="E679" i="1"/>
  <c r="D679" i="1"/>
  <c r="C679" i="1"/>
  <c r="B679" i="1"/>
  <c r="A679" i="1"/>
  <c r="J678" i="1"/>
  <c r="I678" i="1"/>
  <c r="H678" i="1"/>
  <c r="G678" i="1"/>
  <c r="F678" i="1"/>
  <c r="E678" i="1"/>
  <c r="D678" i="1"/>
  <c r="C678" i="1"/>
  <c r="B678" i="1"/>
  <c r="A678" i="1"/>
  <c r="J677" i="1"/>
  <c r="I677" i="1"/>
  <c r="H677" i="1"/>
  <c r="G677" i="1"/>
  <c r="F677" i="1"/>
  <c r="E677" i="1"/>
  <c r="D677" i="1"/>
  <c r="C677" i="1"/>
  <c r="B677" i="1"/>
  <c r="A677" i="1"/>
  <c r="J676" i="1"/>
  <c r="I676" i="1"/>
  <c r="H676" i="1"/>
  <c r="G676" i="1"/>
  <c r="F676" i="1"/>
  <c r="E676" i="1"/>
  <c r="D676" i="1"/>
  <c r="C676" i="1"/>
  <c r="B676" i="1"/>
  <c r="A676" i="1"/>
  <c r="J675" i="1"/>
  <c r="I675" i="1"/>
  <c r="H675" i="1"/>
  <c r="G675" i="1"/>
  <c r="F675" i="1"/>
  <c r="E675" i="1"/>
  <c r="D675" i="1"/>
  <c r="C675" i="1"/>
  <c r="B675" i="1"/>
  <c r="A675" i="1"/>
  <c r="J674" i="1"/>
  <c r="I674" i="1"/>
  <c r="H674" i="1"/>
  <c r="G674" i="1"/>
  <c r="F674" i="1"/>
  <c r="E674" i="1"/>
  <c r="D674" i="1"/>
  <c r="C674" i="1"/>
  <c r="B674" i="1"/>
  <c r="A674" i="1"/>
  <c r="J673" i="1"/>
  <c r="I673" i="1"/>
  <c r="H673" i="1"/>
  <c r="G673" i="1"/>
  <c r="F673" i="1"/>
  <c r="E673" i="1"/>
  <c r="D673" i="1"/>
  <c r="C673" i="1"/>
  <c r="B673" i="1"/>
  <c r="A673" i="1"/>
  <c r="J672" i="1"/>
  <c r="I672" i="1"/>
  <c r="H672" i="1"/>
  <c r="G672" i="1"/>
  <c r="F672" i="1"/>
  <c r="E672" i="1"/>
  <c r="D672" i="1"/>
  <c r="C672" i="1"/>
  <c r="B672" i="1"/>
  <c r="A672" i="1"/>
  <c r="J671" i="1"/>
  <c r="I671" i="1"/>
  <c r="H671" i="1"/>
  <c r="G671" i="1"/>
  <c r="F671" i="1"/>
  <c r="E671" i="1"/>
  <c r="D671" i="1"/>
  <c r="C671" i="1"/>
  <c r="B671" i="1"/>
  <c r="A671" i="1"/>
  <c r="J670" i="1"/>
  <c r="I670" i="1"/>
  <c r="H670" i="1"/>
  <c r="G670" i="1"/>
  <c r="F670" i="1"/>
  <c r="E670" i="1"/>
  <c r="D670" i="1"/>
  <c r="C670" i="1"/>
  <c r="B670" i="1"/>
  <c r="A670" i="1"/>
  <c r="J669" i="1"/>
  <c r="I669" i="1"/>
  <c r="H669" i="1"/>
  <c r="G669" i="1"/>
  <c r="F669" i="1"/>
  <c r="E669" i="1"/>
  <c r="D669" i="1"/>
  <c r="C669" i="1"/>
  <c r="B669" i="1"/>
  <c r="A669" i="1"/>
  <c r="J668" i="1"/>
  <c r="I668" i="1"/>
  <c r="H668" i="1"/>
  <c r="G668" i="1"/>
  <c r="F668" i="1"/>
  <c r="E668" i="1"/>
  <c r="D668" i="1"/>
  <c r="C668" i="1"/>
  <c r="B668" i="1"/>
  <c r="A668" i="1"/>
  <c r="J667" i="1"/>
  <c r="I667" i="1"/>
  <c r="H667" i="1"/>
  <c r="G667" i="1"/>
  <c r="F667" i="1"/>
  <c r="E667" i="1"/>
  <c r="D667" i="1"/>
  <c r="C667" i="1"/>
  <c r="B667" i="1"/>
  <c r="A667" i="1"/>
  <c r="J666" i="1"/>
  <c r="I666" i="1"/>
  <c r="H666" i="1"/>
  <c r="G666" i="1"/>
  <c r="F666" i="1"/>
  <c r="E666" i="1"/>
  <c r="D666" i="1"/>
  <c r="C666" i="1"/>
  <c r="B666" i="1"/>
  <c r="A666" i="1"/>
  <c r="J665" i="1"/>
  <c r="I665" i="1"/>
  <c r="H665" i="1"/>
  <c r="G665" i="1"/>
  <c r="F665" i="1"/>
  <c r="E665" i="1"/>
  <c r="D665" i="1"/>
  <c r="C665" i="1"/>
  <c r="B665" i="1"/>
  <c r="A665" i="1"/>
  <c r="J664" i="1"/>
  <c r="I664" i="1"/>
  <c r="H664" i="1"/>
  <c r="G664" i="1"/>
  <c r="F664" i="1"/>
  <c r="E664" i="1"/>
  <c r="D664" i="1"/>
  <c r="C664" i="1"/>
  <c r="B664" i="1"/>
  <c r="A664" i="1"/>
  <c r="J663" i="1"/>
  <c r="I663" i="1"/>
  <c r="H663" i="1"/>
  <c r="G663" i="1"/>
  <c r="F663" i="1"/>
  <c r="E663" i="1"/>
  <c r="D663" i="1"/>
  <c r="C663" i="1"/>
  <c r="B663" i="1"/>
  <c r="A663" i="1"/>
  <c r="J662" i="1"/>
  <c r="I662" i="1"/>
  <c r="H662" i="1"/>
  <c r="G662" i="1"/>
  <c r="F662" i="1"/>
  <c r="E662" i="1"/>
  <c r="D662" i="1"/>
  <c r="C662" i="1"/>
  <c r="B662" i="1"/>
  <c r="A662" i="1"/>
  <c r="J661" i="1"/>
  <c r="I661" i="1"/>
  <c r="H661" i="1"/>
  <c r="G661" i="1"/>
  <c r="F661" i="1"/>
  <c r="E661" i="1"/>
  <c r="D661" i="1"/>
  <c r="C661" i="1"/>
  <c r="B661" i="1"/>
  <c r="A661" i="1"/>
  <c r="J660" i="1"/>
  <c r="I660" i="1"/>
  <c r="H660" i="1"/>
  <c r="G660" i="1"/>
  <c r="F660" i="1"/>
  <c r="E660" i="1"/>
  <c r="D660" i="1"/>
  <c r="C660" i="1"/>
  <c r="B660" i="1"/>
  <c r="A660" i="1"/>
  <c r="J659" i="1"/>
  <c r="H659" i="1"/>
  <c r="G659" i="1"/>
  <c r="F659" i="1"/>
  <c r="E659" i="1"/>
  <c r="D659" i="1"/>
  <c r="C659" i="1"/>
  <c r="B659" i="1"/>
  <c r="A659" i="1"/>
  <c r="J658" i="1"/>
  <c r="H658" i="1"/>
  <c r="G658" i="1"/>
  <c r="F658" i="1"/>
  <c r="E658" i="1"/>
  <c r="D658" i="1"/>
  <c r="C658" i="1"/>
  <c r="B658" i="1"/>
  <c r="A658" i="1"/>
  <c r="J657" i="1"/>
  <c r="H657" i="1"/>
  <c r="G657" i="1"/>
  <c r="F657" i="1"/>
  <c r="E657" i="1"/>
  <c r="D657" i="1"/>
  <c r="C657" i="1"/>
  <c r="B657" i="1"/>
  <c r="A657" i="1"/>
  <c r="J656" i="1"/>
  <c r="H656" i="1"/>
  <c r="G656" i="1"/>
  <c r="F656" i="1"/>
  <c r="E656" i="1"/>
  <c r="D656" i="1"/>
  <c r="C656" i="1"/>
  <c r="B656" i="1"/>
  <c r="A656" i="1"/>
  <c r="J655" i="1"/>
  <c r="H655" i="1"/>
  <c r="G655" i="1"/>
  <c r="F655" i="1"/>
  <c r="E655" i="1"/>
  <c r="D655" i="1"/>
  <c r="C655" i="1"/>
  <c r="B655" i="1"/>
  <c r="A655" i="1"/>
  <c r="J654" i="1"/>
  <c r="H654" i="1"/>
  <c r="G654" i="1"/>
  <c r="F654" i="1"/>
  <c r="E654" i="1"/>
  <c r="D654" i="1"/>
  <c r="C654" i="1"/>
  <c r="B654" i="1"/>
  <c r="A654" i="1"/>
  <c r="J653" i="1"/>
  <c r="H653" i="1"/>
  <c r="G653" i="1"/>
  <c r="F653" i="1"/>
  <c r="E653" i="1"/>
  <c r="D653" i="1"/>
  <c r="C653" i="1"/>
  <c r="B653" i="1"/>
  <c r="A653" i="1"/>
  <c r="J652" i="1"/>
  <c r="I652" i="1"/>
  <c r="H652" i="1"/>
  <c r="G652" i="1"/>
  <c r="F652" i="1"/>
  <c r="E652" i="1"/>
  <c r="D652" i="1"/>
  <c r="C652" i="1"/>
  <c r="B652" i="1"/>
  <c r="A652" i="1"/>
  <c r="J651" i="1"/>
  <c r="I651" i="1"/>
  <c r="H651" i="1"/>
  <c r="G651" i="1"/>
  <c r="F651" i="1"/>
  <c r="E651" i="1"/>
  <c r="D651" i="1"/>
  <c r="C651" i="1"/>
  <c r="B651" i="1"/>
  <c r="A651" i="1"/>
  <c r="J650" i="1"/>
  <c r="I650" i="1"/>
  <c r="H650" i="1"/>
  <c r="G650" i="1"/>
  <c r="F650" i="1"/>
  <c r="E650" i="1"/>
  <c r="D650" i="1"/>
  <c r="C650" i="1"/>
  <c r="B650" i="1"/>
  <c r="A650" i="1"/>
  <c r="J649" i="1"/>
  <c r="I649" i="1"/>
  <c r="H649" i="1"/>
  <c r="G649" i="1"/>
  <c r="F649" i="1"/>
  <c r="E649" i="1"/>
  <c r="D649" i="1"/>
  <c r="C649" i="1"/>
  <c r="B649" i="1"/>
  <c r="A649" i="1"/>
  <c r="J648" i="1"/>
  <c r="I648" i="1"/>
  <c r="H648" i="1"/>
  <c r="G648" i="1"/>
  <c r="F648" i="1"/>
  <c r="E648" i="1"/>
  <c r="D648" i="1"/>
  <c r="C648" i="1"/>
  <c r="B648" i="1"/>
  <c r="A648" i="1"/>
  <c r="J647" i="1"/>
  <c r="I647" i="1"/>
  <c r="H647" i="1"/>
  <c r="G647" i="1"/>
  <c r="F647" i="1"/>
  <c r="E647" i="1"/>
  <c r="D647" i="1"/>
  <c r="C647" i="1"/>
  <c r="B647" i="1"/>
  <c r="A647" i="1"/>
  <c r="J646" i="1"/>
  <c r="I646" i="1"/>
  <c r="H646" i="1"/>
  <c r="G646" i="1"/>
  <c r="F646" i="1"/>
  <c r="E646" i="1"/>
  <c r="D646" i="1"/>
  <c r="C646" i="1"/>
  <c r="B646" i="1"/>
  <c r="A646" i="1"/>
  <c r="J645" i="1"/>
  <c r="I645" i="1"/>
  <c r="H645" i="1"/>
  <c r="G645" i="1"/>
  <c r="F645" i="1"/>
  <c r="E645" i="1"/>
  <c r="D645" i="1"/>
  <c r="C645" i="1"/>
  <c r="B645" i="1"/>
  <c r="A645" i="1"/>
  <c r="J644" i="1"/>
  <c r="I644" i="1"/>
  <c r="H644" i="1"/>
  <c r="G644" i="1"/>
  <c r="F644" i="1"/>
  <c r="E644" i="1"/>
  <c r="D644" i="1"/>
  <c r="C644" i="1"/>
  <c r="B644" i="1"/>
  <c r="A644" i="1"/>
  <c r="J643" i="1"/>
  <c r="I643" i="1"/>
  <c r="H643" i="1"/>
  <c r="G643" i="1"/>
  <c r="F643" i="1"/>
  <c r="E643" i="1"/>
  <c r="D643" i="1"/>
  <c r="C643" i="1"/>
  <c r="B643" i="1"/>
  <c r="A643" i="1"/>
  <c r="J642" i="1"/>
  <c r="I642" i="1"/>
  <c r="H642" i="1"/>
  <c r="G642" i="1"/>
  <c r="F642" i="1"/>
  <c r="E642" i="1"/>
  <c r="D642" i="1"/>
  <c r="C642" i="1"/>
  <c r="B642" i="1"/>
  <c r="A642" i="1"/>
  <c r="J641" i="1"/>
  <c r="I641" i="1"/>
  <c r="H641" i="1"/>
  <c r="G641" i="1"/>
  <c r="F641" i="1"/>
  <c r="E641" i="1"/>
  <c r="D641" i="1"/>
  <c r="C641" i="1"/>
  <c r="B641" i="1"/>
  <c r="A641" i="1"/>
  <c r="J640" i="1"/>
  <c r="I640" i="1"/>
  <c r="H640" i="1"/>
  <c r="G640" i="1"/>
  <c r="F640" i="1"/>
  <c r="E640" i="1"/>
  <c r="D640" i="1"/>
  <c r="C640" i="1"/>
  <c r="B640" i="1"/>
  <c r="A640" i="1"/>
  <c r="J639" i="1"/>
  <c r="I639" i="1"/>
  <c r="H639" i="1"/>
  <c r="G639" i="1"/>
  <c r="F639" i="1"/>
  <c r="E639" i="1"/>
  <c r="D639" i="1"/>
  <c r="C639" i="1"/>
  <c r="B639" i="1"/>
  <c r="A639" i="1"/>
  <c r="J638" i="1"/>
  <c r="I638" i="1"/>
  <c r="H638" i="1"/>
  <c r="G638" i="1"/>
  <c r="F638" i="1"/>
  <c r="E638" i="1"/>
  <c r="D638" i="1"/>
  <c r="C638" i="1"/>
  <c r="B638" i="1"/>
  <c r="A638" i="1"/>
  <c r="J637" i="1"/>
  <c r="I637" i="1"/>
  <c r="H637" i="1"/>
  <c r="G637" i="1"/>
  <c r="F637" i="1"/>
  <c r="E637" i="1"/>
  <c r="D637" i="1"/>
  <c r="C637" i="1"/>
  <c r="B637" i="1"/>
  <c r="A637" i="1"/>
  <c r="J636" i="1"/>
  <c r="I636" i="1"/>
  <c r="H636" i="1"/>
  <c r="G636" i="1"/>
  <c r="F636" i="1"/>
  <c r="E636" i="1"/>
  <c r="D636" i="1"/>
  <c r="C636" i="1"/>
  <c r="B636" i="1"/>
  <c r="A636" i="1"/>
  <c r="J635" i="1"/>
  <c r="I635" i="1"/>
  <c r="H635" i="1"/>
  <c r="G635" i="1"/>
  <c r="F635" i="1"/>
  <c r="E635" i="1"/>
  <c r="D635" i="1"/>
  <c r="C635" i="1"/>
  <c r="B635" i="1"/>
  <c r="A635" i="1"/>
  <c r="J634" i="1"/>
  <c r="I634" i="1"/>
  <c r="H634" i="1"/>
  <c r="G634" i="1"/>
  <c r="F634" i="1"/>
  <c r="E634" i="1"/>
  <c r="D634" i="1"/>
  <c r="C634" i="1"/>
  <c r="B634" i="1"/>
  <c r="A634" i="1"/>
  <c r="J633" i="1"/>
  <c r="I633" i="1"/>
  <c r="H633" i="1"/>
  <c r="G633" i="1"/>
  <c r="F633" i="1"/>
  <c r="E633" i="1"/>
  <c r="D633" i="1"/>
  <c r="C633" i="1"/>
  <c r="B633" i="1"/>
  <c r="A633" i="1"/>
  <c r="J632" i="1"/>
  <c r="I632" i="1"/>
  <c r="H632" i="1"/>
  <c r="G632" i="1"/>
  <c r="F632" i="1"/>
  <c r="E632" i="1"/>
  <c r="D632" i="1"/>
  <c r="C632" i="1"/>
  <c r="B632" i="1"/>
  <c r="A632" i="1"/>
  <c r="J631" i="1"/>
  <c r="I631" i="1"/>
  <c r="H631" i="1"/>
  <c r="G631" i="1"/>
  <c r="F631" i="1"/>
  <c r="E631" i="1"/>
  <c r="D631" i="1"/>
  <c r="C631" i="1"/>
  <c r="B631" i="1"/>
  <c r="A631" i="1"/>
  <c r="J630" i="1"/>
  <c r="I630" i="1"/>
  <c r="H630" i="1"/>
  <c r="G630" i="1"/>
  <c r="F630" i="1"/>
  <c r="E630" i="1"/>
  <c r="D630" i="1"/>
  <c r="C630" i="1"/>
  <c r="B630" i="1"/>
  <c r="A630" i="1"/>
  <c r="J629" i="1"/>
  <c r="I629" i="1"/>
  <c r="H629" i="1"/>
  <c r="G629" i="1"/>
  <c r="F629" i="1"/>
  <c r="E629" i="1"/>
  <c r="D629" i="1"/>
  <c r="C629" i="1"/>
  <c r="B629" i="1"/>
  <c r="A629" i="1"/>
  <c r="J628" i="1"/>
  <c r="I628" i="1"/>
  <c r="H628" i="1"/>
  <c r="G628" i="1"/>
  <c r="F628" i="1"/>
  <c r="E628" i="1"/>
  <c r="D628" i="1"/>
  <c r="C628" i="1"/>
  <c r="B628" i="1"/>
  <c r="A628" i="1"/>
  <c r="J627" i="1"/>
  <c r="I627" i="1"/>
  <c r="H627" i="1"/>
  <c r="G627" i="1"/>
  <c r="F627" i="1"/>
  <c r="E627" i="1"/>
  <c r="D627" i="1"/>
  <c r="C627" i="1"/>
  <c r="B627" i="1"/>
  <c r="A627" i="1"/>
  <c r="J626" i="1"/>
  <c r="I626" i="1"/>
  <c r="H626" i="1"/>
  <c r="G626" i="1"/>
  <c r="F626" i="1"/>
  <c r="E626" i="1"/>
  <c r="D626" i="1"/>
  <c r="C626" i="1"/>
  <c r="B626" i="1"/>
  <c r="A626" i="1"/>
  <c r="J625" i="1"/>
  <c r="I625" i="1"/>
  <c r="H625" i="1"/>
  <c r="G625" i="1"/>
  <c r="F625" i="1"/>
  <c r="E625" i="1"/>
  <c r="D625" i="1"/>
  <c r="C625" i="1"/>
  <c r="B625" i="1"/>
  <c r="A625" i="1"/>
  <c r="J624" i="1"/>
  <c r="I624" i="1"/>
  <c r="H624" i="1"/>
  <c r="G624" i="1"/>
  <c r="F624" i="1"/>
  <c r="E624" i="1"/>
  <c r="D624" i="1"/>
  <c r="C624" i="1"/>
  <c r="B624" i="1"/>
  <c r="A624" i="1"/>
  <c r="J623" i="1"/>
  <c r="I623" i="1"/>
  <c r="H623" i="1"/>
  <c r="G623" i="1"/>
  <c r="F623" i="1"/>
  <c r="E623" i="1"/>
  <c r="D623" i="1"/>
  <c r="C623" i="1"/>
  <c r="B623" i="1"/>
  <c r="A623" i="1"/>
  <c r="J622" i="1"/>
  <c r="I622" i="1"/>
  <c r="H622" i="1"/>
  <c r="G622" i="1"/>
  <c r="F622" i="1"/>
  <c r="E622" i="1"/>
  <c r="D622" i="1"/>
  <c r="C622" i="1"/>
  <c r="B622" i="1"/>
  <c r="A622" i="1"/>
  <c r="J621" i="1"/>
  <c r="I621" i="1"/>
  <c r="H621" i="1"/>
  <c r="G621" i="1"/>
  <c r="F621" i="1"/>
  <c r="E621" i="1"/>
  <c r="D621" i="1"/>
  <c r="C621" i="1"/>
  <c r="B621" i="1"/>
  <c r="A621" i="1"/>
  <c r="J620" i="1"/>
  <c r="I620" i="1"/>
  <c r="H620" i="1"/>
  <c r="G620" i="1"/>
  <c r="F620" i="1"/>
  <c r="E620" i="1"/>
  <c r="D620" i="1"/>
  <c r="C620" i="1"/>
  <c r="B620" i="1"/>
  <c r="A620" i="1"/>
  <c r="J619" i="1"/>
  <c r="I619" i="1"/>
  <c r="H619" i="1"/>
  <c r="G619" i="1"/>
  <c r="F619" i="1"/>
  <c r="E619" i="1"/>
  <c r="D619" i="1"/>
  <c r="C619" i="1"/>
  <c r="B619" i="1"/>
  <c r="A619" i="1"/>
  <c r="J618" i="1"/>
  <c r="I618" i="1"/>
  <c r="H618" i="1"/>
  <c r="G618" i="1"/>
  <c r="F618" i="1"/>
  <c r="E618" i="1"/>
  <c r="D618" i="1"/>
  <c r="C618" i="1"/>
  <c r="B618" i="1"/>
  <c r="A618" i="1"/>
  <c r="J617" i="1"/>
  <c r="I617" i="1"/>
  <c r="H617" i="1"/>
  <c r="G617" i="1"/>
  <c r="F617" i="1"/>
  <c r="E617" i="1"/>
  <c r="D617" i="1"/>
  <c r="C617" i="1"/>
  <c r="B617" i="1"/>
  <c r="A617" i="1"/>
  <c r="J616" i="1"/>
  <c r="I616" i="1"/>
  <c r="H616" i="1"/>
  <c r="G616" i="1"/>
  <c r="F616" i="1"/>
  <c r="E616" i="1"/>
  <c r="D616" i="1"/>
  <c r="C616" i="1"/>
  <c r="B616" i="1"/>
  <c r="A616" i="1"/>
  <c r="J615" i="1"/>
  <c r="I615" i="1"/>
  <c r="H615" i="1"/>
  <c r="G615" i="1"/>
  <c r="F615" i="1"/>
  <c r="E615" i="1"/>
  <c r="D615" i="1"/>
  <c r="C615" i="1"/>
  <c r="B615" i="1"/>
  <c r="A615" i="1"/>
  <c r="J614" i="1"/>
  <c r="I614" i="1"/>
  <c r="H614" i="1"/>
  <c r="G614" i="1"/>
  <c r="F614" i="1"/>
  <c r="E614" i="1"/>
  <c r="D614" i="1"/>
  <c r="C614" i="1"/>
  <c r="B614" i="1"/>
  <c r="A614" i="1"/>
  <c r="J613" i="1"/>
  <c r="I613" i="1"/>
  <c r="H613" i="1"/>
  <c r="G613" i="1"/>
  <c r="F613" i="1"/>
  <c r="E613" i="1"/>
  <c r="D613" i="1"/>
  <c r="C613" i="1"/>
  <c r="B613" i="1"/>
  <c r="A613" i="1"/>
  <c r="J612" i="1"/>
  <c r="I612" i="1"/>
  <c r="H612" i="1"/>
  <c r="G612" i="1"/>
  <c r="F612" i="1"/>
  <c r="E612" i="1"/>
  <c r="D612" i="1"/>
  <c r="C612" i="1"/>
  <c r="B612" i="1"/>
  <c r="A612" i="1"/>
  <c r="J611" i="1"/>
  <c r="I611" i="1"/>
  <c r="H611" i="1"/>
  <c r="G611" i="1"/>
  <c r="F611" i="1"/>
  <c r="E611" i="1"/>
  <c r="D611" i="1"/>
  <c r="C611" i="1"/>
  <c r="B611" i="1"/>
  <c r="A611" i="1"/>
  <c r="J610" i="1"/>
  <c r="I610" i="1"/>
  <c r="H610" i="1"/>
  <c r="G610" i="1"/>
  <c r="F610" i="1"/>
  <c r="E610" i="1"/>
  <c r="D610" i="1"/>
  <c r="C610" i="1"/>
  <c r="B610" i="1"/>
  <c r="A610" i="1"/>
  <c r="J609" i="1"/>
  <c r="I609" i="1"/>
  <c r="H609" i="1"/>
  <c r="G609" i="1"/>
  <c r="F609" i="1"/>
  <c r="E609" i="1"/>
  <c r="D609" i="1"/>
  <c r="C609" i="1"/>
  <c r="B609" i="1"/>
  <c r="A609" i="1"/>
  <c r="J608" i="1"/>
  <c r="I608" i="1"/>
  <c r="H608" i="1"/>
  <c r="G608" i="1"/>
  <c r="F608" i="1"/>
  <c r="E608" i="1"/>
  <c r="D608" i="1"/>
  <c r="C608" i="1"/>
  <c r="B608" i="1"/>
  <c r="A608" i="1"/>
  <c r="J607" i="1"/>
  <c r="I607" i="1"/>
  <c r="H607" i="1"/>
  <c r="G607" i="1"/>
  <c r="F607" i="1"/>
  <c r="E607" i="1"/>
  <c r="D607" i="1"/>
  <c r="C607" i="1"/>
  <c r="B607" i="1"/>
  <c r="A607" i="1"/>
  <c r="J606" i="1"/>
  <c r="I606" i="1"/>
  <c r="H606" i="1"/>
  <c r="G606" i="1"/>
  <c r="F606" i="1"/>
  <c r="E606" i="1"/>
  <c r="D606" i="1"/>
  <c r="C606" i="1"/>
  <c r="B606" i="1"/>
  <c r="A606" i="1"/>
  <c r="J605" i="1"/>
  <c r="I605" i="1"/>
  <c r="H605" i="1"/>
  <c r="G605" i="1"/>
  <c r="F605" i="1"/>
  <c r="E605" i="1"/>
  <c r="D605" i="1"/>
  <c r="C605" i="1"/>
  <c r="B605" i="1"/>
  <c r="A605" i="1"/>
  <c r="J604" i="1"/>
  <c r="I604" i="1"/>
  <c r="H604" i="1"/>
  <c r="G604" i="1"/>
  <c r="F604" i="1"/>
  <c r="E604" i="1"/>
  <c r="D604" i="1"/>
  <c r="C604" i="1"/>
  <c r="B604" i="1"/>
  <c r="A604" i="1"/>
  <c r="J603" i="1"/>
  <c r="I603" i="1"/>
  <c r="H603" i="1"/>
  <c r="G603" i="1"/>
  <c r="F603" i="1"/>
  <c r="E603" i="1"/>
  <c r="D603" i="1"/>
  <c r="C603" i="1"/>
  <c r="B603" i="1"/>
  <c r="A603" i="1"/>
  <c r="J602" i="1"/>
  <c r="I602" i="1"/>
  <c r="H602" i="1"/>
  <c r="G602" i="1"/>
  <c r="F602" i="1"/>
  <c r="E602" i="1"/>
  <c r="D602" i="1"/>
  <c r="C602" i="1"/>
  <c r="B602" i="1"/>
  <c r="A602" i="1"/>
  <c r="J601" i="1"/>
  <c r="I601" i="1"/>
  <c r="H601" i="1"/>
  <c r="G601" i="1"/>
  <c r="F601" i="1"/>
  <c r="E601" i="1"/>
  <c r="D601" i="1"/>
  <c r="C601" i="1"/>
  <c r="B601" i="1"/>
  <c r="A601" i="1"/>
  <c r="J600" i="1"/>
  <c r="I600" i="1"/>
  <c r="H600" i="1"/>
  <c r="G600" i="1"/>
  <c r="F600" i="1"/>
  <c r="E600" i="1"/>
  <c r="D600" i="1"/>
  <c r="C600" i="1"/>
  <c r="B600" i="1"/>
  <c r="A600" i="1"/>
  <c r="J599" i="1"/>
  <c r="I599" i="1"/>
  <c r="H599" i="1"/>
  <c r="G599" i="1"/>
  <c r="F599" i="1"/>
  <c r="E599" i="1"/>
  <c r="D599" i="1"/>
  <c r="C599" i="1"/>
  <c r="B599" i="1"/>
  <c r="A599" i="1"/>
  <c r="J598" i="1"/>
  <c r="I598" i="1"/>
  <c r="H598" i="1"/>
  <c r="G598" i="1"/>
  <c r="F598" i="1"/>
  <c r="E598" i="1"/>
  <c r="D598" i="1"/>
  <c r="C598" i="1"/>
  <c r="B598" i="1"/>
  <c r="A598" i="1"/>
  <c r="J597" i="1"/>
  <c r="I597" i="1"/>
  <c r="H597" i="1"/>
  <c r="G597" i="1"/>
  <c r="F597" i="1"/>
  <c r="E597" i="1"/>
  <c r="D597" i="1"/>
  <c r="C597" i="1"/>
  <c r="B597" i="1"/>
  <c r="A597" i="1"/>
  <c r="J596" i="1"/>
  <c r="I596" i="1"/>
  <c r="H596" i="1"/>
  <c r="G596" i="1"/>
  <c r="F596" i="1"/>
  <c r="E596" i="1"/>
  <c r="D596" i="1"/>
  <c r="C596" i="1"/>
  <c r="B596" i="1"/>
  <c r="A596" i="1"/>
  <c r="J595" i="1"/>
  <c r="I595" i="1"/>
  <c r="H595" i="1"/>
  <c r="G595" i="1"/>
  <c r="F595" i="1"/>
  <c r="E595" i="1"/>
  <c r="D595" i="1"/>
  <c r="C595" i="1"/>
  <c r="B595" i="1"/>
  <c r="A595" i="1"/>
  <c r="J594" i="1"/>
  <c r="I594" i="1"/>
  <c r="H594" i="1"/>
  <c r="G594" i="1"/>
  <c r="F594" i="1"/>
  <c r="E594" i="1"/>
  <c r="D594" i="1"/>
  <c r="C594" i="1"/>
  <c r="B594" i="1"/>
  <c r="A594" i="1"/>
  <c r="J593" i="1"/>
  <c r="I593" i="1"/>
  <c r="H593" i="1"/>
  <c r="G593" i="1"/>
  <c r="F593" i="1"/>
  <c r="E593" i="1"/>
  <c r="D593" i="1"/>
  <c r="C593" i="1"/>
  <c r="B593" i="1"/>
  <c r="A593" i="1"/>
  <c r="J592" i="1"/>
  <c r="I592" i="1"/>
  <c r="H592" i="1"/>
  <c r="G592" i="1"/>
  <c r="F592" i="1"/>
  <c r="E592" i="1"/>
  <c r="D592" i="1"/>
  <c r="C592" i="1"/>
  <c r="B592" i="1"/>
  <c r="A592" i="1"/>
  <c r="J591" i="1"/>
  <c r="I591" i="1"/>
  <c r="H591" i="1"/>
  <c r="G591" i="1"/>
  <c r="F591" i="1"/>
  <c r="E591" i="1"/>
  <c r="D591" i="1"/>
  <c r="C591" i="1"/>
  <c r="B591" i="1"/>
  <c r="A591" i="1"/>
  <c r="J590" i="1"/>
  <c r="I590" i="1"/>
  <c r="H590" i="1"/>
  <c r="G590" i="1"/>
  <c r="F590" i="1"/>
  <c r="E590" i="1"/>
  <c r="D590" i="1"/>
  <c r="C590" i="1"/>
  <c r="B590" i="1"/>
  <c r="A590" i="1"/>
  <c r="J589" i="1"/>
  <c r="I589" i="1"/>
  <c r="H589" i="1"/>
  <c r="G589" i="1"/>
  <c r="F589" i="1"/>
  <c r="E589" i="1"/>
  <c r="D589" i="1"/>
  <c r="C589" i="1"/>
  <c r="B589" i="1"/>
  <c r="A589" i="1"/>
  <c r="J588" i="1"/>
  <c r="I588" i="1"/>
  <c r="H588" i="1"/>
  <c r="G588" i="1"/>
  <c r="F588" i="1"/>
  <c r="E588" i="1"/>
  <c r="D588" i="1"/>
  <c r="C588" i="1"/>
  <c r="B588" i="1"/>
  <c r="A588" i="1"/>
  <c r="J587" i="1"/>
  <c r="I587" i="1"/>
  <c r="H587" i="1"/>
  <c r="G587" i="1"/>
  <c r="F587" i="1"/>
  <c r="E587" i="1"/>
  <c r="D587" i="1"/>
  <c r="C587" i="1"/>
  <c r="B587" i="1"/>
  <c r="A587" i="1"/>
  <c r="J586" i="1"/>
  <c r="I586" i="1"/>
  <c r="H586" i="1"/>
  <c r="G586" i="1"/>
  <c r="F586" i="1"/>
  <c r="E586" i="1"/>
  <c r="D586" i="1"/>
  <c r="C586" i="1"/>
  <c r="B586" i="1"/>
  <c r="A586" i="1"/>
  <c r="J585" i="1"/>
  <c r="I585" i="1"/>
  <c r="H585" i="1"/>
  <c r="G585" i="1"/>
  <c r="F585" i="1"/>
  <c r="E585" i="1"/>
  <c r="D585" i="1"/>
  <c r="C585" i="1"/>
  <c r="B585" i="1"/>
  <c r="A585" i="1"/>
  <c r="J584" i="1"/>
  <c r="I584" i="1"/>
  <c r="H584" i="1"/>
  <c r="G584" i="1"/>
  <c r="F584" i="1"/>
  <c r="E584" i="1"/>
  <c r="D584" i="1"/>
  <c r="C584" i="1"/>
  <c r="B584" i="1"/>
  <c r="A584" i="1"/>
  <c r="J583" i="1"/>
  <c r="I583" i="1"/>
  <c r="H583" i="1"/>
  <c r="G583" i="1"/>
  <c r="F583" i="1"/>
  <c r="E583" i="1"/>
  <c r="D583" i="1"/>
  <c r="C583" i="1"/>
  <c r="B583" i="1"/>
  <c r="A583" i="1"/>
  <c r="J582" i="1"/>
  <c r="H582" i="1"/>
  <c r="G582" i="1"/>
  <c r="F582" i="1"/>
  <c r="E582" i="1"/>
  <c r="D582" i="1"/>
  <c r="C582" i="1"/>
  <c r="B582" i="1"/>
  <c r="A582" i="1"/>
  <c r="J581" i="1"/>
  <c r="H581" i="1"/>
  <c r="G581" i="1"/>
  <c r="F581" i="1"/>
  <c r="E581" i="1"/>
  <c r="D581" i="1"/>
  <c r="C581" i="1"/>
  <c r="B581" i="1"/>
  <c r="A581" i="1"/>
  <c r="J580" i="1"/>
  <c r="H580" i="1"/>
  <c r="G580" i="1"/>
  <c r="F580" i="1"/>
  <c r="E580" i="1"/>
  <c r="D580" i="1"/>
  <c r="C580" i="1"/>
  <c r="B580" i="1"/>
  <c r="A580" i="1"/>
  <c r="J579" i="1"/>
  <c r="H579" i="1"/>
  <c r="G579" i="1"/>
  <c r="F579" i="1"/>
  <c r="E579" i="1"/>
  <c r="D579" i="1"/>
  <c r="C579" i="1"/>
  <c r="B579" i="1"/>
  <c r="A579" i="1"/>
  <c r="J578" i="1"/>
  <c r="H578" i="1"/>
  <c r="G578" i="1"/>
  <c r="F578" i="1"/>
  <c r="E578" i="1"/>
  <c r="D578" i="1"/>
  <c r="C578" i="1"/>
  <c r="B578" i="1"/>
  <c r="A578" i="1"/>
  <c r="J577" i="1"/>
  <c r="H577" i="1"/>
  <c r="G577" i="1"/>
  <c r="F577" i="1"/>
  <c r="E577" i="1"/>
  <c r="D577" i="1"/>
  <c r="C577" i="1"/>
  <c r="B577" i="1"/>
  <c r="A577" i="1"/>
  <c r="J576" i="1"/>
  <c r="H576" i="1"/>
  <c r="G576" i="1"/>
  <c r="F576" i="1"/>
  <c r="E576" i="1"/>
  <c r="D576" i="1"/>
  <c r="C576" i="1"/>
  <c r="B576" i="1"/>
  <c r="A576" i="1"/>
  <c r="J575" i="1"/>
  <c r="I575" i="1"/>
  <c r="H575" i="1"/>
  <c r="G575" i="1"/>
  <c r="F575" i="1"/>
  <c r="E575" i="1"/>
  <c r="D575" i="1"/>
  <c r="C575" i="1"/>
  <c r="B575" i="1"/>
  <c r="A575" i="1"/>
  <c r="J574" i="1"/>
  <c r="I574" i="1"/>
  <c r="H574" i="1"/>
  <c r="G574" i="1"/>
  <c r="F574" i="1"/>
  <c r="E574" i="1"/>
  <c r="D574" i="1"/>
  <c r="C574" i="1"/>
  <c r="B574" i="1"/>
  <c r="A574" i="1"/>
  <c r="J573" i="1"/>
  <c r="I573" i="1"/>
  <c r="H573" i="1"/>
  <c r="G573" i="1"/>
  <c r="F573" i="1"/>
  <c r="E573" i="1"/>
  <c r="D573" i="1"/>
  <c r="C573" i="1"/>
  <c r="B573" i="1"/>
  <c r="A573" i="1"/>
  <c r="J572" i="1"/>
  <c r="I572" i="1"/>
  <c r="H572" i="1"/>
  <c r="G572" i="1"/>
  <c r="F572" i="1"/>
  <c r="E572" i="1"/>
  <c r="D572" i="1"/>
  <c r="C572" i="1"/>
  <c r="B572" i="1"/>
  <c r="A572" i="1"/>
  <c r="J571" i="1"/>
  <c r="I571" i="1"/>
  <c r="H571" i="1"/>
  <c r="G571" i="1"/>
  <c r="F571" i="1"/>
  <c r="E571" i="1"/>
  <c r="D571" i="1"/>
  <c r="C571" i="1"/>
  <c r="B571" i="1"/>
  <c r="A571" i="1"/>
  <c r="J570" i="1"/>
  <c r="I570" i="1"/>
  <c r="H570" i="1"/>
  <c r="G570" i="1"/>
  <c r="F570" i="1"/>
  <c r="E570" i="1"/>
  <c r="D570" i="1"/>
  <c r="C570" i="1"/>
  <c r="B570" i="1"/>
  <c r="A570" i="1"/>
  <c r="J569" i="1"/>
  <c r="I569" i="1"/>
  <c r="H569" i="1"/>
  <c r="G569" i="1"/>
  <c r="F569" i="1"/>
  <c r="E569" i="1"/>
  <c r="D569" i="1"/>
  <c r="C569" i="1"/>
  <c r="B569" i="1"/>
  <c r="A569" i="1"/>
  <c r="J568" i="1"/>
  <c r="I568" i="1"/>
  <c r="H568" i="1"/>
  <c r="G568" i="1"/>
  <c r="F568" i="1"/>
  <c r="E568" i="1"/>
  <c r="D568" i="1"/>
  <c r="C568" i="1"/>
  <c r="B568" i="1"/>
  <c r="A568" i="1"/>
  <c r="J567" i="1"/>
  <c r="I567" i="1"/>
  <c r="H567" i="1"/>
  <c r="G567" i="1"/>
  <c r="F567" i="1"/>
  <c r="E567" i="1"/>
  <c r="D567" i="1"/>
  <c r="C567" i="1"/>
  <c r="B567" i="1"/>
  <c r="A567" i="1"/>
  <c r="J566" i="1"/>
  <c r="I566" i="1"/>
  <c r="H566" i="1"/>
  <c r="G566" i="1"/>
  <c r="F566" i="1"/>
  <c r="E566" i="1"/>
  <c r="D566" i="1"/>
  <c r="C566" i="1"/>
  <c r="B566" i="1"/>
  <c r="A566" i="1"/>
  <c r="J565" i="1"/>
  <c r="I565" i="1"/>
  <c r="H565" i="1"/>
  <c r="G565" i="1"/>
  <c r="F565" i="1"/>
  <c r="E565" i="1"/>
  <c r="D565" i="1"/>
  <c r="C565" i="1"/>
  <c r="B565" i="1"/>
  <c r="A565" i="1"/>
  <c r="J564" i="1"/>
  <c r="I564" i="1"/>
  <c r="H564" i="1"/>
  <c r="G564" i="1"/>
  <c r="F564" i="1"/>
  <c r="E564" i="1"/>
  <c r="D564" i="1"/>
  <c r="C564" i="1"/>
  <c r="B564" i="1"/>
  <c r="A564" i="1"/>
  <c r="J563" i="1"/>
  <c r="I563" i="1"/>
  <c r="H563" i="1"/>
  <c r="G563" i="1"/>
  <c r="F563" i="1"/>
  <c r="E563" i="1"/>
  <c r="D563" i="1"/>
  <c r="C563" i="1"/>
  <c r="B563" i="1"/>
  <c r="A563" i="1"/>
  <c r="J562" i="1"/>
  <c r="I562" i="1"/>
  <c r="H562" i="1"/>
  <c r="G562" i="1"/>
  <c r="F562" i="1"/>
  <c r="E562" i="1"/>
  <c r="D562" i="1"/>
  <c r="C562" i="1"/>
  <c r="B562" i="1"/>
  <c r="A562" i="1"/>
  <c r="J561" i="1"/>
  <c r="I561" i="1"/>
  <c r="H561" i="1"/>
  <c r="G561" i="1"/>
  <c r="F561" i="1"/>
  <c r="E561" i="1"/>
  <c r="D561" i="1"/>
  <c r="C561" i="1"/>
  <c r="B561" i="1"/>
  <c r="A561" i="1"/>
  <c r="J560" i="1"/>
  <c r="I560" i="1"/>
  <c r="H560" i="1"/>
  <c r="G560" i="1"/>
  <c r="F560" i="1"/>
  <c r="E560" i="1"/>
  <c r="D560" i="1"/>
  <c r="C560" i="1"/>
  <c r="B560" i="1"/>
  <c r="A560" i="1"/>
  <c r="J559" i="1"/>
  <c r="I559" i="1"/>
  <c r="H559" i="1"/>
  <c r="G559" i="1"/>
  <c r="F559" i="1"/>
  <c r="E559" i="1"/>
  <c r="D559" i="1"/>
  <c r="C559" i="1"/>
  <c r="B559" i="1"/>
  <c r="A559" i="1"/>
  <c r="J558" i="1"/>
  <c r="I558" i="1"/>
  <c r="H558" i="1"/>
  <c r="G558" i="1"/>
  <c r="F558" i="1"/>
  <c r="E558" i="1"/>
  <c r="D558" i="1"/>
  <c r="C558" i="1"/>
  <c r="B558" i="1"/>
  <c r="A558" i="1"/>
  <c r="J557" i="1"/>
  <c r="I557" i="1"/>
  <c r="H557" i="1"/>
  <c r="G557" i="1"/>
  <c r="F557" i="1"/>
  <c r="E557" i="1"/>
  <c r="D557" i="1"/>
  <c r="C557" i="1"/>
  <c r="B557" i="1"/>
  <c r="A557" i="1"/>
  <c r="J556" i="1"/>
  <c r="I556" i="1"/>
  <c r="H556" i="1"/>
  <c r="G556" i="1"/>
  <c r="F556" i="1"/>
  <c r="E556" i="1"/>
  <c r="D556" i="1"/>
  <c r="C556" i="1"/>
  <c r="B556" i="1"/>
  <c r="A556" i="1"/>
  <c r="J555" i="1"/>
  <c r="I555" i="1"/>
  <c r="H555" i="1"/>
  <c r="G555" i="1"/>
  <c r="F555" i="1"/>
  <c r="E555" i="1"/>
  <c r="D555" i="1"/>
  <c r="C555" i="1"/>
  <c r="B555" i="1"/>
  <c r="A555" i="1"/>
  <c r="J554" i="1"/>
  <c r="I554" i="1"/>
  <c r="H554" i="1"/>
  <c r="G554" i="1"/>
  <c r="F554" i="1"/>
  <c r="E554" i="1"/>
  <c r="D554" i="1"/>
  <c r="C554" i="1"/>
  <c r="B554" i="1"/>
  <c r="A554" i="1"/>
  <c r="J553" i="1"/>
  <c r="I553" i="1"/>
  <c r="H553" i="1"/>
  <c r="G553" i="1"/>
  <c r="F553" i="1"/>
  <c r="E553" i="1"/>
  <c r="D553" i="1"/>
  <c r="C553" i="1"/>
  <c r="B553" i="1"/>
  <c r="A553" i="1"/>
  <c r="J552" i="1"/>
  <c r="I552" i="1"/>
  <c r="H552" i="1"/>
  <c r="G552" i="1"/>
  <c r="F552" i="1"/>
  <c r="E552" i="1"/>
  <c r="D552" i="1"/>
  <c r="C552" i="1"/>
  <c r="B552" i="1"/>
  <c r="A552" i="1"/>
  <c r="J551" i="1"/>
  <c r="I551" i="1"/>
  <c r="H551" i="1"/>
  <c r="G551" i="1"/>
  <c r="F551" i="1"/>
  <c r="E551" i="1"/>
  <c r="D551" i="1"/>
  <c r="C551" i="1"/>
  <c r="B551" i="1"/>
  <c r="A551" i="1"/>
  <c r="J550" i="1"/>
  <c r="I550" i="1"/>
  <c r="H550" i="1"/>
  <c r="G550" i="1"/>
  <c r="F550" i="1"/>
  <c r="E550" i="1"/>
  <c r="D550" i="1"/>
  <c r="C550" i="1"/>
  <c r="B550" i="1"/>
  <c r="A550" i="1"/>
  <c r="J549" i="1"/>
  <c r="I549" i="1"/>
  <c r="H549" i="1"/>
  <c r="G549" i="1"/>
  <c r="F549" i="1"/>
  <c r="E549" i="1"/>
  <c r="D549" i="1"/>
  <c r="C549" i="1"/>
  <c r="B549" i="1"/>
  <c r="A549" i="1"/>
  <c r="J548" i="1"/>
  <c r="I548" i="1"/>
  <c r="H548" i="1"/>
  <c r="G548" i="1"/>
  <c r="F548" i="1"/>
  <c r="E548" i="1"/>
  <c r="D548" i="1"/>
  <c r="C548" i="1"/>
  <c r="B548" i="1"/>
  <c r="A548" i="1"/>
  <c r="J547" i="1"/>
  <c r="I547" i="1"/>
  <c r="H547" i="1"/>
  <c r="G547" i="1"/>
  <c r="F547" i="1"/>
  <c r="E547" i="1"/>
  <c r="D547" i="1"/>
  <c r="C547" i="1"/>
  <c r="B547" i="1"/>
  <c r="A547" i="1"/>
  <c r="J546" i="1"/>
  <c r="I546" i="1"/>
  <c r="H546" i="1"/>
  <c r="G546" i="1"/>
  <c r="F546" i="1"/>
  <c r="E546" i="1"/>
  <c r="D546" i="1"/>
  <c r="C546" i="1"/>
  <c r="B546" i="1"/>
  <c r="A546" i="1"/>
  <c r="J545" i="1"/>
  <c r="I545" i="1"/>
  <c r="H545" i="1"/>
  <c r="G545" i="1"/>
  <c r="F545" i="1"/>
  <c r="E545" i="1"/>
  <c r="D545" i="1"/>
  <c r="C545" i="1"/>
  <c r="B545" i="1"/>
  <c r="A545" i="1"/>
  <c r="J544" i="1"/>
  <c r="I544" i="1"/>
  <c r="H544" i="1"/>
  <c r="G544" i="1"/>
  <c r="F544" i="1"/>
  <c r="E544" i="1"/>
  <c r="D544" i="1"/>
  <c r="C544" i="1"/>
  <c r="B544" i="1"/>
  <c r="A544" i="1"/>
  <c r="J543" i="1"/>
  <c r="I543" i="1"/>
  <c r="H543" i="1"/>
  <c r="G543" i="1"/>
  <c r="F543" i="1"/>
  <c r="E543" i="1"/>
  <c r="D543" i="1"/>
  <c r="C543" i="1"/>
  <c r="B543" i="1"/>
  <c r="A543" i="1"/>
  <c r="J542" i="1"/>
  <c r="I542" i="1"/>
  <c r="H542" i="1"/>
  <c r="G542" i="1"/>
  <c r="F542" i="1"/>
  <c r="E542" i="1"/>
  <c r="D542" i="1"/>
  <c r="C542" i="1"/>
  <c r="B542" i="1"/>
  <c r="A542" i="1"/>
  <c r="J541" i="1"/>
  <c r="I541" i="1"/>
  <c r="H541" i="1"/>
  <c r="G541" i="1"/>
  <c r="F541" i="1"/>
  <c r="E541" i="1"/>
  <c r="D541" i="1"/>
  <c r="C541" i="1"/>
  <c r="B541" i="1"/>
  <c r="A541" i="1"/>
  <c r="J540" i="1"/>
  <c r="I540" i="1"/>
  <c r="H540" i="1"/>
  <c r="G540" i="1"/>
  <c r="F540" i="1"/>
  <c r="E540" i="1"/>
  <c r="D540" i="1"/>
  <c r="C540" i="1"/>
  <c r="B540" i="1"/>
  <c r="A540" i="1"/>
  <c r="J539" i="1"/>
  <c r="I539" i="1"/>
  <c r="H539" i="1"/>
  <c r="G539" i="1"/>
  <c r="F539" i="1"/>
  <c r="E539" i="1"/>
  <c r="D539" i="1"/>
  <c r="C539" i="1"/>
  <c r="B539" i="1"/>
  <c r="A539" i="1"/>
  <c r="J538" i="1"/>
  <c r="I538" i="1"/>
  <c r="H538" i="1"/>
  <c r="G538" i="1"/>
  <c r="F538" i="1"/>
  <c r="E538" i="1"/>
  <c r="D538" i="1"/>
  <c r="C538" i="1"/>
  <c r="B538" i="1"/>
  <c r="A538" i="1"/>
  <c r="J537" i="1"/>
  <c r="I537" i="1"/>
  <c r="H537" i="1"/>
  <c r="G537" i="1"/>
  <c r="F537" i="1"/>
  <c r="E537" i="1"/>
  <c r="D537" i="1"/>
  <c r="C537" i="1"/>
  <c r="B537" i="1"/>
  <c r="A537" i="1"/>
  <c r="J536" i="1"/>
  <c r="I536" i="1"/>
  <c r="H536" i="1"/>
  <c r="G536" i="1"/>
  <c r="F536" i="1"/>
  <c r="E536" i="1"/>
  <c r="D536" i="1"/>
  <c r="C536" i="1"/>
  <c r="B536" i="1"/>
  <c r="A536" i="1"/>
  <c r="J535" i="1"/>
  <c r="I535" i="1"/>
  <c r="H535" i="1"/>
  <c r="G535" i="1"/>
  <c r="F535" i="1"/>
  <c r="E535" i="1"/>
  <c r="D535" i="1"/>
  <c r="C535" i="1"/>
  <c r="B535" i="1"/>
  <c r="A535" i="1"/>
  <c r="J534" i="1"/>
  <c r="I534" i="1"/>
  <c r="H534" i="1"/>
  <c r="G534" i="1"/>
  <c r="F534" i="1"/>
  <c r="E534" i="1"/>
  <c r="D534" i="1"/>
  <c r="C534" i="1"/>
  <c r="B534" i="1"/>
  <c r="A534" i="1"/>
  <c r="J533" i="1"/>
  <c r="I533" i="1"/>
  <c r="H533" i="1"/>
  <c r="G533" i="1"/>
  <c r="F533" i="1"/>
  <c r="E533" i="1"/>
  <c r="D533" i="1"/>
  <c r="C533" i="1"/>
  <c r="B533" i="1"/>
  <c r="A533" i="1"/>
  <c r="J532" i="1"/>
  <c r="I532" i="1"/>
  <c r="H532" i="1"/>
  <c r="G532" i="1"/>
  <c r="F532" i="1"/>
  <c r="E532" i="1"/>
  <c r="D532" i="1"/>
  <c r="C532" i="1"/>
  <c r="B532" i="1"/>
  <c r="A532" i="1"/>
  <c r="J531" i="1"/>
  <c r="I531" i="1"/>
  <c r="H531" i="1"/>
  <c r="G531" i="1"/>
  <c r="F531" i="1"/>
  <c r="E531" i="1"/>
  <c r="D531" i="1"/>
  <c r="C531" i="1"/>
  <c r="B531" i="1"/>
  <c r="A531" i="1"/>
  <c r="J530" i="1"/>
  <c r="I530" i="1"/>
  <c r="H530" i="1"/>
  <c r="G530" i="1"/>
  <c r="F530" i="1"/>
  <c r="E530" i="1"/>
  <c r="D530" i="1"/>
  <c r="C530" i="1"/>
  <c r="B530" i="1"/>
  <c r="A530" i="1"/>
  <c r="J529" i="1"/>
  <c r="I529" i="1"/>
  <c r="H529" i="1"/>
  <c r="G529" i="1"/>
  <c r="F529" i="1"/>
  <c r="E529" i="1"/>
  <c r="D529" i="1"/>
  <c r="C529" i="1"/>
  <c r="B529" i="1"/>
  <c r="A529" i="1"/>
  <c r="J528" i="1"/>
  <c r="I528" i="1"/>
  <c r="H528" i="1"/>
  <c r="G528" i="1"/>
  <c r="F528" i="1"/>
  <c r="E528" i="1"/>
  <c r="D528" i="1"/>
  <c r="C528" i="1"/>
  <c r="B528" i="1"/>
  <c r="A528" i="1"/>
  <c r="J527" i="1"/>
  <c r="I527" i="1"/>
  <c r="H527" i="1"/>
  <c r="G527" i="1"/>
  <c r="F527" i="1"/>
  <c r="E527" i="1"/>
  <c r="D527" i="1"/>
  <c r="C527" i="1"/>
  <c r="B527" i="1"/>
  <c r="A527" i="1"/>
  <c r="J526" i="1"/>
  <c r="I526" i="1"/>
  <c r="H526" i="1"/>
  <c r="G526" i="1"/>
  <c r="F526" i="1"/>
  <c r="E526" i="1"/>
  <c r="D526" i="1"/>
  <c r="C526" i="1"/>
  <c r="B526" i="1"/>
  <c r="A526" i="1"/>
  <c r="J525" i="1"/>
  <c r="I525" i="1"/>
  <c r="H525" i="1"/>
  <c r="G525" i="1"/>
  <c r="F525" i="1"/>
  <c r="E525" i="1"/>
  <c r="D525" i="1"/>
  <c r="C525" i="1"/>
  <c r="B525" i="1"/>
  <c r="A525" i="1"/>
  <c r="J524" i="1"/>
  <c r="I524" i="1"/>
  <c r="H524" i="1"/>
  <c r="G524" i="1"/>
  <c r="F524" i="1"/>
  <c r="E524" i="1"/>
  <c r="D524" i="1"/>
  <c r="C524" i="1"/>
  <c r="B524" i="1"/>
  <c r="A524" i="1"/>
  <c r="J523" i="1"/>
  <c r="I523" i="1"/>
  <c r="H523" i="1"/>
  <c r="G523" i="1"/>
  <c r="F523" i="1"/>
  <c r="E523" i="1"/>
  <c r="D523" i="1"/>
  <c r="C523" i="1"/>
  <c r="B523" i="1"/>
  <c r="A523" i="1"/>
  <c r="J522" i="1"/>
  <c r="I522" i="1"/>
  <c r="H522" i="1"/>
  <c r="G522" i="1"/>
  <c r="F522" i="1"/>
  <c r="E522" i="1"/>
  <c r="D522" i="1"/>
  <c r="C522" i="1"/>
  <c r="B522" i="1"/>
  <c r="A522" i="1"/>
  <c r="J521" i="1"/>
  <c r="I521" i="1"/>
  <c r="H521" i="1"/>
  <c r="G521" i="1"/>
  <c r="F521" i="1"/>
  <c r="E521" i="1"/>
  <c r="D521" i="1"/>
  <c r="C521" i="1"/>
  <c r="B521" i="1"/>
  <c r="A521" i="1"/>
  <c r="J520" i="1"/>
  <c r="I520" i="1"/>
  <c r="H520" i="1"/>
  <c r="G520" i="1"/>
  <c r="F520" i="1"/>
  <c r="E520" i="1"/>
  <c r="D520" i="1"/>
  <c r="C520" i="1"/>
  <c r="B520" i="1"/>
  <c r="A520" i="1"/>
  <c r="J519" i="1"/>
  <c r="I519" i="1"/>
  <c r="H519" i="1"/>
  <c r="G519" i="1"/>
  <c r="F519" i="1"/>
  <c r="E519" i="1"/>
  <c r="D519" i="1"/>
  <c r="C519" i="1"/>
  <c r="B519" i="1"/>
  <c r="A519" i="1"/>
  <c r="J518" i="1"/>
  <c r="I518" i="1"/>
  <c r="H518" i="1"/>
  <c r="G518" i="1"/>
  <c r="F518" i="1"/>
  <c r="E518" i="1"/>
  <c r="D518" i="1"/>
  <c r="C518" i="1"/>
  <c r="B518" i="1"/>
  <c r="A518" i="1"/>
  <c r="J517" i="1"/>
  <c r="I517" i="1"/>
  <c r="H517" i="1"/>
  <c r="G517" i="1"/>
  <c r="F517" i="1"/>
  <c r="E517" i="1"/>
  <c r="D517" i="1"/>
  <c r="C517" i="1"/>
  <c r="B517" i="1"/>
  <c r="A517" i="1"/>
  <c r="J516" i="1"/>
  <c r="I516" i="1"/>
  <c r="H516" i="1"/>
  <c r="G516" i="1"/>
  <c r="F516" i="1"/>
  <c r="E516" i="1"/>
  <c r="D516" i="1"/>
  <c r="C516" i="1"/>
  <c r="B516" i="1"/>
  <c r="A516" i="1"/>
  <c r="J515" i="1"/>
  <c r="I515" i="1"/>
  <c r="H515" i="1"/>
  <c r="G515" i="1"/>
  <c r="F515" i="1"/>
  <c r="E515" i="1"/>
  <c r="D515" i="1"/>
  <c r="C515" i="1"/>
  <c r="B515" i="1"/>
  <c r="A515" i="1"/>
  <c r="J514" i="1"/>
  <c r="I514" i="1"/>
  <c r="H514" i="1"/>
  <c r="G514" i="1"/>
  <c r="F514" i="1"/>
  <c r="E514" i="1"/>
  <c r="D514" i="1"/>
  <c r="C514" i="1"/>
  <c r="B514" i="1"/>
  <c r="A514" i="1"/>
  <c r="J513" i="1"/>
  <c r="I513" i="1"/>
  <c r="H513" i="1"/>
  <c r="G513" i="1"/>
  <c r="F513" i="1"/>
  <c r="E513" i="1"/>
  <c r="D513" i="1"/>
  <c r="C513" i="1"/>
  <c r="B513" i="1"/>
  <c r="A513" i="1"/>
  <c r="J512" i="1"/>
  <c r="I512" i="1"/>
  <c r="H512" i="1"/>
  <c r="G512" i="1"/>
  <c r="F512" i="1"/>
  <c r="E512" i="1"/>
  <c r="D512" i="1"/>
  <c r="C512" i="1"/>
  <c r="B512" i="1"/>
  <c r="A512" i="1"/>
  <c r="J511" i="1"/>
  <c r="I511" i="1"/>
  <c r="H511" i="1"/>
  <c r="G511" i="1"/>
  <c r="F511" i="1"/>
  <c r="E511" i="1"/>
  <c r="D511" i="1"/>
  <c r="C511" i="1"/>
  <c r="B511" i="1"/>
  <c r="A511" i="1"/>
  <c r="J510" i="1"/>
  <c r="I510" i="1"/>
  <c r="H510" i="1"/>
  <c r="G510" i="1"/>
  <c r="F510" i="1"/>
  <c r="E510" i="1"/>
  <c r="D510" i="1"/>
  <c r="C510" i="1"/>
  <c r="B510" i="1"/>
  <c r="A510" i="1"/>
  <c r="J509" i="1"/>
  <c r="I509" i="1"/>
  <c r="H509" i="1"/>
  <c r="G509" i="1"/>
  <c r="F509" i="1"/>
  <c r="E509" i="1"/>
  <c r="D509" i="1"/>
  <c r="C509" i="1"/>
  <c r="B509" i="1"/>
  <c r="A509" i="1"/>
  <c r="J508" i="1"/>
  <c r="I508" i="1"/>
  <c r="H508" i="1"/>
  <c r="G508" i="1"/>
  <c r="F508" i="1"/>
  <c r="E508" i="1"/>
  <c r="D508" i="1"/>
  <c r="C508" i="1"/>
  <c r="B508" i="1"/>
  <c r="A508" i="1"/>
  <c r="J507" i="1"/>
  <c r="I507" i="1"/>
  <c r="H507" i="1"/>
  <c r="G507" i="1"/>
  <c r="F507" i="1"/>
  <c r="E507" i="1"/>
  <c r="D507" i="1"/>
  <c r="C507" i="1"/>
  <c r="B507" i="1"/>
  <c r="A507" i="1"/>
  <c r="J506" i="1"/>
  <c r="I506" i="1"/>
  <c r="H506" i="1"/>
  <c r="G506" i="1"/>
  <c r="F506" i="1"/>
  <c r="E506" i="1"/>
  <c r="D506" i="1"/>
  <c r="C506" i="1"/>
  <c r="B506" i="1"/>
  <c r="A506" i="1"/>
  <c r="J505" i="1"/>
  <c r="H505" i="1"/>
  <c r="G505" i="1"/>
  <c r="F505" i="1"/>
  <c r="E505" i="1"/>
  <c r="D505" i="1"/>
  <c r="C505" i="1"/>
  <c r="B505" i="1"/>
  <c r="A505" i="1"/>
  <c r="J504" i="1"/>
  <c r="H504" i="1"/>
  <c r="G504" i="1"/>
  <c r="F504" i="1"/>
  <c r="E504" i="1"/>
  <c r="D504" i="1"/>
  <c r="C504" i="1"/>
  <c r="B504" i="1"/>
  <c r="A504" i="1"/>
  <c r="J503" i="1"/>
  <c r="H503" i="1"/>
  <c r="G503" i="1"/>
  <c r="F503" i="1"/>
  <c r="E503" i="1"/>
  <c r="D503" i="1"/>
  <c r="C503" i="1"/>
  <c r="B503" i="1"/>
  <c r="A503" i="1"/>
  <c r="J502" i="1"/>
  <c r="H502" i="1"/>
  <c r="G502" i="1"/>
  <c r="F502" i="1"/>
  <c r="E502" i="1"/>
  <c r="D502" i="1"/>
  <c r="C502" i="1"/>
  <c r="B502" i="1"/>
  <c r="A502" i="1"/>
  <c r="J501" i="1"/>
  <c r="H501" i="1"/>
  <c r="G501" i="1"/>
  <c r="F501" i="1"/>
  <c r="E501" i="1"/>
  <c r="D501" i="1"/>
  <c r="C501" i="1"/>
  <c r="B501" i="1"/>
  <c r="A501" i="1"/>
  <c r="J500" i="1"/>
  <c r="H500" i="1"/>
  <c r="G500" i="1"/>
  <c r="F500" i="1"/>
  <c r="E500" i="1"/>
  <c r="D500" i="1"/>
  <c r="C500" i="1"/>
  <c r="B500" i="1"/>
  <c r="A500" i="1"/>
  <c r="J499" i="1"/>
  <c r="H499" i="1"/>
  <c r="G499" i="1"/>
  <c r="F499" i="1"/>
  <c r="E499" i="1"/>
  <c r="D499" i="1"/>
  <c r="C499" i="1"/>
  <c r="B499" i="1"/>
  <c r="A499" i="1"/>
  <c r="J498" i="1"/>
  <c r="I498" i="1"/>
  <c r="H498" i="1"/>
  <c r="G498" i="1"/>
  <c r="F498" i="1"/>
  <c r="E498" i="1"/>
  <c r="D498" i="1"/>
  <c r="C498" i="1"/>
  <c r="B498" i="1"/>
  <c r="A498" i="1"/>
  <c r="J497" i="1"/>
  <c r="I497" i="1"/>
  <c r="H497" i="1"/>
  <c r="G497" i="1"/>
  <c r="F497" i="1"/>
  <c r="E497" i="1"/>
  <c r="D497" i="1"/>
  <c r="C497" i="1"/>
  <c r="B497" i="1"/>
  <c r="A497" i="1"/>
  <c r="J496" i="1"/>
  <c r="I496" i="1"/>
  <c r="H496" i="1"/>
  <c r="G496" i="1"/>
  <c r="F496" i="1"/>
  <c r="E496" i="1"/>
  <c r="D496" i="1"/>
  <c r="C496" i="1"/>
  <c r="B496" i="1"/>
  <c r="A496" i="1"/>
  <c r="J495" i="1"/>
  <c r="I495" i="1"/>
  <c r="H495" i="1"/>
  <c r="G495" i="1"/>
  <c r="F495" i="1"/>
  <c r="E495" i="1"/>
  <c r="D495" i="1"/>
  <c r="C495" i="1"/>
  <c r="B495" i="1"/>
  <c r="A495" i="1"/>
  <c r="J494" i="1"/>
  <c r="I494" i="1"/>
  <c r="H494" i="1"/>
  <c r="G494" i="1"/>
  <c r="F494" i="1"/>
  <c r="E494" i="1"/>
  <c r="D494" i="1"/>
  <c r="C494" i="1"/>
  <c r="B494" i="1"/>
  <c r="A494" i="1"/>
  <c r="J493" i="1"/>
  <c r="I493" i="1"/>
  <c r="H493" i="1"/>
  <c r="G493" i="1"/>
  <c r="F493" i="1"/>
  <c r="E493" i="1"/>
  <c r="D493" i="1"/>
  <c r="C493" i="1"/>
  <c r="B493" i="1"/>
  <c r="A493" i="1"/>
  <c r="J492" i="1"/>
  <c r="I492" i="1"/>
  <c r="H492" i="1"/>
  <c r="G492" i="1"/>
  <c r="F492" i="1"/>
  <c r="E492" i="1"/>
  <c r="D492" i="1"/>
  <c r="C492" i="1"/>
  <c r="B492" i="1"/>
  <c r="A492" i="1"/>
  <c r="J491" i="1"/>
  <c r="I491" i="1"/>
  <c r="H491" i="1"/>
  <c r="G491" i="1"/>
  <c r="F491" i="1"/>
  <c r="E491" i="1"/>
  <c r="D491" i="1"/>
  <c r="C491" i="1"/>
  <c r="B491" i="1"/>
  <c r="A491" i="1"/>
  <c r="J490" i="1"/>
  <c r="I490" i="1"/>
  <c r="H490" i="1"/>
  <c r="G490" i="1"/>
  <c r="F490" i="1"/>
  <c r="E490" i="1"/>
  <c r="D490" i="1"/>
  <c r="C490" i="1"/>
  <c r="B490" i="1"/>
  <c r="A490" i="1"/>
  <c r="J489" i="1"/>
  <c r="I489" i="1"/>
  <c r="H489" i="1"/>
  <c r="G489" i="1"/>
  <c r="F489" i="1"/>
  <c r="E489" i="1"/>
  <c r="D489" i="1"/>
  <c r="C489" i="1"/>
  <c r="B489" i="1"/>
  <c r="A489" i="1"/>
  <c r="J488" i="1"/>
  <c r="I488" i="1"/>
  <c r="H488" i="1"/>
  <c r="G488" i="1"/>
  <c r="F488" i="1"/>
  <c r="E488" i="1"/>
  <c r="D488" i="1"/>
  <c r="C488" i="1"/>
  <c r="B488" i="1"/>
  <c r="A488" i="1"/>
  <c r="J487" i="1"/>
  <c r="I487" i="1"/>
  <c r="H487" i="1"/>
  <c r="G487" i="1"/>
  <c r="F487" i="1"/>
  <c r="E487" i="1"/>
  <c r="D487" i="1"/>
  <c r="C487" i="1"/>
  <c r="B487" i="1"/>
  <c r="A487" i="1"/>
  <c r="J486" i="1"/>
  <c r="I486" i="1"/>
  <c r="H486" i="1"/>
  <c r="G486" i="1"/>
  <c r="F486" i="1"/>
  <c r="E486" i="1"/>
  <c r="D486" i="1"/>
  <c r="C486" i="1"/>
  <c r="B486" i="1"/>
  <c r="A486" i="1"/>
  <c r="J485" i="1"/>
  <c r="I485" i="1"/>
  <c r="H485" i="1"/>
  <c r="G485" i="1"/>
  <c r="F485" i="1"/>
  <c r="E485" i="1"/>
  <c r="D485" i="1"/>
  <c r="C485" i="1"/>
  <c r="B485" i="1"/>
  <c r="A485" i="1"/>
  <c r="J484" i="1"/>
  <c r="I484" i="1"/>
  <c r="H484" i="1"/>
  <c r="G484" i="1"/>
  <c r="F484" i="1"/>
  <c r="E484" i="1"/>
  <c r="D484" i="1"/>
  <c r="C484" i="1"/>
  <c r="B484" i="1"/>
  <c r="A484" i="1"/>
  <c r="J483" i="1"/>
  <c r="I483" i="1"/>
  <c r="H483" i="1"/>
  <c r="G483" i="1"/>
  <c r="F483" i="1"/>
  <c r="E483" i="1"/>
  <c r="D483" i="1"/>
  <c r="C483" i="1"/>
  <c r="B483" i="1"/>
  <c r="A483" i="1"/>
  <c r="J482" i="1"/>
  <c r="I482" i="1"/>
  <c r="H482" i="1"/>
  <c r="G482" i="1"/>
  <c r="F482" i="1"/>
  <c r="E482" i="1"/>
  <c r="D482" i="1"/>
  <c r="C482" i="1"/>
  <c r="B482" i="1"/>
  <c r="A482" i="1"/>
  <c r="J481" i="1"/>
  <c r="I481" i="1"/>
  <c r="H481" i="1"/>
  <c r="G481" i="1"/>
  <c r="F481" i="1"/>
  <c r="E481" i="1"/>
  <c r="D481" i="1"/>
  <c r="C481" i="1"/>
  <c r="B481" i="1"/>
  <c r="A481" i="1"/>
  <c r="J480" i="1"/>
  <c r="I480" i="1"/>
  <c r="H480" i="1"/>
  <c r="G480" i="1"/>
  <c r="F480" i="1"/>
  <c r="E480" i="1"/>
  <c r="D480" i="1"/>
  <c r="C480" i="1"/>
  <c r="B480" i="1"/>
  <c r="A480" i="1"/>
  <c r="J479" i="1"/>
  <c r="I479" i="1"/>
  <c r="H479" i="1"/>
  <c r="G479" i="1"/>
  <c r="F479" i="1"/>
  <c r="E479" i="1"/>
  <c r="D479" i="1"/>
  <c r="C479" i="1"/>
  <c r="B479" i="1"/>
  <c r="A479" i="1"/>
  <c r="J478" i="1"/>
  <c r="I478" i="1"/>
  <c r="H478" i="1"/>
  <c r="G478" i="1"/>
  <c r="F478" i="1"/>
  <c r="E478" i="1"/>
  <c r="D478" i="1"/>
  <c r="C478" i="1"/>
  <c r="B478" i="1"/>
  <c r="A478" i="1"/>
  <c r="J477" i="1"/>
  <c r="I477" i="1"/>
  <c r="H477" i="1"/>
  <c r="G477" i="1"/>
  <c r="F477" i="1"/>
  <c r="E477" i="1"/>
  <c r="D477" i="1"/>
  <c r="C477" i="1"/>
  <c r="B477" i="1"/>
  <c r="A477" i="1"/>
  <c r="J476" i="1"/>
  <c r="I476" i="1"/>
  <c r="H476" i="1"/>
  <c r="G476" i="1"/>
  <c r="F476" i="1"/>
  <c r="E476" i="1"/>
  <c r="D476" i="1"/>
  <c r="C476" i="1"/>
  <c r="B476" i="1"/>
  <c r="A476" i="1"/>
  <c r="J475" i="1"/>
  <c r="I475" i="1"/>
  <c r="H475" i="1"/>
  <c r="G475" i="1"/>
  <c r="F475" i="1"/>
  <c r="E475" i="1"/>
  <c r="D475" i="1"/>
  <c r="C475" i="1"/>
  <c r="B475" i="1"/>
  <c r="A475" i="1"/>
  <c r="J474" i="1"/>
  <c r="I474" i="1"/>
  <c r="H474" i="1"/>
  <c r="G474" i="1"/>
  <c r="F474" i="1"/>
  <c r="E474" i="1"/>
  <c r="D474" i="1"/>
  <c r="C474" i="1"/>
  <c r="B474" i="1"/>
  <c r="A474" i="1"/>
  <c r="J473" i="1"/>
  <c r="I473" i="1"/>
  <c r="H473" i="1"/>
  <c r="G473" i="1"/>
  <c r="F473" i="1"/>
  <c r="E473" i="1"/>
  <c r="D473" i="1"/>
  <c r="C473" i="1"/>
  <c r="B473" i="1"/>
  <c r="A473" i="1"/>
  <c r="J472" i="1"/>
  <c r="I472" i="1"/>
  <c r="H472" i="1"/>
  <c r="G472" i="1"/>
  <c r="F472" i="1"/>
  <c r="E472" i="1"/>
  <c r="D472" i="1"/>
  <c r="C472" i="1"/>
  <c r="B472" i="1"/>
  <c r="A472" i="1"/>
  <c r="J471" i="1"/>
  <c r="I471" i="1"/>
  <c r="H471" i="1"/>
  <c r="G471" i="1"/>
  <c r="F471" i="1"/>
  <c r="E471" i="1"/>
  <c r="D471" i="1"/>
  <c r="C471" i="1"/>
  <c r="B471" i="1"/>
  <c r="A471" i="1"/>
  <c r="J470" i="1"/>
  <c r="I470" i="1"/>
  <c r="H470" i="1"/>
  <c r="G470" i="1"/>
  <c r="F470" i="1"/>
  <c r="E470" i="1"/>
  <c r="D470" i="1"/>
  <c r="C470" i="1"/>
  <c r="B470" i="1"/>
  <c r="A470" i="1"/>
  <c r="J469" i="1"/>
  <c r="I469" i="1"/>
  <c r="H469" i="1"/>
  <c r="G469" i="1"/>
  <c r="F469" i="1"/>
  <c r="E469" i="1"/>
  <c r="D469" i="1"/>
  <c r="C469" i="1"/>
  <c r="B469" i="1"/>
  <c r="A469" i="1"/>
  <c r="J468" i="1"/>
  <c r="I468" i="1"/>
  <c r="H468" i="1"/>
  <c r="G468" i="1"/>
  <c r="F468" i="1"/>
  <c r="E468" i="1"/>
  <c r="D468" i="1"/>
  <c r="C468" i="1"/>
  <c r="B468" i="1"/>
  <c r="A468" i="1"/>
  <c r="J467" i="1"/>
  <c r="I467" i="1"/>
  <c r="H467" i="1"/>
  <c r="G467" i="1"/>
  <c r="F467" i="1"/>
  <c r="E467" i="1"/>
  <c r="D467" i="1"/>
  <c r="C467" i="1"/>
  <c r="B467" i="1"/>
  <c r="A467" i="1"/>
  <c r="J466" i="1"/>
  <c r="I466" i="1"/>
  <c r="H466" i="1"/>
  <c r="G466" i="1"/>
  <c r="F466" i="1"/>
  <c r="E466" i="1"/>
  <c r="D466" i="1"/>
  <c r="C466" i="1"/>
  <c r="B466" i="1"/>
  <c r="A466" i="1"/>
  <c r="J465" i="1"/>
  <c r="I465" i="1"/>
  <c r="H465" i="1"/>
  <c r="G465" i="1"/>
  <c r="F465" i="1"/>
  <c r="E465" i="1"/>
  <c r="D465" i="1"/>
  <c r="C465" i="1"/>
  <c r="B465" i="1"/>
  <c r="A465" i="1"/>
  <c r="J464" i="1"/>
  <c r="I464" i="1"/>
  <c r="H464" i="1"/>
  <c r="G464" i="1"/>
  <c r="F464" i="1"/>
  <c r="E464" i="1"/>
  <c r="D464" i="1"/>
  <c r="C464" i="1"/>
  <c r="B464" i="1"/>
  <c r="A464" i="1"/>
  <c r="J463" i="1"/>
  <c r="I463" i="1"/>
  <c r="H463" i="1"/>
  <c r="G463" i="1"/>
  <c r="F463" i="1"/>
  <c r="E463" i="1"/>
  <c r="D463" i="1"/>
  <c r="C463" i="1"/>
  <c r="B463" i="1"/>
  <c r="A463" i="1"/>
  <c r="J462" i="1"/>
  <c r="I462" i="1"/>
  <c r="H462" i="1"/>
  <c r="G462" i="1"/>
  <c r="F462" i="1"/>
  <c r="E462" i="1"/>
  <c r="D462" i="1"/>
  <c r="C462" i="1"/>
  <c r="B462" i="1"/>
  <c r="A462" i="1"/>
  <c r="J461" i="1"/>
  <c r="I461" i="1"/>
  <c r="H461" i="1"/>
  <c r="G461" i="1"/>
  <c r="F461" i="1"/>
  <c r="E461" i="1"/>
  <c r="D461" i="1"/>
  <c r="C461" i="1"/>
  <c r="B461" i="1"/>
  <c r="A461" i="1"/>
  <c r="J460" i="1"/>
  <c r="I460" i="1"/>
  <c r="H460" i="1"/>
  <c r="G460" i="1"/>
  <c r="F460" i="1"/>
  <c r="E460" i="1"/>
  <c r="D460" i="1"/>
  <c r="C460" i="1"/>
  <c r="B460" i="1"/>
  <c r="A460" i="1"/>
  <c r="J459" i="1"/>
  <c r="I459" i="1"/>
  <c r="H459" i="1"/>
  <c r="G459" i="1"/>
  <c r="F459" i="1"/>
  <c r="E459" i="1"/>
  <c r="D459" i="1"/>
  <c r="C459" i="1"/>
  <c r="B459" i="1"/>
  <c r="A459" i="1"/>
  <c r="J458" i="1"/>
  <c r="I458" i="1"/>
  <c r="H458" i="1"/>
  <c r="G458" i="1"/>
  <c r="F458" i="1"/>
  <c r="E458" i="1"/>
  <c r="D458" i="1"/>
  <c r="C458" i="1"/>
  <c r="B458" i="1"/>
  <c r="A458" i="1"/>
  <c r="J457" i="1"/>
  <c r="I457" i="1"/>
  <c r="H457" i="1"/>
  <c r="G457" i="1"/>
  <c r="F457" i="1"/>
  <c r="E457" i="1"/>
  <c r="D457" i="1"/>
  <c r="C457" i="1"/>
  <c r="B457" i="1"/>
  <c r="A457" i="1"/>
  <c r="J456" i="1"/>
  <c r="I456" i="1"/>
  <c r="H456" i="1"/>
  <c r="G456" i="1"/>
  <c r="F456" i="1"/>
  <c r="E456" i="1"/>
  <c r="D456" i="1"/>
  <c r="C456" i="1"/>
  <c r="B456" i="1"/>
  <c r="A456" i="1"/>
  <c r="J455" i="1"/>
  <c r="I455" i="1"/>
  <c r="H455" i="1"/>
  <c r="G455" i="1"/>
  <c r="F455" i="1"/>
  <c r="E455" i="1"/>
  <c r="D455" i="1"/>
  <c r="C455" i="1"/>
  <c r="B455" i="1"/>
  <c r="A455" i="1"/>
  <c r="J454" i="1"/>
  <c r="I454" i="1"/>
  <c r="H454" i="1"/>
  <c r="G454" i="1"/>
  <c r="F454" i="1"/>
  <c r="E454" i="1"/>
  <c r="D454" i="1"/>
  <c r="C454" i="1"/>
  <c r="B454" i="1"/>
  <c r="A454" i="1"/>
  <c r="J453" i="1"/>
  <c r="I453" i="1"/>
  <c r="H453" i="1"/>
  <c r="G453" i="1"/>
  <c r="F453" i="1"/>
  <c r="E453" i="1"/>
  <c r="D453" i="1"/>
  <c r="C453" i="1"/>
  <c r="B453" i="1"/>
  <c r="A453" i="1"/>
  <c r="J452" i="1"/>
  <c r="I452" i="1"/>
  <c r="H452" i="1"/>
  <c r="G452" i="1"/>
  <c r="F452" i="1"/>
  <c r="E452" i="1"/>
  <c r="D452" i="1"/>
  <c r="C452" i="1"/>
  <c r="B452" i="1"/>
  <c r="A452" i="1"/>
  <c r="J451" i="1"/>
  <c r="I451" i="1"/>
  <c r="H451" i="1"/>
  <c r="G451" i="1"/>
  <c r="F451" i="1"/>
  <c r="E451" i="1"/>
  <c r="D451" i="1"/>
  <c r="C451" i="1"/>
  <c r="B451" i="1"/>
  <c r="A451" i="1"/>
  <c r="J450" i="1"/>
  <c r="I450" i="1"/>
  <c r="H450" i="1"/>
  <c r="G450" i="1"/>
  <c r="F450" i="1"/>
  <c r="E450" i="1"/>
  <c r="D450" i="1"/>
  <c r="C450" i="1"/>
  <c r="B450" i="1"/>
  <c r="A450" i="1"/>
  <c r="J449" i="1"/>
  <c r="I449" i="1"/>
  <c r="H449" i="1"/>
  <c r="G449" i="1"/>
  <c r="F449" i="1"/>
  <c r="E449" i="1"/>
  <c r="D449" i="1"/>
  <c r="C449" i="1"/>
  <c r="B449" i="1"/>
  <c r="A449" i="1"/>
  <c r="J448" i="1"/>
  <c r="I448" i="1"/>
  <c r="H448" i="1"/>
  <c r="G448" i="1"/>
  <c r="F448" i="1"/>
  <c r="E448" i="1"/>
  <c r="D448" i="1"/>
  <c r="C448" i="1"/>
  <c r="B448" i="1"/>
  <c r="A448" i="1"/>
  <c r="J447" i="1"/>
  <c r="I447" i="1"/>
  <c r="H447" i="1"/>
  <c r="G447" i="1"/>
  <c r="F447" i="1"/>
  <c r="E447" i="1"/>
  <c r="D447" i="1"/>
  <c r="C447" i="1"/>
  <c r="B447" i="1"/>
  <c r="A447" i="1"/>
  <c r="J446" i="1"/>
  <c r="I446" i="1"/>
  <c r="H446" i="1"/>
  <c r="G446" i="1"/>
  <c r="F446" i="1"/>
  <c r="E446" i="1"/>
  <c r="D446" i="1"/>
  <c r="C446" i="1"/>
  <c r="B446" i="1"/>
  <c r="A446" i="1"/>
  <c r="J445" i="1"/>
  <c r="I445" i="1"/>
  <c r="H445" i="1"/>
  <c r="G445" i="1"/>
  <c r="F445" i="1"/>
  <c r="E445" i="1"/>
  <c r="D445" i="1"/>
  <c r="C445" i="1"/>
  <c r="B445" i="1"/>
  <c r="A445" i="1"/>
  <c r="J444" i="1"/>
  <c r="I444" i="1"/>
  <c r="H444" i="1"/>
  <c r="G444" i="1"/>
  <c r="F444" i="1"/>
  <c r="E444" i="1"/>
  <c r="D444" i="1"/>
  <c r="C444" i="1"/>
  <c r="B444" i="1"/>
  <c r="A444" i="1"/>
  <c r="J443" i="1"/>
  <c r="I443" i="1"/>
  <c r="H443" i="1"/>
  <c r="G443" i="1"/>
  <c r="F443" i="1"/>
  <c r="E443" i="1"/>
  <c r="D443" i="1"/>
  <c r="C443" i="1"/>
  <c r="B443" i="1"/>
  <c r="A443" i="1"/>
  <c r="J442" i="1"/>
  <c r="I442" i="1"/>
  <c r="H442" i="1"/>
  <c r="G442" i="1"/>
  <c r="F442" i="1"/>
  <c r="E442" i="1"/>
  <c r="D442" i="1"/>
  <c r="C442" i="1"/>
  <c r="B442" i="1"/>
  <c r="A442" i="1"/>
  <c r="J441" i="1"/>
  <c r="I441" i="1"/>
  <c r="H441" i="1"/>
  <c r="G441" i="1"/>
  <c r="F441" i="1"/>
  <c r="E441" i="1"/>
  <c r="D441" i="1"/>
  <c r="C441" i="1"/>
  <c r="B441" i="1"/>
  <c r="A441" i="1"/>
  <c r="J440" i="1"/>
  <c r="I440" i="1"/>
  <c r="H440" i="1"/>
  <c r="G440" i="1"/>
  <c r="F440" i="1"/>
  <c r="E440" i="1"/>
  <c r="D440" i="1"/>
  <c r="C440" i="1"/>
  <c r="B440" i="1"/>
  <c r="A440" i="1"/>
  <c r="J439" i="1"/>
  <c r="I439" i="1"/>
  <c r="H439" i="1"/>
  <c r="G439" i="1"/>
  <c r="F439" i="1"/>
  <c r="E439" i="1"/>
  <c r="D439" i="1"/>
  <c r="C439" i="1"/>
  <c r="B439" i="1"/>
  <c r="A439" i="1"/>
  <c r="J438" i="1"/>
  <c r="I438" i="1"/>
  <c r="H438" i="1"/>
  <c r="G438" i="1"/>
  <c r="F438" i="1"/>
  <c r="E438" i="1"/>
  <c r="D438" i="1"/>
  <c r="C438" i="1"/>
  <c r="B438" i="1"/>
  <c r="A438" i="1"/>
  <c r="J437" i="1"/>
  <c r="I437" i="1"/>
  <c r="H437" i="1"/>
  <c r="G437" i="1"/>
  <c r="F437" i="1"/>
  <c r="E437" i="1"/>
  <c r="D437" i="1"/>
  <c r="C437" i="1"/>
  <c r="B437" i="1"/>
  <c r="A437" i="1"/>
  <c r="J436" i="1"/>
  <c r="I436" i="1"/>
  <c r="H436" i="1"/>
  <c r="G436" i="1"/>
  <c r="F436" i="1"/>
  <c r="E436" i="1"/>
  <c r="D436" i="1"/>
  <c r="C436" i="1"/>
  <c r="B436" i="1"/>
  <c r="A436" i="1"/>
  <c r="J435" i="1"/>
  <c r="H435" i="1"/>
  <c r="G435" i="1"/>
  <c r="F435" i="1"/>
  <c r="E435" i="1"/>
  <c r="D435" i="1"/>
  <c r="C435" i="1"/>
  <c r="B435" i="1"/>
  <c r="A435" i="1"/>
  <c r="J434" i="1"/>
  <c r="H434" i="1"/>
  <c r="G434" i="1"/>
  <c r="F434" i="1"/>
  <c r="E434" i="1"/>
  <c r="D434" i="1"/>
  <c r="C434" i="1"/>
  <c r="B434" i="1"/>
  <c r="A434" i="1"/>
  <c r="J433" i="1"/>
  <c r="H433" i="1"/>
  <c r="G433" i="1"/>
  <c r="F433" i="1"/>
  <c r="E433" i="1"/>
  <c r="D433" i="1"/>
  <c r="C433" i="1"/>
  <c r="B433" i="1"/>
  <c r="A433" i="1"/>
  <c r="J432" i="1"/>
  <c r="H432" i="1"/>
  <c r="G432" i="1"/>
  <c r="F432" i="1"/>
  <c r="E432" i="1"/>
  <c r="D432" i="1"/>
  <c r="C432" i="1"/>
  <c r="B432" i="1"/>
  <c r="A432" i="1"/>
  <c r="J431" i="1"/>
  <c r="H431" i="1"/>
  <c r="G431" i="1"/>
  <c r="F431" i="1"/>
  <c r="E431" i="1"/>
  <c r="D431" i="1"/>
  <c r="C431" i="1"/>
  <c r="B431" i="1"/>
  <c r="A431" i="1"/>
  <c r="J430" i="1"/>
  <c r="H430" i="1"/>
  <c r="G430" i="1"/>
  <c r="F430" i="1"/>
  <c r="E430" i="1"/>
  <c r="D430" i="1"/>
  <c r="C430" i="1"/>
  <c r="B430" i="1"/>
  <c r="A430" i="1"/>
  <c r="J429" i="1"/>
  <c r="H429" i="1"/>
  <c r="G429" i="1"/>
  <c r="F429" i="1"/>
  <c r="E429" i="1"/>
  <c r="D429" i="1"/>
  <c r="C429" i="1"/>
  <c r="B429" i="1"/>
  <c r="A429" i="1"/>
  <c r="J428" i="1"/>
  <c r="I428" i="1"/>
  <c r="H428" i="1"/>
  <c r="G428" i="1"/>
  <c r="F428" i="1"/>
  <c r="E428" i="1"/>
  <c r="D428" i="1"/>
  <c r="C428" i="1"/>
  <c r="B428" i="1"/>
  <c r="A428" i="1"/>
  <c r="J427" i="1"/>
  <c r="I427" i="1"/>
  <c r="H427" i="1"/>
  <c r="G427" i="1"/>
  <c r="F427" i="1"/>
  <c r="E427" i="1"/>
  <c r="D427" i="1"/>
  <c r="C427" i="1"/>
  <c r="B427" i="1"/>
  <c r="A427" i="1"/>
  <c r="J426" i="1"/>
  <c r="I426" i="1"/>
  <c r="H426" i="1"/>
  <c r="G426" i="1"/>
  <c r="F426" i="1"/>
  <c r="E426" i="1"/>
  <c r="D426" i="1"/>
  <c r="C426" i="1"/>
  <c r="B426" i="1"/>
  <c r="A426" i="1"/>
  <c r="J425" i="1"/>
  <c r="I425" i="1"/>
  <c r="H425" i="1"/>
  <c r="G425" i="1"/>
  <c r="F425" i="1"/>
  <c r="E425" i="1"/>
  <c r="D425" i="1"/>
  <c r="C425" i="1"/>
  <c r="B425" i="1"/>
  <c r="A425" i="1"/>
  <c r="J424" i="1"/>
  <c r="I424" i="1"/>
  <c r="H424" i="1"/>
  <c r="G424" i="1"/>
  <c r="F424" i="1"/>
  <c r="E424" i="1"/>
  <c r="D424" i="1"/>
  <c r="C424" i="1"/>
  <c r="B424" i="1"/>
  <c r="A424" i="1"/>
  <c r="J423" i="1"/>
  <c r="I423" i="1"/>
  <c r="H423" i="1"/>
  <c r="G423" i="1"/>
  <c r="F423" i="1"/>
  <c r="E423" i="1"/>
  <c r="D423" i="1"/>
  <c r="C423" i="1"/>
  <c r="B423" i="1"/>
  <c r="A423" i="1"/>
  <c r="J422" i="1"/>
  <c r="I422" i="1"/>
  <c r="H422" i="1"/>
  <c r="G422" i="1"/>
  <c r="F422" i="1"/>
  <c r="E422" i="1"/>
  <c r="D422" i="1"/>
  <c r="C422" i="1"/>
  <c r="B422" i="1"/>
  <c r="A422" i="1"/>
  <c r="J421" i="1"/>
  <c r="I421" i="1"/>
  <c r="H421" i="1"/>
  <c r="G421" i="1"/>
  <c r="F421" i="1"/>
  <c r="E421" i="1"/>
  <c r="D421" i="1"/>
  <c r="C421" i="1"/>
  <c r="B421" i="1"/>
  <c r="A421" i="1"/>
  <c r="J420" i="1"/>
  <c r="I420" i="1"/>
  <c r="H420" i="1"/>
  <c r="G420" i="1"/>
  <c r="F420" i="1"/>
  <c r="E420" i="1"/>
  <c r="D420" i="1"/>
  <c r="C420" i="1"/>
  <c r="B420" i="1"/>
  <c r="A420" i="1"/>
  <c r="J419" i="1"/>
  <c r="I419" i="1"/>
  <c r="H419" i="1"/>
  <c r="G419" i="1"/>
  <c r="F419" i="1"/>
  <c r="E419" i="1"/>
  <c r="D419" i="1"/>
  <c r="C419" i="1"/>
  <c r="B419" i="1"/>
  <c r="A419" i="1"/>
  <c r="J418" i="1"/>
  <c r="I418" i="1"/>
  <c r="H418" i="1"/>
  <c r="G418" i="1"/>
  <c r="F418" i="1"/>
  <c r="E418" i="1"/>
  <c r="D418" i="1"/>
  <c r="C418" i="1"/>
  <c r="B418" i="1"/>
  <c r="A418" i="1"/>
  <c r="J417" i="1"/>
  <c r="I417" i="1"/>
  <c r="H417" i="1"/>
  <c r="G417" i="1"/>
  <c r="F417" i="1"/>
  <c r="E417" i="1"/>
  <c r="D417" i="1"/>
  <c r="C417" i="1"/>
  <c r="B417" i="1"/>
  <c r="A417" i="1"/>
  <c r="J416" i="1"/>
  <c r="I416" i="1"/>
  <c r="H416" i="1"/>
  <c r="G416" i="1"/>
  <c r="F416" i="1"/>
  <c r="E416" i="1"/>
  <c r="D416" i="1"/>
  <c r="C416" i="1"/>
  <c r="B416" i="1"/>
  <c r="A416" i="1"/>
  <c r="J415" i="1"/>
  <c r="I415" i="1"/>
  <c r="H415" i="1"/>
  <c r="G415" i="1"/>
  <c r="F415" i="1"/>
  <c r="E415" i="1"/>
  <c r="D415" i="1"/>
  <c r="C415" i="1"/>
  <c r="B415" i="1"/>
  <c r="A415" i="1"/>
  <c r="J414" i="1"/>
  <c r="I414" i="1"/>
  <c r="H414" i="1"/>
  <c r="G414" i="1"/>
  <c r="F414" i="1"/>
  <c r="E414" i="1"/>
  <c r="D414" i="1"/>
  <c r="C414" i="1"/>
  <c r="B414" i="1"/>
  <c r="A414" i="1"/>
  <c r="J413" i="1"/>
  <c r="I413" i="1"/>
  <c r="H413" i="1"/>
  <c r="G413" i="1"/>
  <c r="F413" i="1"/>
  <c r="E413" i="1"/>
  <c r="D413" i="1"/>
  <c r="C413" i="1"/>
  <c r="B413" i="1"/>
  <c r="A413" i="1"/>
  <c r="J412" i="1"/>
  <c r="I412" i="1"/>
  <c r="H412" i="1"/>
  <c r="G412" i="1"/>
  <c r="F412" i="1"/>
  <c r="E412" i="1"/>
  <c r="D412" i="1"/>
  <c r="C412" i="1"/>
  <c r="B412" i="1"/>
  <c r="A412" i="1"/>
  <c r="J411" i="1"/>
  <c r="I411" i="1"/>
  <c r="H411" i="1"/>
  <c r="G411" i="1"/>
  <c r="F411" i="1"/>
  <c r="E411" i="1"/>
  <c r="D411" i="1"/>
  <c r="C411" i="1"/>
  <c r="B411" i="1"/>
  <c r="A411" i="1"/>
  <c r="J410" i="1"/>
  <c r="I410" i="1"/>
  <c r="H410" i="1"/>
  <c r="G410" i="1"/>
  <c r="F410" i="1"/>
  <c r="E410" i="1"/>
  <c r="D410" i="1"/>
  <c r="C410" i="1"/>
  <c r="B410" i="1"/>
  <c r="A410" i="1"/>
  <c r="J409" i="1"/>
  <c r="I409" i="1"/>
  <c r="H409" i="1"/>
  <c r="G409" i="1"/>
  <c r="F409" i="1"/>
  <c r="E409" i="1"/>
  <c r="D409" i="1"/>
  <c r="C409" i="1"/>
  <c r="B409" i="1"/>
  <c r="A409" i="1"/>
  <c r="J408" i="1"/>
  <c r="I408" i="1"/>
  <c r="H408" i="1"/>
  <c r="G408" i="1"/>
  <c r="F408" i="1"/>
  <c r="E408" i="1"/>
  <c r="D408" i="1"/>
  <c r="C408" i="1"/>
  <c r="B408" i="1"/>
  <c r="A408" i="1"/>
  <c r="J407" i="1"/>
  <c r="I407" i="1"/>
  <c r="H407" i="1"/>
  <c r="G407" i="1"/>
  <c r="F407" i="1"/>
  <c r="E407" i="1"/>
  <c r="D407" i="1"/>
  <c r="C407" i="1"/>
  <c r="B407" i="1"/>
  <c r="A407" i="1"/>
  <c r="J406" i="1"/>
  <c r="I406" i="1"/>
  <c r="H406" i="1"/>
  <c r="G406" i="1"/>
  <c r="F406" i="1"/>
  <c r="E406" i="1"/>
  <c r="D406" i="1"/>
  <c r="C406" i="1"/>
  <c r="B406" i="1"/>
  <c r="A406" i="1"/>
  <c r="J405" i="1"/>
  <c r="I405" i="1"/>
  <c r="H405" i="1"/>
  <c r="G405" i="1"/>
  <c r="F405" i="1"/>
  <c r="E405" i="1"/>
  <c r="D405" i="1"/>
  <c r="C405" i="1"/>
  <c r="B405" i="1"/>
  <c r="A405" i="1"/>
  <c r="J404" i="1"/>
  <c r="I404" i="1"/>
  <c r="H404" i="1"/>
  <c r="G404" i="1"/>
  <c r="F404" i="1"/>
  <c r="E404" i="1"/>
  <c r="D404" i="1"/>
  <c r="C404" i="1"/>
  <c r="B404" i="1"/>
  <c r="A404" i="1"/>
  <c r="J403" i="1"/>
  <c r="I403" i="1"/>
  <c r="H403" i="1"/>
  <c r="G403" i="1"/>
  <c r="F403" i="1"/>
  <c r="E403" i="1"/>
  <c r="D403" i="1"/>
  <c r="C403" i="1"/>
  <c r="B403" i="1"/>
  <c r="A403" i="1"/>
  <c r="J402" i="1"/>
  <c r="I402" i="1"/>
  <c r="H402" i="1"/>
  <c r="G402" i="1"/>
  <c r="F402" i="1"/>
  <c r="E402" i="1"/>
  <c r="D402" i="1"/>
  <c r="C402" i="1"/>
  <c r="B402" i="1"/>
  <c r="A402" i="1"/>
  <c r="J401" i="1"/>
  <c r="I401" i="1"/>
  <c r="H401" i="1"/>
  <c r="G401" i="1"/>
  <c r="F401" i="1"/>
  <c r="E401" i="1"/>
  <c r="D401" i="1"/>
  <c r="C401" i="1"/>
  <c r="B401" i="1"/>
  <c r="A401" i="1"/>
  <c r="J400" i="1"/>
  <c r="I400" i="1"/>
  <c r="H400" i="1"/>
  <c r="G400" i="1"/>
  <c r="F400" i="1"/>
  <c r="E400" i="1"/>
  <c r="D400" i="1"/>
  <c r="C400" i="1"/>
  <c r="B400" i="1"/>
  <c r="A400" i="1"/>
  <c r="J399" i="1"/>
  <c r="I399" i="1"/>
  <c r="H399" i="1"/>
  <c r="G399" i="1"/>
  <c r="F399" i="1"/>
  <c r="E399" i="1"/>
  <c r="D399" i="1"/>
  <c r="C399" i="1"/>
  <c r="B399" i="1"/>
  <c r="A399" i="1"/>
  <c r="J398" i="1"/>
  <c r="I398" i="1"/>
  <c r="H398" i="1"/>
  <c r="G398" i="1"/>
  <c r="F398" i="1"/>
  <c r="E398" i="1"/>
  <c r="D398" i="1"/>
  <c r="C398" i="1"/>
  <c r="B398" i="1"/>
  <c r="A398" i="1"/>
  <c r="J397" i="1"/>
  <c r="I397" i="1"/>
  <c r="H397" i="1"/>
  <c r="G397" i="1"/>
  <c r="F397" i="1"/>
  <c r="E397" i="1"/>
  <c r="D397" i="1"/>
  <c r="C397" i="1"/>
  <c r="B397" i="1"/>
  <c r="A397" i="1"/>
  <c r="J396" i="1"/>
  <c r="I396" i="1"/>
  <c r="H396" i="1"/>
  <c r="G396" i="1"/>
  <c r="F396" i="1"/>
  <c r="E396" i="1"/>
  <c r="D396" i="1"/>
  <c r="C396" i="1"/>
  <c r="B396" i="1"/>
  <c r="A396" i="1"/>
  <c r="J395" i="1"/>
  <c r="I395" i="1"/>
  <c r="H395" i="1"/>
  <c r="G395" i="1"/>
  <c r="F395" i="1"/>
  <c r="E395" i="1"/>
  <c r="D395" i="1"/>
  <c r="C395" i="1"/>
  <c r="B395" i="1"/>
  <c r="A395" i="1"/>
  <c r="J394" i="1"/>
  <c r="I394" i="1"/>
  <c r="H394" i="1"/>
  <c r="G394" i="1"/>
  <c r="F394" i="1"/>
  <c r="E394" i="1"/>
  <c r="D394" i="1"/>
  <c r="C394" i="1"/>
  <c r="B394" i="1"/>
  <c r="A394" i="1"/>
  <c r="J393" i="1"/>
  <c r="I393" i="1"/>
  <c r="H393" i="1"/>
  <c r="G393" i="1"/>
  <c r="F393" i="1"/>
  <c r="E393" i="1"/>
  <c r="D393" i="1"/>
  <c r="C393" i="1"/>
  <c r="B393" i="1"/>
  <c r="A393" i="1"/>
  <c r="J392" i="1"/>
  <c r="I392" i="1"/>
  <c r="H392" i="1"/>
  <c r="G392" i="1"/>
  <c r="F392" i="1"/>
  <c r="E392" i="1"/>
  <c r="D392" i="1"/>
  <c r="C392" i="1"/>
  <c r="B392" i="1"/>
  <c r="A392" i="1"/>
  <c r="J391" i="1"/>
  <c r="I391" i="1"/>
  <c r="H391" i="1"/>
  <c r="G391" i="1"/>
  <c r="F391" i="1"/>
  <c r="E391" i="1"/>
  <c r="D391" i="1"/>
  <c r="C391" i="1"/>
  <c r="B391" i="1"/>
  <c r="A391" i="1"/>
  <c r="J390" i="1"/>
  <c r="I390" i="1"/>
  <c r="H390" i="1"/>
  <c r="G390" i="1"/>
  <c r="F390" i="1"/>
  <c r="E390" i="1"/>
  <c r="D390" i="1"/>
  <c r="C390" i="1"/>
  <c r="B390" i="1"/>
  <c r="A390" i="1"/>
  <c r="J389" i="1"/>
  <c r="I389" i="1"/>
  <c r="H389" i="1"/>
  <c r="G389" i="1"/>
  <c r="F389" i="1"/>
  <c r="E389" i="1"/>
  <c r="D389" i="1"/>
  <c r="C389" i="1"/>
  <c r="B389" i="1"/>
  <c r="A389" i="1"/>
  <c r="J388" i="1"/>
  <c r="I388" i="1"/>
  <c r="H388" i="1"/>
  <c r="G388" i="1"/>
  <c r="F388" i="1"/>
  <c r="E388" i="1"/>
  <c r="D388" i="1"/>
  <c r="C388" i="1"/>
  <c r="B388" i="1"/>
  <c r="A388" i="1"/>
  <c r="J387" i="1"/>
  <c r="I387" i="1"/>
  <c r="H387" i="1"/>
  <c r="G387" i="1"/>
  <c r="F387" i="1"/>
  <c r="E387" i="1"/>
  <c r="D387" i="1"/>
  <c r="C387" i="1"/>
  <c r="B387" i="1"/>
  <c r="A387" i="1"/>
  <c r="J386" i="1"/>
  <c r="I386" i="1"/>
  <c r="H386" i="1"/>
  <c r="G386" i="1"/>
  <c r="F386" i="1"/>
  <c r="E386" i="1"/>
  <c r="D386" i="1"/>
  <c r="C386" i="1"/>
  <c r="B386" i="1"/>
  <c r="A386" i="1"/>
  <c r="J385" i="1"/>
  <c r="I385" i="1"/>
  <c r="H385" i="1"/>
  <c r="G385" i="1"/>
  <c r="F385" i="1"/>
  <c r="E385" i="1"/>
  <c r="D385" i="1"/>
  <c r="C385" i="1"/>
  <c r="B385" i="1"/>
  <c r="A385" i="1"/>
  <c r="J384" i="1"/>
  <c r="I384" i="1"/>
  <c r="H384" i="1"/>
  <c r="G384" i="1"/>
  <c r="F384" i="1"/>
  <c r="E384" i="1"/>
  <c r="D384" i="1"/>
  <c r="C384" i="1"/>
  <c r="B384" i="1"/>
  <c r="A384" i="1"/>
  <c r="J383" i="1"/>
  <c r="I383" i="1"/>
  <c r="H383" i="1"/>
  <c r="G383" i="1"/>
  <c r="F383" i="1"/>
  <c r="E383" i="1"/>
  <c r="D383" i="1"/>
  <c r="C383" i="1"/>
  <c r="B383" i="1"/>
  <c r="A383" i="1"/>
  <c r="J382" i="1"/>
  <c r="I382" i="1"/>
  <c r="H382" i="1"/>
  <c r="G382" i="1"/>
  <c r="F382" i="1"/>
  <c r="E382" i="1"/>
  <c r="D382" i="1"/>
  <c r="C382" i="1"/>
  <c r="B382" i="1"/>
  <c r="A382" i="1"/>
  <c r="J381" i="1"/>
  <c r="I381" i="1"/>
  <c r="H381" i="1"/>
  <c r="G381" i="1"/>
  <c r="F381" i="1"/>
  <c r="E381" i="1"/>
  <c r="D381" i="1"/>
  <c r="C381" i="1"/>
  <c r="B381" i="1"/>
  <c r="A381" i="1"/>
  <c r="J380" i="1"/>
  <c r="I380" i="1"/>
  <c r="H380" i="1"/>
  <c r="G380" i="1"/>
  <c r="F380" i="1"/>
  <c r="E380" i="1"/>
  <c r="D380" i="1"/>
  <c r="C380" i="1"/>
  <c r="B380" i="1"/>
  <c r="A380" i="1"/>
  <c r="J379" i="1"/>
  <c r="I379" i="1"/>
  <c r="H379" i="1"/>
  <c r="G379" i="1"/>
  <c r="F379" i="1"/>
  <c r="E379" i="1"/>
  <c r="D379" i="1"/>
  <c r="C379" i="1"/>
  <c r="B379" i="1"/>
  <c r="A379" i="1"/>
  <c r="J378" i="1"/>
  <c r="I378" i="1"/>
  <c r="H378" i="1"/>
  <c r="G378" i="1"/>
  <c r="F378" i="1"/>
  <c r="E378" i="1"/>
  <c r="D378" i="1"/>
  <c r="C378" i="1"/>
  <c r="B378" i="1"/>
  <c r="A378" i="1"/>
  <c r="J377" i="1"/>
  <c r="I377" i="1"/>
  <c r="H377" i="1"/>
  <c r="G377" i="1"/>
  <c r="F377" i="1"/>
  <c r="E377" i="1"/>
  <c r="D377" i="1"/>
  <c r="C377" i="1"/>
  <c r="B377" i="1"/>
  <c r="A377" i="1"/>
  <c r="J376" i="1"/>
  <c r="I376" i="1"/>
  <c r="H376" i="1"/>
  <c r="G376" i="1"/>
  <c r="F376" i="1"/>
  <c r="E376" i="1"/>
  <c r="D376" i="1"/>
  <c r="C376" i="1"/>
  <c r="B376" i="1"/>
  <c r="A376" i="1"/>
  <c r="J375" i="1"/>
  <c r="I375" i="1"/>
  <c r="H375" i="1"/>
  <c r="G375" i="1"/>
  <c r="F375" i="1"/>
  <c r="E375" i="1"/>
  <c r="D375" i="1"/>
  <c r="C375" i="1"/>
  <c r="B375" i="1"/>
  <c r="A375" i="1"/>
  <c r="J374" i="1"/>
  <c r="I374" i="1"/>
  <c r="H374" i="1"/>
  <c r="G374" i="1"/>
  <c r="F374" i="1"/>
  <c r="E374" i="1"/>
  <c r="D374" i="1"/>
  <c r="C374" i="1"/>
  <c r="B374" i="1"/>
  <c r="A374" i="1"/>
  <c r="J373" i="1"/>
  <c r="I373" i="1"/>
  <c r="H373" i="1"/>
  <c r="G373" i="1"/>
  <c r="F373" i="1"/>
  <c r="E373" i="1"/>
  <c r="D373" i="1"/>
  <c r="C373" i="1"/>
  <c r="B373" i="1"/>
  <c r="A373" i="1"/>
  <c r="J372" i="1"/>
  <c r="I372" i="1"/>
  <c r="H372" i="1"/>
  <c r="G372" i="1"/>
  <c r="F372" i="1"/>
  <c r="E372" i="1"/>
  <c r="D372" i="1"/>
  <c r="C372" i="1"/>
  <c r="B372" i="1"/>
  <c r="A372" i="1"/>
  <c r="J371" i="1"/>
  <c r="I371" i="1"/>
  <c r="H371" i="1"/>
  <c r="G371" i="1"/>
  <c r="F371" i="1"/>
  <c r="E371" i="1"/>
  <c r="D371" i="1"/>
  <c r="C371" i="1"/>
  <c r="B371" i="1"/>
  <c r="A371" i="1"/>
  <c r="J370" i="1"/>
  <c r="I370" i="1"/>
  <c r="H370" i="1"/>
  <c r="G370" i="1"/>
  <c r="F370" i="1"/>
  <c r="E370" i="1"/>
  <c r="D370" i="1"/>
  <c r="C370" i="1"/>
  <c r="B370" i="1"/>
  <c r="A370" i="1"/>
  <c r="J369" i="1"/>
  <c r="I369" i="1"/>
  <c r="H369" i="1"/>
  <c r="G369" i="1"/>
  <c r="F369" i="1"/>
  <c r="E369" i="1"/>
  <c r="D369" i="1"/>
  <c r="C369" i="1"/>
  <c r="B369" i="1"/>
  <c r="A369" i="1"/>
  <c r="J368" i="1"/>
  <c r="I368" i="1"/>
  <c r="H368" i="1"/>
  <c r="G368" i="1"/>
  <c r="F368" i="1"/>
  <c r="E368" i="1"/>
  <c r="D368" i="1"/>
  <c r="C368" i="1"/>
  <c r="B368" i="1"/>
  <c r="A368" i="1"/>
  <c r="J367" i="1"/>
  <c r="I367" i="1"/>
  <c r="H367" i="1"/>
  <c r="G367" i="1"/>
  <c r="F367" i="1"/>
  <c r="E367" i="1"/>
  <c r="D367" i="1"/>
  <c r="C367" i="1"/>
  <c r="B367" i="1"/>
  <c r="A367" i="1"/>
  <c r="J366" i="1"/>
  <c r="I366" i="1"/>
  <c r="H366" i="1"/>
  <c r="G366" i="1"/>
  <c r="F366" i="1"/>
  <c r="E366" i="1"/>
  <c r="D366" i="1"/>
  <c r="C366" i="1"/>
  <c r="B366" i="1"/>
  <c r="A366" i="1"/>
  <c r="J365" i="1"/>
  <c r="I365" i="1"/>
  <c r="H365" i="1"/>
  <c r="G365" i="1"/>
  <c r="F365" i="1"/>
  <c r="E365" i="1"/>
  <c r="D365" i="1"/>
  <c r="C365" i="1"/>
  <c r="B365" i="1"/>
  <c r="A365" i="1"/>
  <c r="J364" i="1"/>
  <c r="I364" i="1"/>
  <c r="H364" i="1"/>
  <c r="G364" i="1"/>
  <c r="F364" i="1"/>
  <c r="E364" i="1"/>
  <c r="D364" i="1"/>
  <c r="C364" i="1"/>
  <c r="B364" i="1"/>
  <c r="A364" i="1"/>
  <c r="J363" i="1"/>
  <c r="I363" i="1"/>
  <c r="H363" i="1"/>
  <c r="G363" i="1"/>
  <c r="F363" i="1"/>
  <c r="E363" i="1"/>
  <c r="D363" i="1"/>
  <c r="C363" i="1"/>
  <c r="B363" i="1"/>
  <c r="A363" i="1"/>
  <c r="J362" i="1"/>
  <c r="I362" i="1"/>
  <c r="H362" i="1"/>
  <c r="G362" i="1"/>
  <c r="F362" i="1"/>
  <c r="E362" i="1"/>
  <c r="D362" i="1"/>
  <c r="C362" i="1"/>
  <c r="B362" i="1"/>
  <c r="A362" i="1"/>
  <c r="J361" i="1"/>
  <c r="I361" i="1"/>
  <c r="H361" i="1"/>
  <c r="G361" i="1"/>
  <c r="F361" i="1"/>
  <c r="E361" i="1"/>
  <c r="D361" i="1"/>
  <c r="C361" i="1"/>
  <c r="B361" i="1"/>
  <c r="A361" i="1"/>
  <c r="J360" i="1"/>
  <c r="I360" i="1"/>
  <c r="H360" i="1"/>
  <c r="G360" i="1"/>
  <c r="F360" i="1"/>
  <c r="E360" i="1"/>
  <c r="D360" i="1"/>
  <c r="C360" i="1"/>
  <c r="B360" i="1"/>
  <c r="A360" i="1"/>
  <c r="J359" i="1"/>
  <c r="I359" i="1"/>
  <c r="H359" i="1"/>
  <c r="G359" i="1"/>
  <c r="F359" i="1"/>
  <c r="E359" i="1"/>
  <c r="D359" i="1"/>
  <c r="C359" i="1"/>
  <c r="B359" i="1"/>
  <c r="A359" i="1"/>
  <c r="J358" i="1"/>
  <c r="I358" i="1"/>
  <c r="H358" i="1"/>
  <c r="G358" i="1"/>
  <c r="F358" i="1"/>
  <c r="E358" i="1"/>
  <c r="D358" i="1"/>
  <c r="C358" i="1"/>
  <c r="B358" i="1"/>
  <c r="A358" i="1"/>
  <c r="J357" i="1"/>
  <c r="I357" i="1"/>
  <c r="H357" i="1"/>
  <c r="G357" i="1"/>
  <c r="F357" i="1"/>
  <c r="E357" i="1"/>
  <c r="D357" i="1"/>
  <c r="C357" i="1"/>
  <c r="B357" i="1"/>
  <c r="A357" i="1"/>
  <c r="J356" i="1"/>
  <c r="I356" i="1"/>
  <c r="H356" i="1"/>
  <c r="G356" i="1"/>
  <c r="F356" i="1"/>
  <c r="E356" i="1"/>
  <c r="D356" i="1"/>
  <c r="C356" i="1"/>
  <c r="B356" i="1"/>
  <c r="A356" i="1"/>
  <c r="J355" i="1"/>
  <c r="I355" i="1"/>
  <c r="H355" i="1"/>
  <c r="G355" i="1"/>
  <c r="F355" i="1"/>
  <c r="E355" i="1"/>
  <c r="D355" i="1"/>
  <c r="C355" i="1"/>
  <c r="B355" i="1"/>
  <c r="A355" i="1"/>
  <c r="J354" i="1"/>
  <c r="I354" i="1"/>
  <c r="H354" i="1"/>
  <c r="G354" i="1"/>
  <c r="F354" i="1"/>
  <c r="E354" i="1"/>
  <c r="D354" i="1"/>
  <c r="C354" i="1"/>
  <c r="B354" i="1"/>
  <c r="A354" i="1"/>
  <c r="J353" i="1"/>
  <c r="I353" i="1"/>
  <c r="H353" i="1"/>
  <c r="G353" i="1"/>
  <c r="F353" i="1"/>
  <c r="E353" i="1"/>
  <c r="D353" i="1"/>
  <c r="C353" i="1"/>
  <c r="B353" i="1"/>
  <c r="A353" i="1"/>
  <c r="J352" i="1"/>
  <c r="I352" i="1"/>
  <c r="H352" i="1"/>
  <c r="G352" i="1"/>
  <c r="F352" i="1"/>
  <c r="E352" i="1"/>
  <c r="D352" i="1"/>
  <c r="C352" i="1"/>
  <c r="B352" i="1"/>
  <c r="A352" i="1"/>
  <c r="J351" i="1"/>
  <c r="H351" i="1"/>
  <c r="G351" i="1"/>
  <c r="F351" i="1"/>
  <c r="E351" i="1"/>
  <c r="D351" i="1"/>
  <c r="C351" i="1"/>
  <c r="B351" i="1"/>
  <c r="A351" i="1"/>
  <c r="J350" i="1"/>
  <c r="H350" i="1"/>
  <c r="G350" i="1"/>
  <c r="F350" i="1"/>
  <c r="E350" i="1"/>
  <c r="D350" i="1"/>
  <c r="C350" i="1"/>
  <c r="B350" i="1"/>
  <c r="A350" i="1"/>
  <c r="J349" i="1"/>
  <c r="H349" i="1"/>
  <c r="G349" i="1"/>
  <c r="F349" i="1"/>
  <c r="E349" i="1"/>
  <c r="D349" i="1"/>
  <c r="C349" i="1"/>
  <c r="B349" i="1"/>
  <c r="A349" i="1"/>
  <c r="J348" i="1"/>
  <c r="H348" i="1"/>
  <c r="G348" i="1"/>
  <c r="F348" i="1"/>
  <c r="E348" i="1"/>
  <c r="D348" i="1"/>
  <c r="C348" i="1"/>
  <c r="B348" i="1"/>
  <c r="A348" i="1"/>
  <c r="J347" i="1"/>
  <c r="H347" i="1"/>
  <c r="G347" i="1"/>
  <c r="F347" i="1"/>
  <c r="E347" i="1"/>
  <c r="D347" i="1"/>
  <c r="C347" i="1"/>
  <c r="B347" i="1"/>
  <c r="A347" i="1"/>
  <c r="J346" i="1"/>
  <c r="H346" i="1"/>
  <c r="G346" i="1"/>
  <c r="F346" i="1"/>
  <c r="E346" i="1"/>
  <c r="D346" i="1"/>
  <c r="C346" i="1"/>
  <c r="B346" i="1"/>
  <c r="A346" i="1"/>
  <c r="J345" i="1"/>
  <c r="H345" i="1"/>
  <c r="G345" i="1"/>
  <c r="F345" i="1"/>
  <c r="E345" i="1"/>
  <c r="D345" i="1"/>
  <c r="C345" i="1"/>
  <c r="B345" i="1"/>
  <c r="A345" i="1"/>
  <c r="J344" i="1"/>
  <c r="I344" i="1"/>
  <c r="H344" i="1"/>
  <c r="G344" i="1"/>
  <c r="F344" i="1"/>
  <c r="E344" i="1"/>
  <c r="D344" i="1"/>
  <c r="C344" i="1"/>
  <c r="B344" i="1"/>
  <c r="A344" i="1"/>
  <c r="J343" i="1"/>
  <c r="I343" i="1"/>
  <c r="H343" i="1"/>
  <c r="G343" i="1"/>
  <c r="F343" i="1"/>
  <c r="E343" i="1"/>
  <c r="D343" i="1"/>
  <c r="C343" i="1"/>
  <c r="B343" i="1"/>
  <c r="A343" i="1"/>
  <c r="J342" i="1"/>
  <c r="I342" i="1"/>
  <c r="H342" i="1"/>
  <c r="G342" i="1"/>
  <c r="F342" i="1"/>
  <c r="E342" i="1"/>
  <c r="D342" i="1"/>
  <c r="C342" i="1"/>
  <c r="B342" i="1"/>
  <c r="A342" i="1"/>
  <c r="J341" i="1"/>
  <c r="I341" i="1"/>
  <c r="H341" i="1"/>
  <c r="G341" i="1"/>
  <c r="F341" i="1"/>
  <c r="E341" i="1"/>
  <c r="D341" i="1"/>
  <c r="C341" i="1"/>
  <c r="B341" i="1"/>
  <c r="A341" i="1"/>
  <c r="J340" i="1"/>
  <c r="I340" i="1"/>
  <c r="H340" i="1"/>
  <c r="G340" i="1"/>
  <c r="F340" i="1"/>
  <c r="E340" i="1"/>
  <c r="D340" i="1"/>
  <c r="C340" i="1"/>
  <c r="B340" i="1"/>
  <c r="A340" i="1"/>
  <c r="J339" i="1"/>
  <c r="I339" i="1"/>
  <c r="H339" i="1"/>
  <c r="G339" i="1"/>
  <c r="F339" i="1"/>
  <c r="E339" i="1"/>
  <c r="D339" i="1"/>
  <c r="C339" i="1"/>
  <c r="B339" i="1"/>
  <c r="A339" i="1"/>
  <c r="J338" i="1"/>
  <c r="I338" i="1"/>
  <c r="H338" i="1"/>
  <c r="G338" i="1"/>
  <c r="F338" i="1"/>
  <c r="E338" i="1"/>
  <c r="D338" i="1"/>
  <c r="C338" i="1"/>
  <c r="B338" i="1"/>
  <c r="A338" i="1"/>
  <c r="J337" i="1"/>
  <c r="I337" i="1"/>
  <c r="H337" i="1"/>
  <c r="G337" i="1"/>
  <c r="F337" i="1"/>
  <c r="E337" i="1"/>
  <c r="D337" i="1"/>
  <c r="C337" i="1"/>
  <c r="B337" i="1"/>
  <c r="A337" i="1"/>
  <c r="J336" i="1"/>
  <c r="I336" i="1"/>
  <c r="H336" i="1"/>
  <c r="G336" i="1"/>
  <c r="F336" i="1"/>
  <c r="E336" i="1"/>
  <c r="D336" i="1"/>
  <c r="C336" i="1"/>
  <c r="B336" i="1"/>
  <c r="A336" i="1"/>
  <c r="J335" i="1"/>
  <c r="I335" i="1"/>
  <c r="H335" i="1"/>
  <c r="G335" i="1"/>
  <c r="F335" i="1"/>
  <c r="E335" i="1"/>
  <c r="D335" i="1"/>
  <c r="C335" i="1"/>
  <c r="B335" i="1"/>
  <c r="A335" i="1"/>
  <c r="J334" i="1"/>
  <c r="I334" i="1"/>
  <c r="H334" i="1"/>
  <c r="G334" i="1"/>
  <c r="F334" i="1"/>
  <c r="E334" i="1"/>
  <c r="D334" i="1"/>
  <c r="C334" i="1"/>
  <c r="B334" i="1"/>
  <c r="A334" i="1"/>
  <c r="J333" i="1"/>
  <c r="I333" i="1"/>
  <c r="H333" i="1"/>
  <c r="G333" i="1"/>
  <c r="F333" i="1"/>
  <c r="E333" i="1"/>
  <c r="D333" i="1"/>
  <c r="C333" i="1"/>
  <c r="B333" i="1"/>
  <c r="A333" i="1"/>
  <c r="J332" i="1"/>
  <c r="I332" i="1"/>
  <c r="H332" i="1"/>
  <c r="G332" i="1"/>
  <c r="F332" i="1"/>
  <c r="E332" i="1"/>
  <c r="D332" i="1"/>
  <c r="C332" i="1"/>
  <c r="B332" i="1"/>
  <c r="A332" i="1"/>
  <c r="J331" i="1"/>
  <c r="I331" i="1"/>
  <c r="H331" i="1"/>
  <c r="G331" i="1"/>
  <c r="F331" i="1"/>
  <c r="E331" i="1"/>
  <c r="D331" i="1"/>
  <c r="C331" i="1"/>
  <c r="B331" i="1"/>
  <c r="A331" i="1"/>
  <c r="J330" i="1"/>
  <c r="I330" i="1"/>
  <c r="H330" i="1"/>
  <c r="G330" i="1"/>
  <c r="F330" i="1"/>
  <c r="E330" i="1"/>
  <c r="D330" i="1"/>
  <c r="C330" i="1"/>
  <c r="B330" i="1"/>
  <c r="A330" i="1"/>
  <c r="J329" i="1"/>
  <c r="I329" i="1"/>
  <c r="H329" i="1"/>
  <c r="G329" i="1"/>
  <c r="F329" i="1"/>
  <c r="E329" i="1"/>
  <c r="D329" i="1"/>
  <c r="C329" i="1"/>
  <c r="B329" i="1"/>
  <c r="A329" i="1"/>
  <c r="J328" i="1"/>
  <c r="I328" i="1"/>
  <c r="H328" i="1"/>
  <c r="G328" i="1"/>
  <c r="F328" i="1"/>
  <c r="E328" i="1"/>
  <c r="D328" i="1"/>
  <c r="C328" i="1"/>
  <c r="B328" i="1"/>
  <c r="A328" i="1"/>
  <c r="J327" i="1"/>
  <c r="I327" i="1"/>
  <c r="H327" i="1"/>
  <c r="G327" i="1"/>
  <c r="F327" i="1"/>
  <c r="E327" i="1"/>
  <c r="D327" i="1"/>
  <c r="C327" i="1"/>
  <c r="B327" i="1"/>
  <c r="A327" i="1"/>
  <c r="J326" i="1"/>
  <c r="I326" i="1"/>
  <c r="H326" i="1"/>
  <c r="G326" i="1"/>
  <c r="F326" i="1"/>
  <c r="E326" i="1"/>
  <c r="D326" i="1"/>
  <c r="C326" i="1"/>
  <c r="B326" i="1"/>
  <c r="A326" i="1"/>
  <c r="J325" i="1"/>
  <c r="I325" i="1"/>
  <c r="H325" i="1"/>
  <c r="G325" i="1"/>
  <c r="F325" i="1"/>
  <c r="E325" i="1"/>
  <c r="D325" i="1"/>
  <c r="C325" i="1"/>
  <c r="B325" i="1"/>
  <c r="A325" i="1"/>
  <c r="J324" i="1"/>
  <c r="I324" i="1"/>
  <c r="H324" i="1"/>
  <c r="G324" i="1"/>
  <c r="F324" i="1"/>
  <c r="E324" i="1"/>
  <c r="D324" i="1"/>
  <c r="C324" i="1"/>
  <c r="B324" i="1"/>
  <c r="A324" i="1"/>
  <c r="J323" i="1"/>
  <c r="I323" i="1"/>
  <c r="H323" i="1"/>
  <c r="G323" i="1"/>
  <c r="F323" i="1"/>
  <c r="E323" i="1"/>
  <c r="D323" i="1"/>
  <c r="C323" i="1"/>
  <c r="B323" i="1"/>
  <c r="A323" i="1"/>
  <c r="J322" i="1"/>
  <c r="I322" i="1"/>
  <c r="H322" i="1"/>
  <c r="G322" i="1"/>
  <c r="F322" i="1"/>
  <c r="E322" i="1"/>
  <c r="D322" i="1"/>
  <c r="C322" i="1"/>
  <c r="B322" i="1"/>
  <c r="A322" i="1"/>
  <c r="J321" i="1"/>
  <c r="I321" i="1"/>
  <c r="H321" i="1"/>
  <c r="G321" i="1"/>
  <c r="F321" i="1"/>
  <c r="E321" i="1"/>
  <c r="D321" i="1"/>
  <c r="C321" i="1"/>
  <c r="B321" i="1"/>
  <c r="A321" i="1"/>
  <c r="J320" i="1"/>
  <c r="I320" i="1"/>
  <c r="H320" i="1"/>
  <c r="G320" i="1"/>
  <c r="F320" i="1"/>
  <c r="E320" i="1"/>
  <c r="D320" i="1"/>
  <c r="C320" i="1"/>
  <c r="B320" i="1"/>
  <c r="A320" i="1"/>
  <c r="J319" i="1"/>
  <c r="I319" i="1"/>
  <c r="H319" i="1"/>
  <c r="G319" i="1"/>
  <c r="F319" i="1"/>
  <c r="E319" i="1"/>
  <c r="D319" i="1"/>
  <c r="C319" i="1"/>
  <c r="B319" i="1"/>
  <c r="A319" i="1"/>
  <c r="J318" i="1"/>
  <c r="I318" i="1"/>
  <c r="H318" i="1"/>
  <c r="G318" i="1"/>
  <c r="F318" i="1"/>
  <c r="E318" i="1"/>
  <c r="D318" i="1"/>
  <c r="C318" i="1"/>
  <c r="B318" i="1"/>
  <c r="A318" i="1"/>
  <c r="J317" i="1"/>
  <c r="I317" i="1"/>
  <c r="H317" i="1"/>
  <c r="G317" i="1"/>
  <c r="F317" i="1"/>
  <c r="E317" i="1"/>
  <c r="D317" i="1"/>
  <c r="C317" i="1"/>
  <c r="B317" i="1"/>
  <c r="A317" i="1"/>
  <c r="J316" i="1"/>
  <c r="I316" i="1"/>
  <c r="H316" i="1"/>
  <c r="G316" i="1"/>
  <c r="F316" i="1"/>
  <c r="E316" i="1"/>
  <c r="D316" i="1"/>
  <c r="C316" i="1"/>
  <c r="B316" i="1"/>
  <c r="A316" i="1"/>
  <c r="J315" i="1"/>
  <c r="I315" i="1"/>
  <c r="H315" i="1"/>
  <c r="G315" i="1"/>
  <c r="F315" i="1"/>
  <c r="E315" i="1"/>
  <c r="D315" i="1"/>
  <c r="C315" i="1"/>
  <c r="B315" i="1"/>
  <c r="A315" i="1"/>
  <c r="J314" i="1"/>
  <c r="I314" i="1"/>
  <c r="H314" i="1"/>
  <c r="G314" i="1"/>
  <c r="F314" i="1"/>
  <c r="E314" i="1"/>
  <c r="D314" i="1"/>
  <c r="C314" i="1"/>
  <c r="B314" i="1"/>
  <c r="A314" i="1"/>
  <c r="J313" i="1"/>
  <c r="I313" i="1"/>
  <c r="H313" i="1"/>
  <c r="G313" i="1"/>
  <c r="F313" i="1"/>
  <c r="E313" i="1"/>
  <c r="D313" i="1"/>
  <c r="C313" i="1"/>
  <c r="B313" i="1"/>
  <c r="A313" i="1"/>
  <c r="J312" i="1"/>
  <c r="I312" i="1"/>
  <c r="H312" i="1"/>
  <c r="G312" i="1"/>
  <c r="F312" i="1"/>
  <c r="E312" i="1"/>
  <c r="D312" i="1"/>
  <c r="C312" i="1"/>
  <c r="B312" i="1"/>
  <c r="A312" i="1"/>
  <c r="J311" i="1"/>
  <c r="I311" i="1"/>
  <c r="H311" i="1"/>
  <c r="G311" i="1"/>
  <c r="F311" i="1"/>
  <c r="E311" i="1"/>
  <c r="D311" i="1"/>
  <c r="C311" i="1"/>
  <c r="B311" i="1"/>
  <c r="A311" i="1"/>
  <c r="J310" i="1"/>
  <c r="I310" i="1"/>
  <c r="H310" i="1"/>
  <c r="G310" i="1"/>
  <c r="F310" i="1"/>
  <c r="E310" i="1"/>
  <c r="D310" i="1"/>
  <c r="C310" i="1"/>
  <c r="B310" i="1"/>
  <c r="A310" i="1"/>
  <c r="J309" i="1"/>
  <c r="I309" i="1"/>
  <c r="H309" i="1"/>
  <c r="G309" i="1"/>
  <c r="F309" i="1"/>
  <c r="E309" i="1"/>
  <c r="D309" i="1"/>
  <c r="C309" i="1"/>
  <c r="B309" i="1"/>
  <c r="A309" i="1"/>
  <c r="J308" i="1"/>
  <c r="I308" i="1"/>
  <c r="H308" i="1"/>
  <c r="G308" i="1"/>
  <c r="F308" i="1"/>
  <c r="E308" i="1"/>
  <c r="D308" i="1"/>
  <c r="C308" i="1"/>
  <c r="B308" i="1"/>
  <c r="A308" i="1"/>
  <c r="J307" i="1"/>
  <c r="I307" i="1"/>
  <c r="H307" i="1"/>
  <c r="G307" i="1"/>
  <c r="F307" i="1"/>
  <c r="E307" i="1"/>
  <c r="D307" i="1"/>
  <c r="C307" i="1"/>
  <c r="B307" i="1"/>
  <c r="A307" i="1"/>
  <c r="J306" i="1"/>
  <c r="I306" i="1"/>
  <c r="H306" i="1"/>
  <c r="G306" i="1"/>
  <c r="F306" i="1"/>
  <c r="E306" i="1"/>
  <c r="D306" i="1"/>
  <c r="C306" i="1"/>
  <c r="B306" i="1"/>
  <c r="A306" i="1"/>
  <c r="J305" i="1"/>
  <c r="I305" i="1"/>
  <c r="H305" i="1"/>
  <c r="G305" i="1"/>
  <c r="F305" i="1"/>
  <c r="E305" i="1"/>
  <c r="D305" i="1"/>
  <c r="C305" i="1"/>
  <c r="B305" i="1"/>
  <c r="A305" i="1"/>
  <c r="J304" i="1"/>
  <c r="I304" i="1"/>
  <c r="H304" i="1"/>
  <c r="G304" i="1"/>
  <c r="F304" i="1"/>
  <c r="E304" i="1"/>
  <c r="D304" i="1"/>
  <c r="C304" i="1"/>
  <c r="B304" i="1"/>
  <c r="A304" i="1"/>
  <c r="J303" i="1"/>
  <c r="I303" i="1"/>
  <c r="H303" i="1"/>
  <c r="G303" i="1"/>
  <c r="F303" i="1"/>
  <c r="E303" i="1"/>
  <c r="D303" i="1"/>
  <c r="C303" i="1"/>
  <c r="B303" i="1"/>
  <c r="A303" i="1"/>
  <c r="J302" i="1"/>
  <c r="I302" i="1"/>
  <c r="H302" i="1"/>
  <c r="G302" i="1"/>
  <c r="F302" i="1"/>
  <c r="E302" i="1"/>
  <c r="D302" i="1"/>
  <c r="C302" i="1"/>
  <c r="B302" i="1"/>
  <c r="A302" i="1"/>
  <c r="J301" i="1"/>
  <c r="I301" i="1"/>
  <c r="H301" i="1"/>
  <c r="G301" i="1"/>
  <c r="F301" i="1"/>
  <c r="E301" i="1"/>
  <c r="D301" i="1"/>
  <c r="C301" i="1"/>
  <c r="B301" i="1"/>
  <c r="A301" i="1"/>
  <c r="J300" i="1"/>
  <c r="I300" i="1"/>
  <c r="H300" i="1"/>
  <c r="G300" i="1"/>
  <c r="F300" i="1"/>
  <c r="E300" i="1"/>
  <c r="D300" i="1"/>
  <c r="C300" i="1"/>
  <c r="B300" i="1"/>
  <c r="A300" i="1"/>
  <c r="J299" i="1"/>
  <c r="I299" i="1"/>
  <c r="H299" i="1"/>
  <c r="G299" i="1"/>
  <c r="F299" i="1"/>
  <c r="E299" i="1"/>
  <c r="D299" i="1"/>
  <c r="C299" i="1"/>
  <c r="B299" i="1"/>
  <c r="A299" i="1"/>
  <c r="J298" i="1"/>
  <c r="I298" i="1"/>
  <c r="H298" i="1"/>
  <c r="G298" i="1"/>
  <c r="F298" i="1"/>
  <c r="E298" i="1"/>
  <c r="D298" i="1"/>
  <c r="C298" i="1"/>
  <c r="B298" i="1"/>
  <c r="A298" i="1"/>
  <c r="J297" i="1"/>
  <c r="I297" i="1"/>
  <c r="H297" i="1"/>
  <c r="G297" i="1"/>
  <c r="F297" i="1"/>
  <c r="E297" i="1"/>
  <c r="D297" i="1"/>
  <c r="C297" i="1"/>
  <c r="B297" i="1"/>
  <c r="A297" i="1"/>
  <c r="J296" i="1"/>
  <c r="I296" i="1"/>
  <c r="H296" i="1"/>
  <c r="G296" i="1"/>
  <c r="F296" i="1"/>
  <c r="E296" i="1"/>
  <c r="D296" i="1"/>
  <c r="C296" i="1"/>
  <c r="B296" i="1"/>
  <c r="A296" i="1"/>
  <c r="J295" i="1"/>
  <c r="I295" i="1"/>
  <c r="H295" i="1"/>
  <c r="G295" i="1"/>
  <c r="F295" i="1"/>
  <c r="E295" i="1"/>
  <c r="D295" i="1"/>
  <c r="C295" i="1"/>
  <c r="B295" i="1"/>
  <c r="A295" i="1"/>
  <c r="J294" i="1"/>
  <c r="I294" i="1"/>
  <c r="H294" i="1"/>
  <c r="G294" i="1"/>
  <c r="F294" i="1"/>
  <c r="E294" i="1"/>
  <c r="D294" i="1"/>
  <c r="C294" i="1"/>
  <c r="B294" i="1"/>
  <c r="A294" i="1"/>
  <c r="J293" i="1"/>
  <c r="I293" i="1"/>
  <c r="H293" i="1"/>
  <c r="G293" i="1"/>
  <c r="F293" i="1"/>
  <c r="E293" i="1"/>
  <c r="D293" i="1"/>
  <c r="C293" i="1"/>
  <c r="B293" i="1"/>
  <c r="A293" i="1"/>
  <c r="J292" i="1"/>
  <c r="I292" i="1"/>
  <c r="H292" i="1"/>
  <c r="G292" i="1"/>
  <c r="F292" i="1"/>
  <c r="E292" i="1"/>
  <c r="D292" i="1"/>
  <c r="C292" i="1"/>
  <c r="B292" i="1"/>
  <c r="A292" i="1"/>
  <c r="J291" i="1"/>
  <c r="I291" i="1"/>
  <c r="H291" i="1"/>
  <c r="G291" i="1"/>
  <c r="F291" i="1"/>
  <c r="E291" i="1"/>
  <c r="D291" i="1"/>
  <c r="C291" i="1"/>
  <c r="B291" i="1"/>
  <c r="A291" i="1"/>
  <c r="J290" i="1"/>
  <c r="I290" i="1"/>
  <c r="H290" i="1"/>
  <c r="G290" i="1"/>
  <c r="F290" i="1"/>
  <c r="E290" i="1"/>
  <c r="D290" i="1"/>
  <c r="C290" i="1"/>
  <c r="B290" i="1"/>
  <c r="A290" i="1"/>
  <c r="J289" i="1"/>
  <c r="I289" i="1"/>
  <c r="H289" i="1"/>
  <c r="G289" i="1"/>
  <c r="F289" i="1"/>
  <c r="E289" i="1"/>
  <c r="D289" i="1"/>
  <c r="C289" i="1"/>
  <c r="B289" i="1"/>
  <c r="A289" i="1"/>
  <c r="J288" i="1"/>
  <c r="I288" i="1"/>
  <c r="H288" i="1"/>
  <c r="G288" i="1"/>
  <c r="F288" i="1"/>
  <c r="E288" i="1"/>
  <c r="D288" i="1"/>
  <c r="C288" i="1"/>
  <c r="B288" i="1"/>
  <c r="A288" i="1"/>
  <c r="J287" i="1"/>
  <c r="I287" i="1"/>
  <c r="H287" i="1"/>
  <c r="G287" i="1"/>
  <c r="F287" i="1"/>
  <c r="E287" i="1"/>
  <c r="D287" i="1"/>
  <c r="C287" i="1"/>
  <c r="B287" i="1"/>
  <c r="A287" i="1"/>
  <c r="J286" i="1"/>
  <c r="I286" i="1"/>
  <c r="H286" i="1"/>
  <c r="G286" i="1"/>
  <c r="F286" i="1"/>
  <c r="E286" i="1"/>
  <c r="D286" i="1"/>
  <c r="C286" i="1"/>
  <c r="B286" i="1"/>
  <c r="A286" i="1"/>
  <c r="J285" i="1"/>
  <c r="I285" i="1"/>
  <c r="H285" i="1"/>
  <c r="G285" i="1"/>
  <c r="F285" i="1"/>
  <c r="E285" i="1"/>
  <c r="D285" i="1"/>
  <c r="C285" i="1"/>
  <c r="B285" i="1"/>
  <c r="A285" i="1"/>
  <c r="J284" i="1"/>
  <c r="I284" i="1"/>
  <c r="H284" i="1"/>
  <c r="G284" i="1"/>
  <c r="F284" i="1"/>
  <c r="E284" i="1"/>
  <c r="D284" i="1"/>
  <c r="C284" i="1"/>
  <c r="B284" i="1"/>
  <c r="A284" i="1"/>
  <c r="J283" i="1"/>
  <c r="I283" i="1"/>
  <c r="H283" i="1"/>
  <c r="G283" i="1"/>
  <c r="F283" i="1"/>
  <c r="E283" i="1"/>
  <c r="D283" i="1"/>
  <c r="C283" i="1"/>
  <c r="B283" i="1"/>
  <c r="A283" i="1"/>
  <c r="J282" i="1"/>
  <c r="I282" i="1"/>
  <c r="H282" i="1"/>
  <c r="G282" i="1"/>
  <c r="F282" i="1"/>
  <c r="E282" i="1"/>
  <c r="D282" i="1"/>
  <c r="C282" i="1"/>
  <c r="B282" i="1"/>
  <c r="A282" i="1"/>
  <c r="J281" i="1"/>
  <c r="H281" i="1"/>
  <c r="G281" i="1"/>
  <c r="F281" i="1"/>
  <c r="E281" i="1"/>
  <c r="D281" i="1"/>
  <c r="C281" i="1"/>
  <c r="B281" i="1"/>
  <c r="A281" i="1"/>
  <c r="J280" i="1"/>
  <c r="H280" i="1"/>
  <c r="G280" i="1"/>
  <c r="F280" i="1"/>
  <c r="E280" i="1"/>
  <c r="D280" i="1"/>
  <c r="C280" i="1"/>
  <c r="B280" i="1"/>
  <c r="A280" i="1"/>
  <c r="J279" i="1"/>
  <c r="H279" i="1"/>
  <c r="G279" i="1"/>
  <c r="F279" i="1"/>
  <c r="E279" i="1"/>
  <c r="D279" i="1"/>
  <c r="C279" i="1"/>
  <c r="B279" i="1"/>
  <c r="A279" i="1"/>
  <c r="J278" i="1"/>
  <c r="H278" i="1"/>
  <c r="G278" i="1"/>
  <c r="F278" i="1"/>
  <c r="E278" i="1"/>
  <c r="D278" i="1"/>
  <c r="C278" i="1"/>
  <c r="B278" i="1"/>
  <c r="A278" i="1"/>
  <c r="J277" i="1"/>
  <c r="H277" i="1"/>
  <c r="G277" i="1"/>
  <c r="F277" i="1"/>
  <c r="E277" i="1"/>
  <c r="D277" i="1"/>
  <c r="C277" i="1"/>
  <c r="B277" i="1"/>
  <c r="A277" i="1"/>
  <c r="J276" i="1"/>
  <c r="H276" i="1"/>
  <c r="G276" i="1"/>
  <c r="F276" i="1"/>
  <c r="E276" i="1"/>
  <c r="D276" i="1"/>
  <c r="C276" i="1"/>
  <c r="B276" i="1"/>
  <c r="A276" i="1"/>
  <c r="J275" i="1"/>
  <c r="H275" i="1"/>
  <c r="G275" i="1"/>
  <c r="F275" i="1"/>
  <c r="E275" i="1"/>
  <c r="D275" i="1"/>
  <c r="C275" i="1"/>
  <c r="B275" i="1"/>
  <c r="A275" i="1"/>
  <c r="J274" i="1"/>
  <c r="I274" i="1"/>
  <c r="H274" i="1"/>
  <c r="G274" i="1"/>
  <c r="F274" i="1"/>
  <c r="E274" i="1"/>
  <c r="D274" i="1"/>
  <c r="C274" i="1"/>
  <c r="B274" i="1"/>
  <c r="A274" i="1"/>
  <c r="J273" i="1"/>
  <c r="I273" i="1"/>
  <c r="H273" i="1"/>
  <c r="G273" i="1"/>
  <c r="F273" i="1"/>
  <c r="E273" i="1"/>
  <c r="D273" i="1"/>
  <c r="C273" i="1"/>
  <c r="B273" i="1"/>
  <c r="A273" i="1"/>
  <c r="J272" i="1"/>
  <c r="I272" i="1"/>
  <c r="H272" i="1"/>
  <c r="G272" i="1"/>
  <c r="F272" i="1"/>
  <c r="E272" i="1"/>
  <c r="D272" i="1"/>
  <c r="C272" i="1"/>
  <c r="B272" i="1"/>
  <c r="A272" i="1"/>
  <c r="J271" i="1"/>
  <c r="I271" i="1"/>
  <c r="H271" i="1"/>
  <c r="G271" i="1"/>
  <c r="F271" i="1"/>
  <c r="E271" i="1"/>
  <c r="D271" i="1"/>
  <c r="C271" i="1"/>
  <c r="B271" i="1"/>
  <c r="A271" i="1"/>
  <c r="J270" i="1"/>
  <c r="I270" i="1"/>
  <c r="H270" i="1"/>
  <c r="G270" i="1"/>
  <c r="F270" i="1"/>
  <c r="E270" i="1"/>
  <c r="D270" i="1"/>
  <c r="C270" i="1"/>
  <c r="B270" i="1"/>
  <c r="A270" i="1"/>
  <c r="J269" i="1"/>
  <c r="I269" i="1"/>
  <c r="H269" i="1"/>
  <c r="G269" i="1"/>
  <c r="F269" i="1"/>
  <c r="E269" i="1"/>
  <c r="D269" i="1"/>
  <c r="C269" i="1"/>
  <c r="B269" i="1"/>
  <c r="A269" i="1"/>
  <c r="J268" i="1"/>
  <c r="I268" i="1"/>
  <c r="H268" i="1"/>
  <c r="G268" i="1"/>
  <c r="F268" i="1"/>
  <c r="E268" i="1"/>
  <c r="D268" i="1"/>
  <c r="C268" i="1"/>
  <c r="B268" i="1"/>
  <c r="A268" i="1"/>
  <c r="J267" i="1"/>
  <c r="I267" i="1"/>
  <c r="H267" i="1"/>
  <c r="G267" i="1"/>
  <c r="F267" i="1"/>
  <c r="E267" i="1"/>
  <c r="D267" i="1"/>
  <c r="C267" i="1"/>
  <c r="B267" i="1"/>
  <c r="A267" i="1"/>
  <c r="J266" i="1"/>
  <c r="I266" i="1"/>
  <c r="H266" i="1"/>
  <c r="G266" i="1"/>
  <c r="F266" i="1"/>
  <c r="E266" i="1"/>
  <c r="D266" i="1"/>
  <c r="C266" i="1"/>
  <c r="B266" i="1"/>
  <c r="A266" i="1"/>
  <c r="J265" i="1"/>
  <c r="I265" i="1"/>
  <c r="H265" i="1"/>
  <c r="G265" i="1"/>
  <c r="F265" i="1"/>
  <c r="E265" i="1"/>
  <c r="D265" i="1"/>
  <c r="C265" i="1"/>
  <c r="B265" i="1"/>
  <c r="A265" i="1"/>
  <c r="J264" i="1"/>
  <c r="I264" i="1"/>
  <c r="H264" i="1"/>
  <c r="G264" i="1"/>
  <c r="F264" i="1"/>
  <c r="E264" i="1"/>
  <c r="D264" i="1"/>
  <c r="C264" i="1"/>
  <c r="B264" i="1"/>
  <c r="A264" i="1"/>
  <c r="J263" i="1"/>
  <c r="I263" i="1"/>
  <c r="H263" i="1"/>
  <c r="G263" i="1"/>
  <c r="F263" i="1"/>
  <c r="E263" i="1"/>
  <c r="D263" i="1"/>
  <c r="C263" i="1"/>
  <c r="B263" i="1"/>
  <c r="A263" i="1"/>
  <c r="J262" i="1"/>
  <c r="I262" i="1"/>
  <c r="H262" i="1"/>
  <c r="G262" i="1"/>
  <c r="F262" i="1"/>
  <c r="E262" i="1"/>
  <c r="D262" i="1"/>
  <c r="C262" i="1"/>
  <c r="B262" i="1"/>
  <c r="A262" i="1"/>
  <c r="J261" i="1"/>
  <c r="I261" i="1"/>
  <c r="H261" i="1"/>
  <c r="G261" i="1"/>
  <c r="F261" i="1"/>
  <c r="E261" i="1"/>
  <c r="D261" i="1"/>
  <c r="C261" i="1"/>
  <c r="B261" i="1"/>
  <c r="A261" i="1"/>
  <c r="J260" i="1"/>
  <c r="I260" i="1"/>
  <c r="H260" i="1"/>
  <c r="G260" i="1"/>
  <c r="F260" i="1"/>
  <c r="E260" i="1"/>
  <c r="D260" i="1"/>
  <c r="C260" i="1"/>
  <c r="B260" i="1"/>
  <c r="A260" i="1"/>
  <c r="J259" i="1"/>
  <c r="I259" i="1"/>
  <c r="H259" i="1"/>
  <c r="G259" i="1"/>
  <c r="F259" i="1"/>
  <c r="E259" i="1"/>
  <c r="D259" i="1"/>
  <c r="C259" i="1"/>
  <c r="B259" i="1"/>
  <c r="A259" i="1"/>
  <c r="J258" i="1"/>
  <c r="I258" i="1"/>
  <c r="H258" i="1"/>
  <c r="G258" i="1"/>
  <c r="F258" i="1"/>
  <c r="E258" i="1"/>
  <c r="D258" i="1"/>
  <c r="C258" i="1"/>
  <c r="B258" i="1"/>
  <c r="A258" i="1"/>
  <c r="J257" i="1"/>
  <c r="I257" i="1"/>
  <c r="H257" i="1"/>
  <c r="G257" i="1"/>
  <c r="F257" i="1"/>
  <c r="E257" i="1"/>
  <c r="D257" i="1"/>
  <c r="C257" i="1"/>
  <c r="B257" i="1"/>
  <c r="A257" i="1"/>
  <c r="J256" i="1"/>
  <c r="I256" i="1"/>
  <c r="H256" i="1"/>
  <c r="G256" i="1"/>
  <c r="F256" i="1"/>
  <c r="E256" i="1"/>
  <c r="D256" i="1"/>
  <c r="C256" i="1"/>
  <c r="B256" i="1"/>
  <c r="A256" i="1"/>
  <c r="J255" i="1"/>
  <c r="I255" i="1"/>
  <c r="H255" i="1"/>
  <c r="G255" i="1"/>
  <c r="F255" i="1"/>
  <c r="E255" i="1"/>
  <c r="D255" i="1"/>
  <c r="C255" i="1"/>
  <c r="B255" i="1"/>
  <c r="A255" i="1"/>
  <c r="J254" i="1"/>
  <c r="I254" i="1"/>
  <c r="H254" i="1"/>
  <c r="G254" i="1"/>
  <c r="F254" i="1"/>
  <c r="E254" i="1"/>
  <c r="D254" i="1"/>
  <c r="C254" i="1"/>
  <c r="B254" i="1"/>
  <c r="A254" i="1"/>
  <c r="J253" i="1"/>
  <c r="I253" i="1"/>
  <c r="H253" i="1"/>
  <c r="G253" i="1"/>
  <c r="F253" i="1"/>
  <c r="E253" i="1"/>
  <c r="D253" i="1"/>
  <c r="C253" i="1"/>
  <c r="B253" i="1"/>
  <c r="A253" i="1"/>
  <c r="J252" i="1"/>
  <c r="I252" i="1"/>
  <c r="H252" i="1"/>
  <c r="G252" i="1"/>
  <c r="F252" i="1"/>
  <c r="E252" i="1"/>
  <c r="D252" i="1"/>
  <c r="C252" i="1"/>
  <c r="B252" i="1"/>
  <c r="A252" i="1"/>
  <c r="J251" i="1"/>
  <c r="I251" i="1"/>
  <c r="H251" i="1"/>
  <c r="G251" i="1"/>
  <c r="F251" i="1"/>
  <c r="E251" i="1"/>
  <c r="D251" i="1"/>
  <c r="C251" i="1"/>
  <c r="B251" i="1"/>
  <c r="A251" i="1"/>
  <c r="J250" i="1"/>
  <c r="I250" i="1"/>
  <c r="H250" i="1"/>
  <c r="G250" i="1"/>
  <c r="F250" i="1"/>
  <c r="E250" i="1"/>
  <c r="D250" i="1"/>
  <c r="C250" i="1"/>
  <c r="B250" i="1"/>
  <c r="A250" i="1"/>
  <c r="J249" i="1"/>
  <c r="I249" i="1"/>
  <c r="H249" i="1"/>
  <c r="G249" i="1"/>
  <c r="F249" i="1"/>
  <c r="E249" i="1"/>
  <c r="D249" i="1"/>
  <c r="C249" i="1"/>
  <c r="B249" i="1"/>
  <c r="A249" i="1"/>
  <c r="J248" i="1"/>
  <c r="I248" i="1"/>
  <c r="H248" i="1"/>
  <c r="G248" i="1"/>
  <c r="F248" i="1"/>
  <c r="E248" i="1"/>
  <c r="D248" i="1"/>
  <c r="C248" i="1"/>
  <c r="B248" i="1"/>
  <c r="A248" i="1"/>
  <c r="J247" i="1"/>
  <c r="I247" i="1"/>
  <c r="H247" i="1"/>
  <c r="G247" i="1"/>
  <c r="F247" i="1"/>
  <c r="E247" i="1"/>
  <c r="D247" i="1"/>
  <c r="C247" i="1"/>
  <c r="B247" i="1"/>
  <c r="A247" i="1"/>
  <c r="J246" i="1"/>
  <c r="I246" i="1"/>
  <c r="H246" i="1"/>
  <c r="G246" i="1"/>
  <c r="F246" i="1"/>
  <c r="E246" i="1"/>
  <c r="D246" i="1"/>
  <c r="C246" i="1"/>
  <c r="B246" i="1"/>
  <c r="A246" i="1"/>
  <c r="J245" i="1"/>
  <c r="I245" i="1"/>
  <c r="H245" i="1"/>
  <c r="G245" i="1"/>
  <c r="F245" i="1"/>
  <c r="E245" i="1"/>
  <c r="D245" i="1"/>
  <c r="C245" i="1"/>
  <c r="B245" i="1"/>
  <c r="A245" i="1"/>
  <c r="J244" i="1"/>
  <c r="I244" i="1"/>
  <c r="H244" i="1"/>
  <c r="G244" i="1"/>
  <c r="F244" i="1"/>
  <c r="E244" i="1"/>
  <c r="D244" i="1"/>
  <c r="C244" i="1"/>
  <c r="B244" i="1"/>
  <c r="A244" i="1"/>
  <c r="J243" i="1"/>
  <c r="I243" i="1"/>
  <c r="H243" i="1"/>
  <c r="G243" i="1"/>
  <c r="F243" i="1"/>
  <c r="E243" i="1"/>
  <c r="D243" i="1"/>
  <c r="C243" i="1"/>
  <c r="B243" i="1"/>
  <c r="A243" i="1"/>
  <c r="J242" i="1"/>
  <c r="I242" i="1"/>
  <c r="H242" i="1"/>
  <c r="G242" i="1"/>
  <c r="F242" i="1"/>
  <c r="E242" i="1"/>
  <c r="D242" i="1"/>
  <c r="C242" i="1"/>
  <c r="B242" i="1"/>
  <c r="A242" i="1"/>
  <c r="J241" i="1"/>
  <c r="I241" i="1"/>
  <c r="H241" i="1"/>
  <c r="G241" i="1"/>
  <c r="F241" i="1"/>
  <c r="E241" i="1"/>
  <c r="D241" i="1"/>
  <c r="C241" i="1"/>
  <c r="B241" i="1"/>
  <c r="A241" i="1"/>
  <c r="J240" i="1"/>
  <c r="I240" i="1"/>
  <c r="H240" i="1"/>
  <c r="G240" i="1"/>
  <c r="F240" i="1"/>
  <c r="E240" i="1"/>
  <c r="D240" i="1"/>
  <c r="C240" i="1"/>
  <c r="B240" i="1"/>
  <c r="A240" i="1"/>
  <c r="J239" i="1"/>
  <c r="I239" i="1"/>
  <c r="H239" i="1"/>
  <c r="G239" i="1"/>
  <c r="F239" i="1"/>
  <c r="E239" i="1"/>
  <c r="D239" i="1"/>
  <c r="C239" i="1"/>
  <c r="B239" i="1"/>
  <c r="A239" i="1"/>
  <c r="J238" i="1"/>
  <c r="I238" i="1"/>
  <c r="H238" i="1"/>
  <c r="G238" i="1"/>
  <c r="F238" i="1"/>
  <c r="E238" i="1"/>
  <c r="D238" i="1"/>
  <c r="C238" i="1"/>
  <c r="B238" i="1"/>
  <c r="A238" i="1"/>
  <c r="J237" i="1"/>
  <c r="I237" i="1"/>
  <c r="H237" i="1"/>
  <c r="G237" i="1"/>
  <c r="F237" i="1"/>
  <c r="E237" i="1"/>
  <c r="D237" i="1"/>
  <c r="C237" i="1"/>
  <c r="B237" i="1"/>
  <c r="A237" i="1"/>
  <c r="J236" i="1"/>
  <c r="I236" i="1"/>
  <c r="H236" i="1"/>
  <c r="G236" i="1"/>
  <c r="F236" i="1"/>
  <c r="E236" i="1"/>
  <c r="D236" i="1"/>
  <c r="C236" i="1"/>
  <c r="B236" i="1"/>
  <c r="A236" i="1"/>
  <c r="J235" i="1"/>
  <c r="I235" i="1"/>
  <c r="H235" i="1"/>
  <c r="G235" i="1"/>
  <c r="F235" i="1"/>
  <c r="E235" i="1"/>
  <c r="D235" i="1"/>
  <c r="C235" i="1"/>
  <c r="B235" i="1"/>
  <c r="A235" i="1"/>
  <c r="J234" i="1"/>
  <c r="I234" i="1"/>
  <c r="H234" i="1"/>
  <c r="G234" i="1"/>
  <c r="F234" i="1"/>
  <c r="E234" i="1"/>
  <c r="D234" i="1"/>
  <c r="C234" i="1"/>
  <c r="B234" i="1"/>
  <c r="A234" i="1"/>
  <c r="J233" i="1"/>
  <c r="I233" i="1"/>
  <c r="H233" i="1"/>
  <c r="G233" i="1"/>
  <c r="F233" i="1"/>
  <c r="E233" i="1"/>
  <c r="D233" i="1"/>
  <c r="C233" i="1"/>
  <c r="B233" i="1"/>
  <c r="A233" i="1"/>
  <c r="J232" i="1"/>
  <c r="I232" i="1"/>
  <c r="H232" i="1"/>
  <c r="G232" i="1"/>
  <c r="F232" i="1"/>
  <c r="E232" i="1"/>
  <c r="D232" i="1"/>
  <c r="C232" i="1"/>
  <c r="B232" i="1"/>
  <c r="A232" i="1"/>
  <c r="J231" i="1"/>
  <c r="I231" i="1"/>
  <c r="H231" i="1"/>
  <c r="G231" i="1"/>
  <c r="F231" i="1"/>
  <c r="E231" i="1"/>
  <c r="D231" i="1"/>
  <c r="C231" i="1"/>
  <c r="B231" i="1"/>
  <c r="A231" i="1"/>
  <c r="J230" i="1"/>
  <c r="I230" i="1"/>
  <c r="H230" i="1"/>
  <c r="G230" i="1"/>
  <c r="F230" i="1"/>
  <c r="E230" i="1"/>
  <c r="D230" i="1"/>
  <c r="C230" i="1"/>
  <c r="B230" i="1"/>
  <c r="A230" i="1"/>
  <c r="J229" i="1"/>
  <c r="I229" i="1"/>
  <c r="H229" i="1"/>
  <c r="G229" i="1"/>
  <c r="F229" i="1"/>
  <c r="E229" i="1"/>
  <c r="D229" i="1"/>
  <c r="C229" i="1"/>
  <c r="B229" i="1"/>
  <c r="A229" i="1"/>
  <c r="J228" i="1"/>
  <c r="I228" i="1"/>
  <c r="H228" i="1"/>
  <c r="G228" i="1"/>
  <c r="F228" i="1"/>
  <c r="E228" i="1"/>
  <c r="D228" i="1"/>
  <c r="C228" i="1"/>
  <c r="B228" i="1"/>
  <c r="A228" i="1"/>
  <c r="J227" i="1"/>
  <c r="I227" i="1"/>
  <c r="H227" i="1"/>
  <c r="G227" i="1"/>
  <c r="F227" i="1"/>
  <c r="E227" i="1"/>
  <c r="D227" i="1"/>
  <c r="C227" i="1"/>
  <c r="B227" i="1"/>
  <c r="A227" i="1"/>
  <c r="J226" i="1"/>
  <c r="I226" i="1"/>
  <c r="H226" i="1"/>
  <c r="G226" i="1"/>
  <c r="F226" i="1"/>
  <c r="E226" i="1"/>
  <c r="D226" i="1"/>
  <c r="C226" i="1"/>
  <c r="B226" i="1"/>
  <c r="A226" i="1"/>
  <c r="J225" i="1"/>
  <c r="I225" i="1"/>
  <c r="H225" i="1"/>
  <c r="G225" i="1"/>
  <c r="F225" i="1"/>
  <c r="E225" i="1"/>
  <c r="D225" i="1"/>
  <c r="C225" i="1"/>
  <c r="B225" i="1"/>
  <c r="A225" i="1"/>
  <c r="J224" i="1"/>
  <c r="I224" i="1"/>
  <c r="H224" i="1"/>
  <c r="G224" i="1"/>
  <c r="F224" i="1"/>
  <c r="E224" i="1"/>
  <c r="D224" i="1"/>
  <c r="C224" i="1"/>
  <c r="B224" i="1"/>
  <c r="A224" i="1"/>
  <c r="J223" i="1"/>
  <c r="I223" i="1"/>
  <c r="H223" i="1"/>
  <c r="G223" i="1"/>
  <c r="F223" i="1"/>
  <c r="E223" i="1"/>
  <c r="D223" i="1"/>
  <c r="C223" i="1"/>
  <c r="B223" i="1"/>
  <c r="A223" i="1"/>
  <c r="J222" i="1"/>
  <c r="I222" i="1"/>
  <c r="H222" i="1"/>
  <c r="G222" i="1"/>
  <c r="F222" i="1"/>
  <c r="E222" i="1"/>
  <c r="D222" i="1"/>
  <c r="C222" i="1"/>
  <c r="B222" i="1"/>
  <c r="A222" i="1"/>
  <c r="J221" i="1"/>
  <c r="I221" i="1"/>
  <c r="H221" i="1"/>
  <c r="G221" i="1"/>
  <c r="F221" i="1"/>
  <c r="E221" i="1"/>
  <c r="D221" i="1"/>
  <c r="C221" i="1"/>
  <c r="B221" i="1"/>
  <c r="A221" i="1"/>
  <c r="J220" i="1"/>
  <c r="I220" i="1"/>
  <c r="H220" i="1"/>
  <c r="G220" i="1"/>
  <c r="F220" i="1"/>
  <c r="E220" i="1"/>
  <c r="D220" i="1"/>
  <c r="C220" i="1"/>
  <c r="B220" i="1"/>
  <c r="A220" i="1"/>
  <c r="J219" i="1"/>
  <c r="I219" i="1"/>
  <c r="H219" i="1"/>
  <c r="G219" i="1"/>
  <c r="F219" i="1"/>
  <c r="E219" i="1"/>
  <c r="D219" i="1"/>
  <c r="C219" i="1"/>
  <c r="B219" i="1"/>
  <c r="A219" i="1"/>
  <c r="J218" i="1"/>
  <c r="I218" i="1"/>
  <c r="H218" i="1"/>
  <c r="G218" i="1"/>
  <c r="F218" i="1"/>
  <c r="E218" i="1"/>
  <c r="D218" i="1"/>
  <c r="C218" i="1"/>
  <c r="B218" i="1"/>
  <c r="A218" i="1"/>
  <c r="J217" i="1"/>
  <c r="I217" i="1"/>
  <c r="H217" i="1"/>
  <c r="G217" i="1"/>
  <c r="F217" i="1"/>
  <c r="E217" i="1"/>
  <c r="D217" i="1"/>
  <c r="C217" i="1"/>
  <c r="B217" i="1"/>
  <c r="A217" i="1"/>
  <c r="J216" i="1"/>
  <c r="I216" i="1"/>
  <c r="H216" i="1"/>
  <c r="G216" i="1"/>
  <c r="F216" i="1"/>
  <c r="E216" i="1"/>
  <c r="D216" i="1"/>
  <c r="C216" i="1"/>
  <c r="B216" i="1"/>
  <c r="A216" i="1"/>
  <c r="J215" i="1"/>
  <c r="I215" i="1"/>
  <c r="H215" i="1"/>
  <c r="G215" i="1"/>
  <c r="F215" i="1"/>
  <c r="E215" i="1"/>
  <c r="D215" i="1"/>
  <c r="C215" i="1"/>
  <c r="B215" i="1"/>
  <c r="A215" i="1"/>
  <c r="J214" i="1"/>
  <c r="I214" i="1"/>
  <c r="H214" i="1"/>
  <c r="G214" i="1"/>
  <c r="F214" i="1"/>
  <c r="E214" i="1"/>
  <c r="D214" i="1"/>
  <c r="C214" i="1"/>
  <c r="B214" i="1"/>
  <c r="A214" i="1"/>
  <c r="J213" i="1"/>
  <c r="I213" i="1"/>
  <c r="H213" i="1"/>
  <c r="G213" i="1"/>
  <c r="F213" i="1"/>
  <c r="E213" i="1"/>
  <c r="D213" i="1"/>
  <c r="C213" i="1"/>
  <c r="B213" i="1"/>
  <c r="A213" i="1"/>
  <c r="J212" i="1"/>
  <c r="I212" i="1"/>
  <c r="H212" i="1"/>
  <c r="G212" i="1"/>
  <c r="F212" i="1"/>
  <c r="E212" i="1"/>
  <c r="D212" i="1"/>
  <c r="C212" i="1"/>
  <c r="B212" i="1"/>
  <c r="A212" i="1"/>
  <c r="J211" i="1"/>
  <c r="I211" i="1"/>
  <c r="H211" i="1"/>
  <c r="G211" i="1"/>
  <c r="F211" i="1"/>
  <c r="E211" i="1"/>
  <c r="D211" i="1"/>
  <c r="C211" i="1"/>
  <c r="B211" i="1"/>
  <c r="A211" i="1"/>
  <c r="J210" i="1"/>
  <c r="I210" i="1"/>
  <c r="H210" i="1"/>
  <c r="G210" i="1"/>
  <c r="F210" i="1"/>
  <c r="E210" i="1"/>
  <c r="D210" i="1"/>
  <c r="C210" i="1"/>
  <c r="B210" i="1"/>
  <c r="A210" i="1"/>
  <c r="J209" i="1"/>
  <c r="I209" i="1"/>
  <c r="H209" i="1"/>
  <c r="G209" i="1"/>
  <c r="F209" i="1"/>
  <c r="E209" i="1"/>
  <c r="D209" i="1"/>
  <c r="C209" i="1"/>
  <c r="B209" i="1"/>
  <c r="A209" i="1"/>
  <c r="J208" i="1"/>
  <c r="I208" i="1"/>
  <c r="H208" i="1"/>
  <c r="G208" i="1"/>
  <c r="F208" i="1"/>
  <c r="E208" i="1"/>
  <c r="D208" i="1"/>
  <c r="C208" i="1"/>
  <c r="B208" i="1"/>
  <c r="A208" i="1"/>
  <c r="J207" i="1"/>
  <c r="I207" i="1"/>
  <c r="H207" i="1"/>
  <c r="G207" i="1"/>
  <c r="F207" i="1"/>
  <c r="E207" i="1"/>
  <c r="D207" i="1"/>
  <c r="C207" i="1"/>
  <c r="B207" i="1"/>
  <c r="A207" i="1"/>
  <c r="J206" i="1"/>
  <c r="I206" i="1"/>
  <c r="H206" i="1"/>
  <c r="G206" i="1"/>
  <c r="F206" i="1"/>
  <c r="E206" i="1"/>
  <c r="D206" i="1"/>
  <c r="C206" i="1"/>
  <c r="B206" i="1"/>
  <c r="A206" i="1"/>
  <c r="J205" i="1"/>
  <c r="I205" i="1"/>
  <c r="H205" i="1"/>
  <c r="G205" i="1"/>
  <c r="F205" i="1"/>
  <c r="E205" i="1"/>
  <c r="D205" i="1"/>
  <c r="C205" i="1"/>
  <c r="B205" i="1"/>
  <c r="A205" i="1"/>
  <c r="J204" i="1"/>
  <c r="I204" i="1"/>
  <c r="H204" i="1"/>
  <c r="G204" i="1"/>
  <c r="F204" i="1"/>
  <c r="E204" i="1"/>
  <c r="D204" i="1"/>
  <c r="C204" i="1"/>
  <c r="B204" i="1"/>
  <c r="A204" i="1"/>
  <c r="J203" i="1"/>
  <c r="I203" i="1"/>
  <c r="H203" i="1"/>
  <c r="G203" i="1"/>
  <c r="F203" i="1"/>
  <c r="E203" i="1"/>
  <c r="D203" i="1"/>
  <c r="C203" i="1"/>
  <c r="B203" i="1"/>
  <c r="A203" i="1"/>
  <c r="J202" i="1"/>
  <c r="I202" i="1"/>
  <c r="H202" i="1"/>
  <c r="G202" i="1"/>
  <c r="F202" i="1"/>
  <c r="E202" i="1"/>
  <c r="D202" i="1"/>
  <c r="C202" i="1"/>
  <c r="B202" i="1"/>
  <c r="A202" i="1"/>
  <c r="J201" i="1"/>
  <c r="I201" i="1"/>
  <c r="H201" i="1"/>
  <c r="G201" i="1"/>
  <c r="F201" i="1"/>
  <c r="E201" i="1"/>
  <c r="D201" i="1"/>
  <c r="C201" i="1"/>
  <c r="B201" i="1"/>
  <c r="A201" i="1"/>
  <c r="J200" i="1"/>
  <c r="I200" i="1"/>
  <c r="H200" i="1"/>
  <c r="G200" i="1"/>
  <c r="F200" i="1"/>
  <c r="E200" i="1"/>
  <c r="D200" i="1"/>
  <c r="C200" i="1"/>
  <c r="B200" i="1"/>
  <c r="A200" i="1"/>
  <c r="J199" i="1"/>
  <c r="I199" i="1"/>
  <c r="H199" i="1"/>
  <c r="G199" i="1"/>
  <c r="F199" i="1"/>
  <c r="E199" i="1"/>
  <c r="D199" i="1"/>
  <c r="C199" i="1"/>
  <c r="B199" i="1"/>
  <c r="A199" i="1"/>
  <c r="J198" i="1"/>
  <c r="I198" i="1"/>
  <c r="H198" i="1"/>
  <c r="G198" i="1"/>
  <c r="F198" i="1"/>
  <c r="E198" i="1"/>
  <c r="D198" i="1"/>
  <c r="C198" i="1"/>
  <c r="B198" i="1"/>
  <c r="A198" i="1"/>
  <c r="J197" i="1"/>
  <c r="H197" i="1"/>
  <c r="G197" i="1"/>
  <c r="F197" i="1"/>
  <c r="E197" i="1"/>
  <c r="D197" i="1"/>
  <c r="C197" i="1"/>
  <c r="B197" i="1"/>
  <c r="A197" i="1"/>
  <c r="J196" i="1"/>
  <c r="H196" i="1"/>
  <c r="G196" i="1"/>
  <c r="F196" i="1"/>
  <c r="E196" i="1"/>
  <c r="D196" i="1"/>
  <c r="C196" i="1"/>
  <c r="B196" i="1"/>
  <c r="A196" i="1"/>
  <c r="J195" i="1"/>
  <c r="H195" i="1"/>
  <c r="G195" i="1"/>
  <c r="F195" i="1"/>
  <c r="E195" i="1"/>
  <c r="D195" i="1"/>
  <c r="C195" i="1"/>
  <c r="B195" i="1"/>
  <c r="A195" i="1"/>
  <c r="J194" i="1"/>
  <c r="H194" i="1"/>
  <c r="G194" i="1"/>
  <c r="F194" i="1"/>
  <c r="E194" i="1"/>
  <c r="D194" i="1"/>
  <c r="C194" i="1"/>
  <c r="B194" i="1"/>
  <c r="A194" i="1"/>
  <c r="J193" i="1"/>
  <c r="H193" i="1"/>
  <c r="G193" i="1"/>
  <c r="F193" i="1"/>
  <c r="E193" i="1"/>
  <c r="D193" i="1"/>
  <c r="C193" i="1"/>
  <c r="B193" i="1"/>
  <c r="A193" i="1"/>
  <c r="J192" i="1"/>
  <c r="H192" i="1"/>
  <c r="G192" i="1"/>
  <c r="F192" i="1"/>
  <c r="E192" i="1"/>
  <c r="D192" i="1"/>
  <c r="C192" i="1"/>
  <c r="B192" i="1"/>
  <c r="A192" i="1"/>
  <c r="J191" i="1"/>
  <c r="H191" i="1"/>
  <c r="G191" i="1"/>
  <c r="F191" i="1"/>
  <c r="E191" i="1"/>
  <c r="D191" i="1"/>
  <c r="C191" i="1"/>
  <c r="B191" i="1"/>
  <c r="A191" i="1"/>
  <c r="J190" i="1"/>
  <c r="I190" i="1"/>
  <c r="H190" i="1"/>
  <c r="G190" i="1"/>
  <c r="F190" i="1"/>
  <c r="E190" i="1"/>
  <c r="D190" i="1"/>
  <c r="C190" i="1"/>
  <c r="B190" i="1"/>
  <c r="A190" i="1"/>
  <c r="J189" i="1"/>
  <c r="I189" i="1"/>
  <c r="H189" i="1"/>
  <c r="G189" i="1"/>
  <c r="F189" i="1"/>
  <c r="E189" i="1"/>
  <c r="D189" i="1"/>
  <c r="C189" i="1"/>
  <c r="B189" i="1"/>
  <c r="A189" i="1"/>
  <c r="J188" i="1"/>
  <c r="I188" i="1"/>
  <c r="H188" i="1"/>
  <c r="G188" i="1"/>
  <c r="F188" i="1"/>
  <c r="E188" i="1"/>
  <c r="D188" i="1"/>
  <c r="C188" i="1"/>
  <c r="B188" i="1"/>
  <c r="A188" i="1"/>
  <c r="J187" i="1"/>
  <c r="I187" i="1"/>
  <c r="H187" i="1"/>
  <c r="G187" i="1"/>
  <c r="F187" i="1"/>
  <c r="E187" i="1"/>
  <c r="D187" i="1"/>
  <c r="C187" i="1"/>
  <c r="B187" i="1"/>
  <c r="A187" i="1"/>
  <c r="J186" i="1"/>
  <c r="I186" i="1"/>
  <c r="H186" i="1"/>
  <c r="G186" i="1"/>
  <c r="F186" i="1"/>
  <c r="E186" i="1"/>
  <c r="D186" i="1"/>
  <c r="C186" i="1"/>
  <c r="B186" i="1"/>
  <c r="A186" i="1"/>
  <c r="J185" i="1"/>
  <c r="I185" i="1"/>
  <c r="H185" i="1"/>
  <c r="G185" i="1"/>
  <c r="F185" i="1"/>
  <c r="E185" i="1"/>
  <c r="D185" i="1"/>
  <c r="C185" i="1"/>
  <c r="B185" i="1"/>
  <c r="A185" i="1"/>
  <c r="J184" i="1"/>
  <c r="I184" i="1"/>
  <c r="H184" i="1"/>
  <c r="G184" i="1"/>
  <c r="F184" i="1"/>
  <c r="E184" i="1"/>
  <c r="D184" i="1"/>
  <c r="C184" i="1"/>
  <c r="B184" i="1"/>
  <c r="A184" i="1"/>
  <c r="J183" i="1"/>
  <c r="I183" i="1"/>
  <c r="H183" i="1"/>
  <c r="G183" i="1"/>
  <c r="F183" i="1"/>
  <c r="E183" i="1"/>
  <c r="D183" i="1"/>
  <c r="C183" i="1"/>
  <c r="B183" i="1"/>
  <c r="A183" i="1"/>
  <c r="J182" i="1"/>
  <c r="I182" i="1"/>
  <c r="H182" i="1"/>
  <c r="G182" i="1"/>
  <c r="F182" i="1"/>
  <c r="E182" i="1"/>
  <c r="D182" i="1"/>
  <c r="C182" i="1"/>
  <c r="B182" i="1"/>
  <c r="A182" i="1"/>
  <c r="J181" i="1"/>
  <c r="I181" i="1"/>
  <c r="H181" i="1"/>
  <c r="G181" i="1"/>
  <c r="F181" i="1"/>
  <c r="E181" i="1"/>
  <c r="D181" i="1"/>
  <c r="C181" i="1"/>
  <c r="B181" i="1"/>
  <c r="A181" i="1"/>
  <c r="J180" i="1"/>
  <c r="I180" i="1"/>
  <c r="H180" i="1"/>
  <c r="G180" i="1"/>
  <c r="F180" i="1"/>
  <c r="E180" i="1"/>
  <c r="D180" i="1"/>
  <c r="C180" i="1"/>
  <c r="B180" i="1"/>
  <c r="A180" i="1"/>
  <c r="J179" i="1"/>
  <c r="I179" i="1"/>
  <c r="H179" i="1"/>
  <c r="G179" i="1"/>
  <c r="F179" i="1"/>
  <c r="E179" i="1"/>
  <c r="D179" i="1"/>
  <c r="C179" i="1"/>
  <c r="B179" i="1"/>
  <c r="A179" i="1"/>
  <c r="J178" i="1"/>
  <c r="I178" i="1"/>
  <c r="H178" i="1"/>
  <c r="G178" i="1"/>
  <c r="F178" i="1"/>
  <c r="E178" i="1"/>
  <c r="D178" i="1"/>
  <c r="C178" i="1"/>
  <c r="B178" i="1"/>
  <c r="A178" i="1"/>
  <c r="J177" i="1"/>
  <c r="I177" i="1"/>
  <c r="H177" i="1"/>
  <c r="G177" i="1"/>
  <c r="F177" i="1"/>
  <c r="E177" i="1"/>
  <c r="D177" i="1"/>
  <c r="C177" i="1"/>
  <c r="B177" i="1"/>
  <c r="A177" i="1"/>
  <c r="J176" i="1"/>
  <c r="I176" i="1"/>
  <c r="H176" i="1"/>
  <c r="G176" i="1"/>
  <c r="F176" i="1"/>
  <c r="E176" i="1"/>
  <c r="D176" i="1"/>
  <c r="C176" i="1"/>
  <c r="B176" i="1"/>
  <c r="A176" i="1"/>
  <c r="J175" i="1"/>
  <c r="I175" i="1"/>
  <c r="H175" i="1"/>
  <c r="G175" i="1"/>
  <c r="F175" i="1"/>
  <c r="E175" i="1"/>
  <c r="D175" i="1"/>
  <c r="C175" i="1"/>
  <c r="B175" i="1"/>
  <c r="A175" i="1"/>
  <c r="J174" i="1"/>
  <c r="I174" i="1"/>
  <c r="H174" i="1"/>
  <c r="G174" i="1"/>
  <c r="F174" i="1"/>
  <c r="E174" i="1"/>
  <c r="D174" i="1"/>
  <c r="C174" i="1"/>
  <c r="B174" i="1"/>
  <c r="A174" i="1"/>
  <c r="J173" i="1"/>
  <c r="I173" i="1"/>
  <c r="H173" i="1"/>
  <c r="G173" i="1"/>
  <c r="F173" i="1"/>
  <c r="E173" i="1"/>
  <c r="D173" i="1"/>
  <c r="C173" i="1"/>
  <c r="B173" i="1"/>
  <c r="A173" i="1"/>
  <c r="J172" i="1"/>
  <c r="I172" i="1"/>
  <c r="H172" i="1"/>
  <c r="G172" i="1"/>
  <c r="F172" i="1"/>
  <c r="E172" i="1"/>
  <c r="D172" i="1"/>
  <c r="C172" i="1"/>
  <c r="B172" i="1"/>
  <c r="A172" i="1"/>
  <c r="J171" i="1"/>
  <c r="I171" i="1"/>
  <c r="H171" i="1"/>
  <c r="G171" i="1"/>
  <c r="F171" i="1"/>
  <c r="E171" i="1"/>
  <c r="D171" i="1"/>
  <c r="C171" i="1"/>
  <c r="B171" i="1"/>
  <c r="A171" i="1"/>
  <c r="J170" i="1"/>
  <c r="I170" i="1"/>
  <c r="H170" i="1"/>
  <c r="G170" i="1"/>
  <c r="F170" i="1"/>
  <c r="E170" i="1"/>
  <c r="D170" i="1"/>
  <c r="C170" i="1"/>
  <c r="B170" i="1"/>
  <c r="A170" i="1"/>
  <c r="J169" i="1"/>
  <c r="I169" i="1"/>
  <c r="H169" i="1"/>
  <c r="G169" i="1"/>
  <c r="F169" i="1"/>
  <c r="E169" i="1"/>
  <c r="D169" i="1"/>
  <c r="C169" i="1"/>
  <c r="B169" i="1"/>
  <c r="A169" i="1"/>
  <c r="J168" i="1"/>
  <c r="I168" i="1"/>
  <c r="H168" i="1"/>
  <c r="G168" i="1"/>
  <c r="F168" i="1"/>
  <c r="E168" i="1"/>
  <c r="D168" i="1"/>
  <c r="C168" i="1"/>
  <c r="B168" i="1"/>
  <c r="A168" i="1"/>
  <c r="J167" i="1"/>
  <c r="I167" i="1"/>
  <c r="H167" i="1"/>
  <c r="G167" i="1"/>
  <c r="F167" i="1"/>
  <c r="E167" i="1"/>
  <c r="D167" i="1"/>
  <c r="C167" i="1"/>
  <c r="B167" i="1"/>
  <c r="A167" i="1"/>
  <c r="J166" i="1"/>
  <c r="I166" i="1"/>
  <c r="H166" i="1"/>
  <c r="G166" i="1"/>
  <c r="F166" i="1"/>
  <c r="E166" i="1"/>
  <c r="D166" i="1"/>
  <c r="C166" i="1"/>
  <c r="B166" i="1"/>
  <c r="A166" i="1"/>
  <c r="J165" i="1"/>
  <c r="I165" i="1"/>
  <c r="H165" i="1"/>
  <c r="G165" i="1"/>
  <c r="F165" i="1"/>
  <c r="E165" i="1"/>
  <c r="D165" i="1"/>
  <c r="C165" i="1"/>
  <c r="B165" i="1"/>
  <c r="A165" i="1"/>
  <c r="J164" i="1"/>
  <c r="I164" i="1"/>
  <c r="H164" i="1"/>
  <c r="G164" i="1"/>
  <c r="F164" i="1"/>
  <c r="E164" i="1"/>
  <c r="D164" i="1"/>
  <c r="C164" i="1"/>
  <c r="B164" i="1"/>
  <c r="A164" i="1"/>
  <c r="J163" i="1"/>
  <c r="I163" i="1"/>
  <c r="H163" i="1"/>
  <c r="G163" i="1"/>
  <c r="F163" i="1"/>
  <c r="E163" i="1"/>
  <c r="D163" i="1"/>
  <c r="C163" i="1"/>
  <c r="B163" i="1"/>
  <c r="A163" i="1"/>
  <c r="J162" i="1"/>
  <c r="I162" i="1"/>
  <c r="H162" i="1"/>
  <c r="G162" i="1"/>
  <c r="F162" i="1"/>
  <c r="E162" i="1"/>
  <c r="D162" i="1"/>
  <c r="C162" i="1"/>
  <c r="B162" i="1"/>
  <c r="A162" i="1"/>
  <c r="J161" i="1"/>
  <c r="I161" i="1"/>
  <c r="H161" i="1"/>
  <c r="G161" i="1"/>
  <c r="F161" i="1"/>
  <c r="E161" i="1"/>
  <c r="D161" i="1"/>
  <c r="C161" i="1"/>
  <c r="B161" i="1"/>
  <c r="A161" i="1"/>
  <c r="J160" i="1"/>
  <c r="I160" i="1"/>
  <c r="H160" i="1"/>
  <c r="G160" i="1"/>
  <c r="F160" i="1"/>
  <c r="E160" i="1"/>
  <c r="D160" i="1"/>
  <c r="C160" i="1"/>
  <c r="B160" i="1"/>
  <c r="A160" i="1"/>
  <c r="J159" i="1"/>
  <c r="I159" i="1"/>
  <c r="H159" i="1"/>
  <c r="G159" i="1"/>
  <c r="F159" i="1"/>
  <c r="E159" i="1"/>
  <c r="D159" i="1"/>
  <c r="C159" i="1"/>
  <c r="B159" i="1"/>
  <c r="A159" i="1"/>
  <c r="J158" i="1"/>
  <c r="I158" i="1"/>
  <c r="H158" i="1"/>
  <c r="G158" i="1"/>
  <c r="F158" i="1"/>
  <c r="E158" i="1"/>
  <c r="D158" i="1"/>
  <c r="C158" i="1"/>
  <c r="B158" i="1"/>
  <c r="A158" i="1"/>
  <c r="J157" i="1"/>
  <c r="I157" i="1"/>
  <c r="H157" i="1"/>
  <c r="G157" i="1"/>
  <c r="F157" i="1"/>
  <c r="E157" i="1"/>
  <c r="D157" i="1"/>
  <c r="C157" i="1"/>
  <c r="B157" i="1"/>
  <c r="A157" i="1"/>
  <c r="J156" i="1"/>
  <c r="I156" i="1"/>
  <c r="H156" i="1"/>
  <c r="G156" i="1"/>
  <c r="F156" i="1"/>
  <c r="E156" i="1"/>
  <c r="D156" i="1"/>
  <c r="C156" i="1"/>
  <c r="B156" i="1"/>
  <c r="A156" i="1"/>
  <c r="J155" i="1"/>
  <c r="I155" i="1"/>
  <c r="H155" i="1"/>
  <c r="G155" i="1"/>
  <c r="F155" i="1"/>
  <c r="E155" i="1"/>
  <c r="D155" i="1"/>
  <c r="C155" i="1"/>
  <c r="B155" i="1"/>
  <c r="A155" i="1"/>
  <c r="J154" i="1"/>
  <c r="I154" i="1"/>
  <c r="H154" i="1"/>
  <c r="G154" i="1"/>
  <c r="F154" i="1"/>
  <c r="E154" i="1"/>
  <c r="D154" i="1"/>
  <c r="C154" i="1"/>
  <c r="B154" i="1"/>
  <c r="A154" i="1"/>
  <c r="J153" i="1"/>
  <c r="I153" i="1"/>
  <c r="H153" i="1"/>
  <c r="G153" i="1"/>
  <c r="F153" i="1"/>
  <c r="E153" i="1"/>
  <c r="D153" i="1"/>
  <c r="C153" i="1"/>
  <c r="B153" i="1"/>
  <c r="A153" i="1"/>
  <c r="J152" i="1"/>
  <c r="I152" i="1"/>
  <c r="H152" i="1"/>
  <c r="G152" i="1"/>
  <c r="F152" i="1"/>
  <c r="E152" i="1"/>
  <c r="D152" i="1"/>
  <c r="C152" i="1"/>
  <c r="B152" i="1"/>
  <c r="A152" i="1"/>
  <c r="J151" i="1"/>
  <c r="I151" i="1"/>
  <c r="H151" i="1"/>
  <c r="G151" i="1"/>
  <c r="F151" i="1"/>
  <c r="E151" i="1"/>
  <c r="D151" i="1"/>
  <c r="C151" i="1"/>
  <c r="B151" i="1"/>
  <c r="A151" i="1"/>
  <c r="J150" i="1"/>
  <c r="I150" i="1"/>
  <c r="H150" i="1"/>
  <c r="G150" i="1"/>
  <c r="F150" i="1"/>
  <c r="E150" i="1"/>
  <c r="D150" i="1"/>
  <c r="C150" i="1"/>
  <c r="B150" i="1"/>
  <c r="A150" i="1"/>
  <c r="J149" i="1"/>
  <c r="I149" i="1"/>
  <c r="H149" i="1"/>
  <c r="G149" i="1"/>
  <c r="F149" i="1"/>
  <c r="E149" i="1"/>
  <c r="D149" i="1"/>
  <c r="C149" i="1"/>
  <c r="B149" i="1"/>
  <c r="A149" i="1"/>
  <c r="J148" i="1"/>
  <c r="I148" i="1"/>
  <c r="H148" i="1"/>
  <c r="G148" i="1"/>
  <c r="F148" i="1"/>
  <c r="E148" i="1"/>
  <c r="D148" i="1"/>
  <c r="C148" i="1"/>
  <c r="B148" i="1"/>
  <c r="A148" i="1"/>
  <c r="J147" i="1"/>
  <c r="I147" i="1"/>
  <c r="H147" i="1"/>
  <c r="G147" i="1"/>
  <c r="F147" i="1"/>
  <c r="E147" i="1"/>
  <c r="D147" i="1"/>
  <c r="C147" i="1"/>
  <c r="B147" i="1"/>
  <c r="A147" i="1"/>
  <c r="J146" i="1"/>
  <c r="I146" i="1"/>
  <c r="H146" i="1"/>
  <c r="G146" i="1"/>
  <c r="F146" i="1"/>
  <c r="E146" i="1"/>
  <c r="D146" i="1"/>
  <c r="C146" i="1"/>
  <c r="B146" i="1"/>
  <c r="A146" i="1"/>
  <c r="J145" i="1"/>
  <c r="I145" i="1"/>
  <c r="H145" i="1"/>
  <c r="G145" i="1"/>
  <c r="F145" i="1"/>
  <c r="E145" i="1"/>
  <c r="D145" i="1"/>
  <c r="C145" i="1"/>
  <c r="B145" i="1"/>
  <c r="A145" i="1"/>
  <c r="J144" i="1"/>
  <c r="I144" i="1"/>
  <c r="H144" i="1"/>
  <c r="G144" i="1"/>
  <c r="F144" i="1"/>
  <c r="E144" i="1"/>
  <c r="D144" i="1"/>
  <c r="C144" i="1"/>
  <c r="B144" i="1"/>
  <c r="A144" i="1"/>
  <c r="J143" i="1"/>
  <c r="I143" i="1"/>
  <c r="H143" i="1"/>
  <c r="G143" i="1"/>
  <c r="F143" i="1"/>
  <c r="E143" i="1"/>
  <c r="D143" i="1"/>
  <c r="C143" i="1"/>
  <c r="B143" i="1"/>
  <c r="A143" i="1"/>
  <c r="J142" i="1"/>
  <c r="I142" i="1"/>
  <c r="H142" i="1"/>
  <c r="G142" i="1"/>
  <c r="F142" i="1"/>
  <c r="E142" i="1"/>
  <c r="D142" i="1"/>
  <c r="C142" i="1"/>
  <c r="B142" i="1"/>
  <c r="A142" i="1"/>
  <c r="J141" i="1"/>
  <c r="I141" i="1"/>
  <c r="H141" i="1"/>
  <c r="G141" i="1"/>
  <c r="F141" i="1"/>
  <c r="E141" i="1"/>
  <c r="D141" i="1"/>
  <c r="C141" i="1"/>
  <c r="B141" i="1"/>
  <c r="A141" i="1"/>
  <c r="J140" i="1"/>
  <c r="I140" i="1"/>
  <c r="H140" i="1"/>
  <c r="G140" i="1"/>
  <c r="F140" i="1"/>
  <c r="E140" i="1"/>
  <c r="D140" i="1"/>
  <c r="C140" i="1"/>
  <c r="B140" i="1"/>
  <c r="A140" i="1"/>
  <c r="J139" i="1"/>
  <c r="I139" i="1"/>
  <c r="H139" i="1"/>
  <c r="G139" i="1"/>
  <c r="F139" i="1"/>
  <c r="E139" i="1"/>
  <c r="D139" i="1"/>
  <c r="C139" i="1"/>
  <c r="B139" i="1"/>
  <c r="A139" i="1"/>
  <c r="J138" i="1"/>
  <c r="I138" i="1"/>
  <c r="H138" i="1"/>
  <c r="G138" i="1"/>
  <c r="F138" i="1"/>
  <c r="E138" i="1"/>
  <c r="D138" i="1"/>
  <c r="C138" i="1"/>
  <c r="B138" i="1"/>
  <c r="A138" i="1"/>
  <c r="J137" i="1"/>
  <c r="I137" i="1"/>
  <c r="H137" i="1"/>
  <c r="G137" i="1"/>
  <c r="F137" i="1"/>
  <c r="E137" i="1"/>
  <c r="D137" i="1"/>
  <c r="C137" i="1"/>
  <c r="B137" i="1"/>
  <c r="A137" i="1"/>
  <c r="J136" i="1"/>
  <c r="I136" i="1"/>
  <c r="H136" i="1"/>
  <c r="G136" i="1"/>
  <c r="F136" i="1"/>
  <c r="E136" i="1"/>
  <c r="D136" i="1"/>
  <c r="C136" i="1"/>
  <c r="B136" i="1"/>
  <c r="A136" i="1"/>
  <c r="J135" i="1"/>
  <c r="I135" i="1"/>
  <c r="H135" i="1"/>
  <c r="G135" i="1"/>
  <c r="F135" i="1"/>
  <c r="E135" i="1"/>
  <c r="D135" i="1"/>
  <c r="C135" i="1"/>
  <c r="B135" i="1"/>
  <c r="A135" i="1"/>
  <c r="J134" i="1"/>
  <c r="I134" i="1"/>
  <c r="H134" i="1"/>
  <c r="G134" i="1"/>
  <c r="F134" i="1"/>
  <c r="E134" i="1"/>
  <c r="D134" i="1"/>
  <c r="C134" i="1"/>
  <c r="B134" i="1"/>
  <c r="A134" i="1"/>
  <c r="J133" i="1"/>
  <c r="I133" i="1"/>
  <c r="H133" i="1"/>
  <c r="G133" i="1"/>
  <c r="F133" i="1"/>
  <c r="E133" i="1"/>
  <c r="D133" i="1"/>
  <c r="C133" i="1"/>
  <c r="B133" i="1"/>
  <c r="A133" i="1"/>
  <c r="J132" i="1"/>
  <c r="I132" i="1"/>
  <c r="H132" i="1"/>
  <c r="G132" i="1"/>
  <c r="F132" i="1"/>
  <c r="E132" i="1"/>
  <c r="D132" i="1"/>
  <c r="C132" i="1"/>
  <c r="B132" i="1"/>
  <c r="A132" i="1"/>
  <c r="J131" i="1"/>
  <c r="I131" i="1"/>
  <c r="H131" i="1"/>
  <c r="G131" i="1"/>
  <c r="F131" i="1"/>
  <c r="E131" i="1"/>
  <c r="D131" i="1"/>
  <c r="C131" i="1"/>
  <c r="B131" i="1"/>
  <c r="A131" i="1"/>
  <c r="J130" i="1"/>
  <c r="I130" i="1"/>
  <c r="H130" i="1"/>
  <c r="G130" i="1"/>
  <c r="F130" i="1"/>
  <c r="E130" i="1"/>
  <c r="D130" i="1"/>
  <c r="C130" i="1"/>
  <c r="B130" i="1"/>
  <c r="A130" i="1"/>
  <c r="J129" i="1"/>
  <c r="I129" i="1"/>
  <c r="H129" i="1"/>
  <c r="G129" i="1"/>
  <c r="F129" i="1"/>
  <c r="E129" i="1"/>
  <c r="D129" i="1"/>
  <c r="C129" i="1"/>
  <c r="B129" i="1"/>
  <c r="A129" i="1"/>
  <c r="J128" i="1"/>
  <c r="I128" i="1"/>
  <c r="H128" i="1"/>
  <c r="G128" i="1"/>
  <c r="F128" i="1"/>
  <c r="E128" i="1"/>
  <c r="D128" i="1"/>
  <c r="C128" i="1"/>
  <c r="B128" i="1"/>
  <c r="A128" i="1"/>
  <c r="J127" i="1"/>
  <c r="I127" i="1"/>
  <c r="H127" i="1"/>
  <c r="G127" i="1"/>
  <c r="F127" i="1"/>
  <c r="E127" i="1"/>
  <c r="D127" i="1"/>
  <c r="C127" i="1"/>
  <c r="B127" i="1"/>
  <c r="A127" i="1"/>
  <c r="J126" i="1"/>
  <c r="I126" i="1"/>
  <c r="H126" i="1"/>
  <c r="G126" i="1"/>
  <c r="F126" i="1"/>
  <c r="E126" i="1"/>
  <c r="D126" i="1"/>
  <c r="C126" i="1"/>
  <c r="B126" i="1"/>
  <c r="A126" i="1"/>
  <c r="J125" i="1"/>
  <c r="I125" i="1"/>
  <c r="H125" i="1"/>
  <c r="G125" i="1"/>
  <c r="F125" i="1"/>
  <c r="E125" i="1"/>
  <c r="D125" i="1"/>
  <c r="C125" i="1"/>
  <c r="B125" i="1"/>
  <c r="A125" i="1"/>
  <c r="J124" i="1"/>
  <c r="I124" i="1"/>
  <c r="H124" i="1"/>
  <c r="G124" i="1"/>
  <c r="F124" i="1"/>
  <c r="E124" i="1"/>
  <c r="D124" i="1"/>
  <c r="C124" i="1"/>
  <c r="B124" i="1"/>
  <c r="A124" i="1"/>
  <c r="J123" i="1"/>
  <c r="I123" i="1"/>
  <c r="H123" i="1"/>
  <c r="G123" i="1"/>
  <c r="F123" i="1"/>
  <c r="E123" i="1"/>
  <c r="D123" i="1"/>
  <c r="C123" i="1"/>
  <c r="B123" i="1"/>
  <c r="A123" i="1"/>
  <c r="J122" i="1"/>
  <c r="I122" i="1"/>
  <c r="H122" i="1"/>
  <c r="G122" i="1"/>
  <c r="F122" i="1"/>
  <c r="E122" i="1"/>
  <c r="D122" i="1"/>
  <c r="C122" i="1"/>
  <c r="B122" i="1"/>
  <c r="A122" i="1"/>
  <c r="J121" i="1"/>
  <c r="I121" i="1"/>
  <c r="H121" i="1"/>
  <c r="G121" i="1"/>
  <c r="F121" i="1"/>
  <c r="E121" i="1"/>
  <c r="D121" i="1"/>
  <c r="C121" i="1"/>
  <c r="B121" i="1"/>
  <c r="A121" i="1"/>
  <c r="J120" i="1"/>
  <c r="I120" i="1"/>
  <c r="H120" i="1"/>
  <c r="G120" i="1"/>
  <c r="F120" i="1"/>
  <c r="E120" i="1"/>
  <c r="D120" i="1"/>
  <c r="C120" i="1"/>
  <c r="B120" i="1"/>
  <c r="A120" i="1"/>
  <c r="J119" i="1"/>
  <c r="I119" i="1"/>
  <c r="H119" i="1"/>
  <c r="G119" i="1"/>
  <c r="F119" i="1"/>
  <c r="E119" i="1"/>
  <c r="D119" i="1"/>
  <c r="C119" i="1"/>
  <c r="B119" i="1"/>
  <c r="A119" i="1"/>
  <c r="J118" i="1"/>
  <c r="I118" i="1"/>
  <c r="H118" i="1"/>
  <c r="G118" i="1"/>
  <c r="F118" i="1"/>
  <c r="E118" i="1"/>
  <c r="D118" i="1"/>
  <c r="C118" i="1"/>
  <c r="B118" i="1"/>
  <c r="A118" i="1"/>
  <c r="J117" i="1"/>
  <c r="I117" i="1"/>
  <c r="H117" i="1"/>
  <c r="G117" i="1"/>
  <c r="F117" i="1"/>
  <c r="E117" i="1"/>
  <c r="D117" i="1"/>
  <c r="C117" i="1"/>
  <c r="B117" i="1"/>
  <c r="A117" i="1"/>
  <c r="J116" i="1"/>
  <c r="I116" i="1"/>
  <c r="H116" i="1"/>
  <c r="G116" i="1"/>
  <c r="F116" i="1"/>
  <c r="E116" i="1"/>
  <c r="D116" i="1"/>
  <c r="C116" i="1"/>
  <c r="B116" i="1"/>
  <c r="A116" i="1"/>
  <c r="J115" i="1"/>
  <c r="I115" i="1"/>
  <c r="H115" i="1"/>
  <c r="G115" i="1"/>
  <c r="F115" i="1"/>
  <c r="E115" i="1"/>
  <c r="D115" i="1"/>
  <c r="C115" i="1"/>
  <c r="B115" i="1"/>
  <c r="A115" i="1"/>
  <c r="J114" i="1"/>
  <c r="I114" i="1"/>
  <c r="H114" i="1"/>
  <c r="G114" i="1"/>
  <c r="F114" i="1"/>
  <c r="E114" i="1"/>
  <c r="D114" i="1"/>
  <c r="C114" i="1"/>
  <c r="B114" i="1"/>
  <c r="A114" i="1"/>
  <c r="J113" i="1"/>
  <c r="H113" i="1"/>
  <c r="G113" i="1"/>
  <c r="F113" i="1"/>
  <c r="E113" i="1"/>
  <c r="D113" i="1"/>
  <c r="C113" i="1"/>
  <c r="B113" i="1"/>
  <c r="A113" i="1"/>
  <c r="J112" i="1"/>
  <c r="H112" i="1"/>
  <c r="G112" i="1"/>
  <c r="F112" i="1"/>
  <c r="E112" i="1"/>
  <c r="D112" i="1"/>
  <c r="C112" i="1"/>
  <c r="B112" i="1"/>
  <c r="A112" i="1"/>
  <c r="J111" i="1"/>
  <c r="H111" i="1"/>
  <c r="G111" i="1"/>
  <c r="F111" i="1"/>
  <c r="E111" i="1"/>
  <c r="D111" i="1"/>
  <c r="C111" i="1"/>
  <c r="B111" i="1"/>
  <c r="A111" i="1"/>
  <c r="J110" i="1"/>
  <c r="H110" i="1"/>
  <c r="G110" i="1"/>
  <c r="F110" i="1"/>
  <c r="E110" i="1"/>
  <c r="D110" i="1"/>
  <c r="C110" i="1"/>
  <c r="B110" i="1"/>
  <c r="A110" i="1"/>
  <c r="J109" i="1"/>
  <c r="H109" i="1"/>
  <c r="G109" i="1"/>
  <c r="F109" i="1"/>
  <c r="E109" i="1"/>
  <c r="D109" i="1"/>
  <c r="C109" i="1"/>
  <c r="B109" i="1"/>
  <c r="A109" i="1"/>
  <c r="J108" i="1"/>
  <c r="H108" i="1"/>
  <c r="G108" i="1"/>
  <c r="F108" i="1"/>
  <c r="E108" i="1"/>
  <c r="D108" i="1"/>
  <c r="C108" i="1"/>
  <c r="B108" i="1"/>
  <c r="A108" i="1"/>
  <c r="J107" i="1"/>
  <c r="H107" i="1"/>
  <c r="G107" i="1"/>
  <c r="F107" i="1"/>
  <c r="E107" i="1"/>
  <c r="D107" i="1"/>
  <c r="C107" i="1"/>
  <c r="B107" i="1"/>
  <c r="A107" i="1"/>
  <c r="J106" i="1"/>
  <c r="I106" i="1"/>
  <c r="H106" i="1"/>
  <c r="G106" i="1"/>
  <c r="F106" i="1"/>
  <c r="E106" i="1"/>
  <c r="D106" i="1"/>
  <c r="C106" i="1"/>
  <c r="B106" i="1"/>
  <c r="A106" i="1"/>
  <c r="J105" i="1"/>
  <c r="I105" i="1"/>
  <c r="H105" i="1"/>
  <c r="G105" i="1"/>
  <c r="F105" i="1"/>
  <c r="E105" i="1"/>
  <c r="D105" i="1"/>
  <c r="C105" i="1"/>
  <c r="B105" i="1"/>
  <c r="A105" i="1"/>
  <c r="J104" i="1"/>
  <c r="I104" i="1"/>
  <c r="H104" i="1"/>
  <c r="G104" i="1"/>
  <c r="F104" i="1"/>
  <c r="E104" i="1"/>
  <c r="D104" i="1"/>
  <c r="C104" i="1"/>
  <c r="B104" i="1"/>
  <c r="A104" i="1"/>
  <c r="J103" i="1"/>
  <c r="I103" i="1"/>
  <c r="H103" i="1"/>
  <c r="G103" i="1"/>
  <c r="F103" i="1"/>
  <c r="E103" i="1"/>
  <c r="D103" i="1"/>
  <c r="C103" i="1"/>
  <c r="B103" i="1"/>
  <c r="A103" i="1"/>
  <c r="J102" i="1"/>
  <c r="I102" i="1"/>
  <c r="H102" i="1"/>
  <c r="G102" i="1"/>
  <c r="F102" i="1"/>
  <c r="E102" i="1"/>
  <c r="D102" i="1"/>
  <c r="C102" i="1"/>
  <c r="B102" i="1"/>
  <c r="A102" i="1"/>
  <c r="J101" i="1"/>
  <c r="I101" i="1"/>
  <c r="H101" i="1"/>
  <c r="G101" i="1"/>
  <c r="F101" i="1"/>
  <c r="E101" i="1"/>
  <c r="D101" i="1"/>
  <c r="C101" i="1"/>
  <c r="B101" i="1"/>
  <c r="A101" i="1"/>
  <c r="J100" i="1"/>
  <c r="I100" i="1"/>
  <c r="H100" i="1"/>
  <c r="G100" i="1"/>
  <c r="F100" i="1"/>
  <c r="E100" i="1"/>
  <c r="D100" i="1"/>
  <c r="C100" i="1"/>
  <c r="B100" i="1"/>
  <c r="A100" i="1"/>
  <c r="J99" i="1"/>
  <c r="I99" i="1"/>
  <c r="H99" i="1"/>
  <c r="G99" i="1"/>
  <c r="F99" i="1"/>
  <c r="E99" i="1"/>
  <c r="D99" i="1"/>
  <c r="C99" i="1"/>
  <c r="B99" i="1"/>
  <c r="A99" i="1"/>
  <c r="J98" i="1"/>
  <c r="I98" i="1"/>
  <c r="H98" i="1"/>
  <c r="G98" i="1"/>
  <c r="F98" i="1"/>
  <c r="E98" i="1"/>
  <c r="D98" i="1"/>
  <c r="C98" i="1"/>
  <c r="B98" i="1"/>
  <c r="A98" i="1"/>
  <c r="J97" i="1"/>
  <c r="I97" i="1"/>
  <c r="H97" i="1"/>
  <c r="G97" i="1"/>
  <c r="F97" i="1"/>
  <c r="E97" i="1"/>
  <c r="D97" i="1"/>
  <c r="C97" i="1"/>
  <c r="B97" i="1"/>
  <c r="A97" i="1"/>
  <c r="J96" i="1"/>
  <c r="I96" i="1"/>
  <c r="H96" i="1"/>
  <c r="G96" i="1"/>
  <c r="F96" i="1"/>
  <c r="E96" i="1"/>
  <c r="D96" i="1"/>
  <c r="C96" i="1"/>
  <c r="B96" i="1"/>
  <c r="A96" i="1"/>
  <c r="J95" i="1"/>
  <c r="I95" i="1"/>
  <c r="H95" i="1"/>
  <c r="G95" i="1"/>
  <c r="F95" i="1"/>
  <c r="E95" i="1"/>
  <c r="D95" i="1"/>
  <c r="C95" i="1"/>
  <c r="B95" i="1"/>
  <c r="A95" i="1"/>
  <c r="J94" i="1"/>
  <c r="I94" i="1"/>
  <c r="H94" i="1"/>
  <c r="G94" i="1"/>
  <c r="F94" i="1"/>
  <c r="E94" i="1"/>
  <c r="D94" i="1"/>
  <c r="C94" i="1"/>
  <c r="B94" i="1"/>
  <c r="A94" i="1"/>
  <c r="J93" i="1"/>
  <c r="I93" i="1"/>
  <c r="H93" i="1"/>
  <c r="G93" i="1"/>
  <c r="F93" i="1"/>
  <c r="E93" i="1"/>
  <c r="D93" i="1"/>
  <c r="C93" i="1"/>
  <c r="B93" i="1"/>
  <c r="A93" i="1"/>
  <c r="J92" i="1"/>
  <c r="I92" i="1"/>
  <c r="H92" i="1"/>
  <c r="G92" i="1"/>
  <c r="F92" i="1"/>
  <c r="E92" i="1"/>
  <c r="D92" i="1"/>
  <c r="C92" i="1"/>
  <c r="B92" i="1"/>
  <c r="A92" i="1"/>
  <c r="J91" i="1"/>
  <c r="I91" i="1"/>
  <c r="H91" i="1"/>
  <c r="G91" i="1"/>
  <c r="F91" i="1"/>
  <c r="E91" i="1"/>
  <c r="D91" i="1"/>
  <c r="C91" i="1"/>
  <c r="B91" i="1"/>
  <c r="A91" i="1"/>
  <c r="J90" i="1"/>
  <c r="I90" i="1"/>
  <c r="H90" i="1"/>
  <c r="G90" i="1"/>
  <c r="F90" i="1"/>
  <c r="E90" i="1"/>
  <c r="D90" i="1"/>
  <c r="C90" i="1"/>
  <c r="B90" i="1"/>
  <c r="A90" i="1"/>
  <c r="J89" i="1"/>
  <c r="I89" i="1"/>
  <c r="H89" i="1"/>
  <c r="G89" i="1"/>
  <c r="F89" i="1"/>
  <c r="E89" i="1"/>
  <c r="D89" i="1"/>
  <c r="C89" i="1"/>
  <c r="B89" i="1"/>
  <c r="A89" i="1"/>
  <c r="J88" i="1"/>
  <c r="I88" i="1"/>
  <c r="H88" i="1"/>
  <c r="G88" i="1"/>
  <c r="F88" i="1"/>
  <c r="E88" i="1"/>
  <c r="D88" i="1"/>
  <c r="C88" i="1"/>
  <c r="B88" i="1"/>
  <c r="A88" i="1"/>
  <c r="J87" i="1"/>
  <c r="I87" i="1"/>
  <c r="H87" i="1"/>
  <c r="G87" i="1"/>
  <c r="F87" i="1"/>
  <c r="E87" i="1"/>
  <c r="D87" i="1"/>
  <c r="C87" i="1"/>
  <c r="B87" i="1"/>
  <c r="A87" i="1"/>
  <c r="J86" i="1"/>
  <c r="I86" i="1"/>
  <c r="H86" i="1"/>
  <c r="G86" i="1"/>
  <c r="F86" i="1"/>
  <c r="E86" i="1"/>
  <c r="D86" i="1"/>
  <c r="C86" i="1"/>
  <c r="B86" i="1"/>
  <c r="A86" i="1"/>
  <c r="J85" i="1"/>
  <c r="I85" i="1"/>
  <c r="H85" i="1"/>
  <c r="G85" i="1"/>
  <c r="F85" i="1"/>
  <c r="E85" i="1"/>
  <c r="D85" i="1"/>
  <c r="C85" i="1"/>
  <c r="B85" i="1"/>
  <c r="A85" i="1"/>
  <c r="J84" i="1"/>
  <c r="I84" i="1"/>
  <c r="H84" i="1"/>
  <c r="G84" i="1"/>
  <c r="F84" i="1"/>
  <c r="E84" i="1"/>
  <c r="D84" i="1"/>
  <c r="C84" i="1"/>
  <c r="B84" i="1"/>
  <c r="A84" i="1"/>
  <c r="J83" i="1"/>
  <c r="I83" i="1"/>
  <c r="H83" i="1"/>
  <c r="G83" i="1"/>
  <c r="F83" i="1"/>
  <c r="E83" i="1"/>
  <c r="D83" i="1"/>
  <c r="C83" i="1"/>
  <c r="B83" i="1"/>
  <c r="A83" i="1"/>
  <c r="J82" i="1"/>
  <c r="I82" i="1"/>
  <c r="H82" i="1"/>
  <c r="G82" i="1"/>
  <c r="F82" i="1"/>
  <c r="E82" i="1"/>
  <c r="D82" i="1"/>
  <c r="C82" i="1"/>
  <c r="B82" i="1"/>
  <c r="A82" i="1"/>
  <c r="J81" i="1"/>
  <c r="I81" i="1"/>
  <c r="H81" i="1"/>
  <c r="G81" i="1"/>
  <c r="F81" i="1"/>
  <c r="E81" i="1"/>
  <c r="D81" i="1"/>
  <c r="C81" i="1"/>
  <c r="B81" i="1"/>
  <c r="A81" i="1"/>
  <c r="J80" i="1"/>
  <c r="I80" i="1"/>
  <c r="H80" i="1"/>
  <c r="G80" i="1"/>
  <c r="F80" i="1"/>
  <c r="E80" i="1"/>
  <c r="D80" i="1"/>
  <c r="C80" i="1"/>
  <c r="B80" i="1"/>
  <c r="A80" i="1"/>
  <c r="J79" i="1"/>
  <c r="I79" i="1"/>
  <c r="H79" i="1"/>
  <c r="G79" i="1"/>
  <c r="F79" i="1"/>
  <c r="E79" i="1"/>
  <c r="D79" i="1"/>
  <c r="C79" i="1"/>
  <c r="B79" i="1"/>
  <c r="A79" i="1"/>
  <c r="J78" i="1"/>
  <c r="I78" i="1"/>
  <c r="H78" i="1"/>
  <c r="G78" i="1"/>
  <c r="F78" i="1"/>
  <c r="E78" i="1"/>
  <c r="D78" i="1"/>
  <c r="C78" i="1"/>
  <c r="B78" i="1"/>
  <c r="A78" i="1"/>
  <c r="J77" i="1"/>
  <c r="I77" i="1"/>
  <c r="H77" i="1"/>
  <c r="G77" i="1"/>
  <c r="F77" i="1"/>
  <c r="E77" i="1"/>
  <c r="D77" i="1"/>
  <c r="C77" i="1"/>
  <c r="B77" i="1"/>
  <c r="A77" i="1"/>
  <c r="J76" i="1"/>
  <c r="I76" i="1"/>
  <c r="H76" i="1"/>
  <c r="G76" i="1"/>
  <c r="F76" i="1"/>
  <c r="E76" i="1"/>
  <c r="D76" i="1"/>
  <c r="C76" i="1"/>
  <c r="B76" i="1"/>
  <c r="A76" i="1"/>
  <c r="J75" i="1"/>
  <c r="I75" i="1"/>
  <c r="H75" i="1"/>
  <c r="G75" i="1"/>
  <c r="F75" i="1"/>
  <c r="E75" i="1"/>
  <c r="D75" i="1"/>
  <c r="C75" i="1"/>
  <c r="B75" i="1"/>
  <c r="A75" i="1"/>
  <c r="J74" i="1"/>
  <c r="I74" i="1"/>
  <c r="H74" i="1"/>
  <c r="G74" i="1"/>
  <c r="F74" i="1"/>
  <c r="E74" i="1"/>
  <c r="D74" i="1"/>
  <c r="C74" i="1"/>
  <c r="B74" i="1"/>
  <c r="A74" i="1"/>
  <c r="J73" i="1"/>
  <c r="I73" i="1"/>
  <c r="H73" i="1"/>
  <c r="G73" i="1"/>
  <c r="F73" i="1"/>
  <c r="E73" i="1"/>
  <c r="D73" i="1"/>
  <c r="C73" i="1"/>
  <c r="B73" i="1"/>
  <c r="A73" i="1"/>
  <c r="J72" i="1"/>
  <c r="I72" i="1"/>
  <c r="H72" i="1"/>
  <c r="G72" i="1"/>
  <c r="F72" i="1"/>
  <c r="E72" i="1"/>
  <c r="D72" i="1"/>
  <c r="C72" i="1"/>
  <c r="B72" i="1"/>
  <c r="A72" i="1"/>
  <c r="J71" i="1"/>
  <c r="I71" i="1"/>
  <c r="H71" i="1"/>
  <c r="G71" i="1"/>
  <c r="F71" i="1"/>
  <c r="E71" i="1"/>
  <c r="D71" i="1"/>
  <c r="C71" i="1"/>
  <c r="B71" i="1"/>
  <c r="A71" i="1"/>
  <c r="J70" i="1"/>
  <c r="I70" i="1"/>
  <c r="H70" i="1"/>
  <c r="G70" i="1"/>
  <c r="F70" i="1"/>
  <c r="E70" i="1"/>
  <c r="D70" i="1"/>
  <c r="C70" i="1"/>
  <c r="B70" i="1"/>
  <c r="A70" i="1"/>
  <c r="J69" i="1"/>
  <c r="I69" i="1"/>
  <c r="H69" i="1"/>
  <c r="G69" i="1"/>
  <c r="F69" i="1"/>
  <c r="E69" i="1"/>
  <c r="D69" i="1"/>
  <c r="C69" i="1"/>
  <c r="B69" i="1"/>
  <c r="A69" i="1"/>
  <c r="J68" i="1"/>
  <c r="I68" i="1"/>
  <c r="H68" i="1"/>
  <c r="G68" i="1"/>
  <c r="F68" i="1"/>
  <c r="E68" i="1"/>
  <c r="D68" i="1"/>
  <c r="C68" i="1"/>
  <c r="B68" i="1"/>
  <c r="A68" i="1"/>
  <c r="J67" i="1"/>
  <c r="I67" i="1"/>
  <c r="H67" i="1"/>
  <c r="G67" i="1"/>
  <c r="F67" i="1"/>
  <c r="E67" i="1"/>
  <c r="D67" i="1"/>
  <c r="C67" i="1"/>
  <c r="B67" i="1"/>
  <c r="A67" i="1"/>
  <c r="J66" i="1"/>
  <c r="I66" i="1"/>
  <c r="H66" i="1"/>
  <c r="G66" i="1"/>
  <c r="F66" i="1"/>
  <c r="E66" i="1"/>
  <c r="D66" i="1"/>
  <c r="C66" i="1"/>
  <c r="B66" i="1"/>
  <c r="A66" i="1"/>
  <c r="J65" i="1"/>
  <c r="I65" i="1"/>
  <c r="H65" i="1"/>
  <c r="G65" i="1"/>
  <c r="F65" i="1"/>
  <c r="E65" i="1"/>
  <c r="D65" i="1"/>
  <c r="C65" i="1"/>
  <c r="B65" i="1"/>
  <c r="A65" i="1"/>
  <c r="J64" i="1"/>
  <c r="I64" i="1"/>
  <c r="H64" i="1"/>
  <c r="G64" i="1"/>
  <c r="F64" i="1"/>
  <c r="E64" i="1"/>
  <c r="D64" i="1"/>
  <c r="C64" i="1"/>
  <c r="B64" i="1"/>
  <c r="A64" i="1"/>
  <c r="J63" i="1"/>
  <c r="I63" i="1"/>
  <c r="H63" i="1"/>
  <c r="G63" i="1"/>
  <c r="F63" i="1"/>
  <c r="E63" i="1"/>
  <c r="D63" i="1"/>
  <c r="C63" i="1"/>
  <c r="B63" i="1"/>
  <c r="A63" i="1"/>
  <c r="J62" i="1"/>
  <c r="I62" i="1"/>
  <c r="H62" i="1"/>
  <c r="G62" i="1"/>
  <c r="F62" i="1"/>
  <c r="E62" i="1"/>
  <c r="D62" i="1"/>
  <c r="C62" i="1"/>
  <c r="B62" i="1"/>
  <c r="A62" i="1"/>
  <c r="J61" i="1"/>
  <c r="I61" i="1"/>
  <c r="H61" i="1"/>
  <c r="G61" i="1"/>
  <c r="F61" i="1"/>
  <c r="E61" i="1"/>
  <c r="D61" i="1"/>
  <c r="C61" i="1"/>
  <c r="B61" i="1"/>
  <c r="A61" i="1"/>
  <c r="J60" i="1"/>
  <c r="I60" i="1"/>
  <c r="H60" i="1"/>
  <c r="G60" i="1"/>
  <c r="F60" i="1"/>
  <c r="E60" i="1"/>
  <c r="D60" i="1"/>
  <c r="C60" i="1"/>
  <c r="B60" i="1"/>
  <c r="A60" i="1"/>
  <c r="J59" i="1"/>
  <c r="I59" i="1"/>
  <c r="H59" i="1"/>
  <c r="G59" i="1"/>
  <c r="F59" i="1"/>
  <c r="E59" i="1"/>
  <c r="D59" i="1"/>
  <c r="C59" i="1"/>
  <c r="B59" i="1"/>
  <c r="A59" i="1"/>
  <c r="J58" i="1"/>
  <c r="I58" i="1"/>
  <c r="H58" i="1"/>
  <c r="G58" i="1"/>
  <c r="F58" i="1"/>
  <c r="E58" i="1"/>
  <c r="D58" i="1"/>
  <c r="C58" i="1"/>
  <c r="B58" i="1"/>
  <c r="A58" i="1"/>
  <c r="J57" i="1"/>
  <c r="I57" i="1"/>
  <c r="H57" i="1"/>
  <c r="G57" i="1"/>
  <c r="F57" i="1"/>
  <c r="E57" i="1"/>
  <c r="D57" i="1"/>
  <c r="C57" i="1"/>
  <c r="B57" i="1"/>
  <c r="A57" i="1"/>
  <c r="J56" i="1"/>
  <c r="I56" i="1"/>
  <c r="H56" i="1"/>
  <c r="G56" i="1"/>
  <c r="F56" i="1"/>
  <c r="E56" i="1"/>
  <c r="D56" i="1"/>
  <c r="C56" i="1"/>
  <c r="B56" i="1"/>
  <c r="A56" i="1"/>
  <c r="J55" i="1"/>
  <c r="I55" i="1"/>
  <c r="H55" i="1"/>
  <c r="G55" i="1"/>
  <c r="F55" i="1"/>
  <c r="E55" i="1"/>
  <c r="D55" i="1"/>
  <c r="C55" i="1"/>
  <c r="B55" i="1"/>
  <c r="A55" i="1"/>
  <c r="J54" i="1"/>
  <c r="I54" i="1"/>
  <c r="H54" i="1"/>
  <c r="G54" i="1"/>
  <c r="F54" i="1"/>
  <c r="E54" i="1"/>
  <c r="D54" i="1"/>
  <c r="C54" i="1"/>
  <c r="B54" i="1"/>
  <c r="A54" i="1"/>
  <c r="J53" i="1"/>
  <c r="I53" i="1"/>
  <c r="H53" i="1"/>
  <c r="G53" i="1"/>
  <c r="F53" i="1"/>
  <c r="E53" i="1"/>
  <c r="D53" i="1"/>
  <c r="C53" i="1"/>
  <c r="B53" i="1"/>
  <c r="A53" i="1"/>
  <c r="J52" i="1"/>
  <c r="I52" i="1"/>
  <c r="H52" i="1"/>
  <c r="G52" i="1"/>
  <c r="F52" i="1"/>
  <c r="E52" i="1"/>
  <c r="D52" i="1"/>
  <c r="C52" i="1"/>
  <c r="B52" i="1"/>
  <c r="A52" i="1"/>
  <c r="J51" i="1"/>
  <c r="I51" i="1"/>
  <c r="H51" i="1"/>
  <c r="G51" i="1"/>
  <c r="F51" i="1"/>
  <c r="E51" i="1"/>
  <c r="D51" i="1"/>
  <c r="C51" i="1"/>
  <c r="B51" i="1"/>
  <c r="A51" i="1"/>
  <c r="J50" i="1"/>
  <c r="I50" i="1"/>
  <c r="H50" i="1"/>
  <c r="G50" i="1"/>
  <c r="F50" i="1"/>
  <c r="E50" i="1"/>
  <c r="D50" i="1"/>
  <c r="C50" i="1"/>
  <c r="B50" i="1"/>
  <c r="A50" i="1"/>
  <c r="J49" i="1"/>
  <c r="I49" i="1"/>
  <c r="H49" i="1"/>
  <c r="G49" i="1"/>
  <c r="F49" i="1"/>
  <c r="E49" i="1"/>
  <c r="D49" i="1"/>
  <c r="C49" i="1"/>
  <c r="B49" i="1"/>
  <c r="A49" i="1"/>
  <c r="J48" i="1"/>
  <c r="I48" i="1"/>
  <c r="H48" i="1"/>
  <c r="G48" i="1"/>
  <c r="F48" i="1"/>
  <c r="E48" i="1"/>
  <c r="D48" i="1"/>
  <c r="C48" i="1"/>
  <c r="B48" i="1"/>
  <c r="A48" i="1"/>
  <c r="J47" i="1"/>
  <c r="I47" i="1"/>
  <c r="H47" i="1"/>
  <c r="G47" i="1"/>
  <c r="F47" i="1"/>
  <c r="E47" i="1"/>
  <c r="D47" i="1"/>
  <c r="C47" i="1"/>
  <c r="B47" i="1"/>
  <c r="A47" i="1"/>
  <c r="J46" i="1"/>
  <c r="I46" i="1"/>
  <c r="H46" i="1"/>
  <c r="G46" i="1"/>
  <c r="F46" i="1"/>
  <c r="E46" i="1"/>
  <c r="D46" i="1"/>
  <c r="C46" i="1"/>
  <c r="B46" i="1"/>
  <c r="A46" i="1"/>
  <c r="J45" i="1"/>
  <c r="I45" i="1"/>
  <c r="H45" i="1"/>
  <c r="G45" i="1"/>
  <c r="F45" i="1"/>
  <c r="E45" i="1"/>
  <c r="D45" i="1"/>
  <c r="C45" i="1"/>
  <c r="B45" i="1"/>
  <c r="A45" i="1"/>
  <c r="J44" i="1"/>
  <c r="I44" i="1"/>
  <c r="H44" i="1"/>
  <c r="G44" i="1"/>
  <c r="F44" i="1"/>
  <c r="E44" i="1"/>
  <c r="D44" i="1"/>
  <c r="C44" i="1"/>
  <c r="B44" i="1"/>
  <c r="A44" i="1"/>
  <c r="J43" i="1"/>
  <c r="I43" i="1"/>
  <c r="H43" i="1"/>
  <c r="G43" i="1"/>
  <c r="F43" i="1"/>
  <c r="E43" i="1"/>
  <c r="D43" i="1"/>
  <c r="C43" i="1"/>
  <c r="B43" i="1"/>
  <c r="A43" i="1"/>
  <c r="J42" i="1"/>
  <c r="I42" i="1"/>
  <c r="H42" i="1"/>
  <c r="G42" i="1"/>
  <c r="F42" i="1"/>
  <c r="E42" i="1"/>
  <c r="D42" i="1"/>
  <c r="C42" i="1"/>
  <c r="B42" i="1"/>
  <c r="A42" i="1"/>
  <c r="J41" i="1"/>
  <c r="I41" i="1"/>
  <c r="H41" i="1"/>
  <c r="G41" i="1"/>
  <c r="F41" i="1"/>
  <c r="E41" i="1"/>
  <c r="D41" i="1"/>
  <c r="C41" i="1"/>
  <c r="B41" i="1"/>
  <c r="A41" i="1"/>
  <c r="J40" i="1"/>
  <c r="I40" i="1"/>
  <c r="H40" i="1"/>
  <c r="G40" i="1"/>
  <c r="F40" i="1"/>
  <c r="E40" i="1"/>
  <c r="D40" i="1"/>
  <c r="C40" i="1"/>
  <c r="B40" i="1"/>
  <c r="A40" i="1"/>
  <c r="J39" i="1"/>
  <c r="I39" i="1"/>
  <c r="H39" i="1"/>
  <c r="G39" i="1"/>
  <c r="F39" i="1"/>
  <c r="E39" i="1"/>
  <c r="D39" i="1"/>
  <c r="C39" i="1"/>
  <c r="B39" i="1"/>
  <c r="A39" i="1"/>
  <c r="J38" i="1"/>
  <c r="I38" i="1"/>
  <c r="H38" i="1"/>
  <c r="G38" i="1"/>
  <c r="F38" i="1"/>
  <c r="E38" i="1"/>
  <c r="D38" i="1"/>
  <c r="C38" i="1"/>
  <c r="B38" i="1"/>
  <c r="A38" i="1"/>
  <c r="J37" i="1"/>
  <c r="I37" i="1"/>
  <c r="H37" i="1"/>
  <c r="G37" i="1"/>
  <c r="F37" i="1"/>
  <c r="E37" i="1"/>
  <c r="D37" i="1"/>
  <c r="C37" i="1"/>
  <c r="B37" i="1"/>
  <c r="A37" i="1"/>
  <c r="J36" i="1"/>
  <c r="H36" i="1"/>
  <c r="G36" i="1"/>
  <c r="F36" i="1"/>
  <c r="E36" i="1"/>
  <c r="D36" i="1"/>
  <c r="C36" i="1"/>
  <c r="B36" i="1"/>
  <c r="A36" i="1"/>
  <c r="J35" i="1"/>
  <c r="H35" i="1"/>
  <c r="G35" i="1"/>
  <c r="F35" i="1"/>
  <c r="E35" i="1"/>
  <c r="D35" i="1"/>
  <c r="C35" i="1"/>
  <c r="B35" i="1"/>
  <c r="A35" i="1"/>
  <c r="J34" i="1"/>
  <c r="H34" i="1"/>
  <c r="G34" i="1"/>
  <c r="F34" i="1"/>
  <c r="E34" i="1"/>
  <c r="D34" i="1"/>
  <c r="C34" i="1"/>
  <c r="B34" i="1"/>
  <c r="A34" i="1"/>
  <c r="J33" i="1"/>
  <c r="H33" i="1"/>
  <c r="G33" i="1"/>
  <c r="F33" i="1"/>
  <c r="E33" i="1"/>
  <c r="D33" i="1"/>
  <c r="C33" i="1"/>
  <c r="B33" i="1"/>
  <c r="A33" i="1"/>
  <c r="J32" i="1"/>
  <c r="H32" i="1"/>
  <c r="G32" i="1"/>
  <c r="F32" i="1"/>
  <c r="E32" i="1"/>
  <c r="D32" i="1"/>
  <c r="C32" i="1"/>
  <c r="B32" i="1"/>
  <c r="A32" i="1"/>
  <c r="J31" i="1"/>
  <c r="H31" i="1"/>
  <c r="G31" i="1"/>
  <c r="F31" i="1"/>
  <c r="E31" i="1"/>
  <c r="D31" i="1"/>
  <c r="C31" i="1"/>
  <c r="B31" i="1"/>
  <c r="A31" i="1"/>
  <c r="J30" i="1"/>
  <c r="H30" i="1"/>
  <c r="G30" i="1"/>
  <c r="F30" i="1"/>
  <c r="E30" i="1"/>
  <c r="D30" i="1"/>
  <c r="C30" i="1"/>
  <c r="B30" i="1"/>
  <c r="A30" i="1"/>
  <c r="J29" i="1"/>
  <c r="I29" i="1"/>
  <c r="H29" i="1"/>
  <c r="G29" i="1"/>
  <c r="F29" i="1"/>
  <c r="E29" i="1"/>
  <c r="D29" i="1"/>
  <c r="C29" i="1"/>
  <c r="B29" i="1"/>
  <c r="A29" i="1"/>
  <c r="J28" i="1"/>
  <c r="I28" i="1"/>
  <c r="H28" i="1"/>
  <c r="G28" i="1"/>
  <c r="F28" i="1"/>
  <c r="E28" i="1"/>
  <c r="D28" i="1"/>
  <c r="C28" i="1"/>
  <c r="B28" i="1"/>
  <c r="A28" i="1"/>
  <c r="J27" i="1"/>
  <c r="I27" i="1"/>
  <c r="H27" i="1"/>
  <c r="G27" i="1"/>
  <c r="F27" i="1"/>
  <c r="E27" i="1"/>
  <c r="D27" i="1"/>
  <c r="C27" i="1"/>
  <c r="B27" i="1"/>
  <c r="A27" i="1"/>
  <c r="J26" i="1"/>
  <c r="I26" i="1"/>
  <c r="H26" i="1"/>
  <c r="G26" i="1"/>
  <c r="F26" i="1"/>
  <c r="E26" i="1"/>
  <c r="D26" i="1"/>
  <c r="C26" i="1"/>
  <c r="B26" i="1"/>
  <c r="A26" i="1"/>
  <c r="J25" i="1"/>
  <c r="I25" i="1"/>
  <c r="H25" i="1"/>
  <c r="G25" i="1"/>
  <c r="F25" i="1"/>
  <c r="E25" i="1"/>
  <c r="D25" i="1"/>
  <c r="C25" i="1"/>
  <c r="B25" i="1"/>
  <c r="A25" i="1"/>
  <c r="J24" i="1"/>
  <c r="I24" i="1"/>
  <c r="H24" i="1"/>
  <c r="G24" i="1"/>
  <c r="F24" i="1"/>
  <c r="E24" i="1"/>
  <c r="D24" i="1"/>
  <c r="C24" i="1"/>
  <c r="B24" i="1"/>
  <c r="A24" i="1"/>
  <c r="J23" i="1"/>
  <c r="I23" i="1"/>
  <c r="H23" i="1"/>
  <c r="G23" i="1"/>
  <c r="F23" i="1"/>
  <c r="E23" i="1"/>
  <c r="D23" i="1"/>
  <c r="C23" i="1"/>
  <c r="B23" i="1"/>
  <c r="A23" i="1"/>
  <c r="J22" i="1"/>
  <c r="I22" i="1"/>
  <c r="H22" i="1"/>
  <c r="G22" i="1"/>
  <c r="F22" i="1"/>
  <c r="E22" i="1"/>
  <c r="D22" i="1"/>
  <c r="C22" i="1"/>
  <c r="B22" i="1"/>
  <c r="A22" i="1"/>
  <c r="J21" i="1"/>
  <c r="I21" i="1"/>
  <c r="H21" i="1"/>
  <c r="G21" i="1"/>
  <c r="F21" i="1"/>
  <c r="E21" i="1"/>
  <c r="D21" i="1"/>
  <c r="C21" i="1"/>
  <c r="B21" i="1"/>
  <c r="A21" i="1"/>
  <c r="J20" i="1"/>
  <c r="I20" i="1"/>
  <c r="H20" i="1"/>
  <c r="G20" i="1"/>
  <c r="F20" i="1"/>
  <c r="E20" i="1"/>
  <c r="D20" i="1"/>
  <c r="C20" i="1"/>
  <c r="B20" i="1"/>
  <c r="A20" i="1"/>
  <c r="J19" i="1"/>
  <c r="I19" i="1"/>
  <c r="H19" i="1"/>
  <c r="G19" i="1"/>
  <c r="F19" i="1"/>
  <c r="E19" i="1"/>
  <c r="D19" i="1"/>
  <c r="C19" i="1"/>
  <c r="B19" i="1"/>
  <c r="A19" i="1"/>
  <c r="J18" i="1"/>
  <c r="I18" i="1"/>
  <c r="H18" i="1"/>
  <c r="G18" i="1"/>
  <c r="F18" i="1"/>
  <c r="E18" i="1"/>
  <c r="D18" i="1"/>
  <c r="C18" i="1"/>
  <c r="B18" i="1"/>
  <c r="A18" i="1"/>
  <c r="J17" i="1"/>
  <c r="I17" i="1"/>
  <c r="H17" i="1"/>
  <c r="G17" i="1"/>
  <c r="F17" i="1"/>
  <c r="E17" i="1"/>
  <c r="D17" i="1"/>
  <c r="C17" i="1"/>
  <c r="B17" i="1"/>
  <c r="A17" i="1"/>
  <c r="J16" i="1"/>
  <c r="I16" i="1"/>
  <c r="H16" i="1"/>
  <c r="G16" i="1"/>
  <c r="F16" i="1"/>
  <c r="E16" i="1"/>
  <c r="D16" i="1"/>
  <c r="C16" i="1"/>
  <c r="B16" i="1"/>
  <c r="A16" i="1"/>
  <c r="J15" i="1"/>
  <c r="I15" i="1"/>
  <c r="H15" i="1"/>
  <c r="G15" i="1"/>
  <c r="F15" i="1"/>
  <c r="E15" i="1"/>
  <c r="D15" i="1"/>
  <c r="C15" i="1"/>
  <c r="B15" i="1"/>
  <c r="A15" i="1"/>
  <c r="J14" i="1"/>
  <c r="I14" i="1"/>
  <c r="H14" i="1"/>
  <c r="G14" i="1"/>
  <c r="F14" i="1"/>
  <c r="E14" i="1"/>
  <c r="D14" i="1"/>
  <c r="C14" i="1"/>
  <c r="B14" i="1"/>
  <c r="A14" i="1"/>
  <c r="J13" i="1"/>
  <c r="I13" i="1"/>
  <c r="H13" i="1"/>
  <c r="G13" i="1"/>
  <c r="F13" i="1"/>
  <c r="E13" i="1"/>
  <c r="D13" i="1"/>
  <c r="C13" i="1"/>
  <c r="B13" i="1"/>
  <c r="A13" i="1"/>
  <c r="J12" i="1"/>
  <c r="I12" i="1"/>
  <c r="H12" i="1"/>
  <c r="G12" i="1"/>
  <c r="F12" i="1"/>
  <c r="E12" i="1"/>
  <c r="D12" i="1"/>
  <c r="C12" i="1"/>
  <c r="B12" i="1"/>
  <c r="A12" i="1"/>
  <c r="J11" i="1"/>
  <c r="I11" i="1"/>
  <c r="H11" i="1"/>
  <c r="G11" i="1"/>
  <c r="F11" i="1"/>
  <c r="E11" i="1"/>
  <c r="D11" i="1"/>
  <c r="C11" i="1"/>
  <c r="B11" i="1"/>
  <c r="A11" i="1"/>
  <c r="J10" i="1"/>
  <c r="I10" i="1"/>
  <c r="H10" i="1"/>
  <c r="G10" i="1"/>
  <c r="F10" i="1"/>
  <c r="E10" i="1"/>
  <c r="D10" i="1"/>
  <c r="C10" i="1"/>
  <c r="B10" i="1"/>
  <c r="A10" i="1"/>
  <c r="J9" i="1"/>
  <c r="I9" i="1"/>
  <c r="H9" i="1"/>
  <c r="G9" i="1"/>
  <c r="F9" i="1"/>
  <c r="E9" i="1"/>
  <c r="D9" i="1"/>
  <c r="C9" i="1"/>
  <c r="B9" i="1"/>
  <c r="A9" i="1"/>
  <c r="J8" i="1"/>
  <c r="I8" i="1"/>
  <c r="H8" i="1"/>
  <c r="G8" i="1"/>
  <c r="F8" i="1"/>
  <c r="E8" i="1"/>
  <c r="D8" i="1"/>
  <c r="C8" i="1"/>
  <c r="B8" i="1"/>
  <c r="A8" i="1"/>
  <c r="J7" i="1"/>
  <c r="I7" i="1"/>
  <c r="H7" i="1"/>
  <c r="G7" i="1"/>
  <c r="F7" i="1"/>
  <c r="E7" i="1"/>
  <c r="D7" i="1"/>
  <c r="C7" i="1"/>
  <c r="B7" i="1"/>
  <c r="A7" i="1"/>
  <c r="J6" i="1"/>
  <c r="I6" i="1"/>
  <c r="H6" i="1"/>
  <c r="G6" i="1"/>
  <c r="F6" i="1"/>
  <c r="E6" i="1"/>
  <c r="D6" i="1"/>
  <c r="C6" i="1"/>
  <c r="B6" i="1"/>
  <c r="A6" i="1"/>
  <c r="J5" i="1"/>
  <c r="I5" i="1"/>
  <c r="H5" i="1"/>
  <c r="G5" i="1"/>
  <c r="F5" i="1"/>
  <c r="E5" i="1"/>
  <c r="D5" i="1"/>
  <c r="C5" i="1"/>
  <c r="B5" i="1"/>
  <c r="A5" i="1"/>
  <c r="J4" i="1"/>
  <c r="I4" i="1"/>
  <c r="H4" i="1"/>
  <c r="G4" i="1"/>
  <c r="F4" i="1"/>
  <c r="E4" i="1"/>
  <c r="D4" i="1"/>
  <c r="C4" i="1"/>
  <c r="B4" i="1"/>
  <c r="A4" i="1"/>
  <c r="J3" i="1"/>
  <c r="I3" i="1"/>
  <c r="H3" i="1"/>
  <c r="G3" i="1"/>
  <c r="F3" i="1"/>
  <c r="E3" i="1"/>
  <c r="D3" i="1"/>
  <c r="C3" i="1"/>
  <c r="B3" i="1"/>
  <c r="A3" i="1"/>
  <c r="J2" i="1"/>
  <c r="I2" i="1"/>
  <c r="H2" i="1"/>
  <c r="G2" i="1"/>
  <c r="F2" i="1"/>
  <c r="E2" i="1"/>
  <c r="D2" i="1"/>
  <c r="C2" i="1"/>
  <c r="B2" i="1"/>
  <c r="A2" i="1"/>
  <c r="J1" i="1"/>
  <c r="I1" i="1"/>
  <c r="H1" i="1"/>
  <c r="G1" i="1"/>
  <c r="F1" i="1"/>
  <c r="E1" i="1"/>
  <c r="D1" i="1"/>
  <c r="C1" i="1"/>
  <c r="B1" i="1"/>
  <c r="A1" i="1"/>
  <c r="L95" i="8"/>
  <c r="K95" i="8"/>
  <c r="J95" i="8"/>
  <c r="I95" i="8"/>
  <c r="H95" i="8"/>
  <c r="G95" i="8"/>
  <c r="L94" i="8"/>
  <c r="K94" i="8"/>
  <c r="J94" i="8"/>
  <c r="I94" i="8"/>
  <c r="H94" i="8"/>
  <c r="G94" i="8"/>
  <c r="L93" i="8"/>
  <c r="K93" i="8"/>
  <c r="J93" i="8"/>
  <c r="I93" i="8"/>
  <c r="H93" i="8"/>
  <c r="G93" i="8"/>
  <c r="L92" i="8"/>
  <c r="K92" i="8"/>
  <c r="J92" i="8"/>
  <c r="I92" i="8"/>
  <c r="H92" i="8"/>
  <c r="G92" i="8"/>
  <c r="L91" i="8"/>
  <c r="K91" i="8"/>
  <c r="J91" i="8"/>
  <c r="I91" i="8"/>
  <c r="H91" i="8"/>
  <c r="G91" i="8"/>
  <c r="L89" i="8"/>
  <c r="K89" i="8"/>
  <c r="J89" i="8"/>
  <c r="I89" i="8"/>
  <c r="H89" i="8"/>
  <c r="G89" i="8"/>
  <c r="L88" i="8"/>
  <c r="K88" i="8"/>
  <c r="J88" i="8"/>
  <c r="I88" i="8"/>
  <c r="H88" i="8"/>
  <c r="G88" i="8"/>
  <c r="L84" i="8"/>
  <c r="K84" i="8"/>
  <c r="J84" i="8"/>
  <c r="I84" i="8"/>
  <c r="H84" i="8"/>
  <c r="G84" i="8"/>
  <c r="L83" i="8"/>
  <c r="K83" i="8"/>
  <c r="J83" i="8"/>
  <c r="I83" i="8"/>
  <c r="H83" i="8"/>
  <c r="G83" i="8"/>
  <c r="L82" i="8"/>
  <c r="K82" i="8"/>
  <c r="J82" i="8"/>
  <c r="I82" i="8"/>
  <c r="H82" i="8"/>
  <c r="G82" i="8"/>
  <c r="L81" i="8"/>
  <c r="K81" i="8"/>
  <c r="J81" i="8"/>
  <c r="I81" i="8"/>
  <c r="H81" i="8"/>
  <c r="G81" i="8"/>
  <c r="L80" i="8"/>
  <c r="K80" i="8"/>
  <c r="J80" i="8"/>
  <c r="I80" i="8"/>
  <c r="H80" i="8"/>
  <c r="G80" i="8"/>
  <c r="L78" i="8"/>
  <c r="K78" i="8"/>
  <c r="J78" i="8"/>
  <c r="I78" i="8"/>
  <c r="H78" i="8"/>
  <c r="G78" i="8"/>
  <c r="L77" i="8"/>
  <c r="K77" i="8"/>
  <c r="J77" i="8"/>
  <c r="I77" i="8"/>
  <c r="H77" i="8"/>
  <c r="G77" i="8"/>
  <c r="L73" i="8"/>
  <c r="K73" i="8"/>
  <c r="J73" i="8"/>
  <c r="I73" i="8"/>
  <c r="H73" i="8"/>
  <c r="G73" i="8"/>
  <c r="L72" i="8"/>
  <c r="K72" i="8"/>
  <c r="J72" i="8"/>
  <c r="I72" i="8"/>
  <c r="H72" i="8"/>
  <c r="G72" i="8"/>
  <c r="L71" i="8"/>
  <c r="K71" i="8"/>
  <c r="J71" i="8"/>
  <c r="I71" i="8"/>
  <c r="H71" i="8"/>
  <c r="G71" i="8"/>
  <c r="L70" i="8"/>
  <c r="K70" i="8"/>
  <c r="J70" i="8"/>
  <c r="I70" i="8"/>
  <c r="H70" i="8"/>
  <c r="G70" i="8"/>
  <c r="L69" i="8"/>
  <c r="K69" i="8"/>
  <c r="J69" i="8"/>
  <c r="I69" i="8"/>
  <c r="H69" i="8"/>
  <c r="G69" i="8"/>
  <c r="L67" i="8"/>
  <c r="K67" i="8"/>
  <c r="J67" i="8"/>
  <c r="I67" i="8"/>
  <c r="H67" i="8"/>
  <c r="G67" i="8"/>
  <c r="L66" i="8"/>
  <c r="K66" i="8"/>
  <c r="J66" i="8"/>
  <c r="I66" i="8"/>
  <c r="H66" i="8"/>
  <c r="G66" i="8"/>
  <c r="L57" i="8"/>
  <c r="K57" i="8"/>
  <c r="J57" i="8"/>
  <c r="I57" i="8"/>
  <c r="H57" i="8"/>
  <c r="G57" i="8"/>
  <c r="D57" i="8"/>
  <c r="C57" i="8"/>
  <c r="B57" i="8"/>
  <c r="L56" i="8"/>
  <c r="K56" i="8"/>
  <c r="J56" i="8"/>
  <c r="I56" i="8"/>
  <c r="H56" i="8"/>
  <c r="G56" i="8"/>
  <c r="D56" i="8"/>
  <c r="C56" i="8"/>
  <c r="B56" i="8"/>
  <c r="L55" i="8"/>
  <c r="K55" i="8"/>
  <c r="J55" i="8"/>
  <c r="I55" i="8"/>
  <c r="H55" i="8"/>
  <c r="G55" i="8"/>
  <c r="D55" i="8"/>
  <c r="C55" i="8"/>
  <c r="B55" i="8"/>
  <c r="L54" i="8"/>
  <c r="K54" i="8"/>
  <c r="J54" i="8"/>
  <c r="I54" i="8"/>
  <c r="H54" i="8"/>
  <c r="G54" i="8"/>
  <c r="D54" i="8"/>
  <c r="C54" i="8"/>
  <c r="B54" i="8"/>
  <c r="L53" i="8"/>
  <c r="K53" i="8"/>
  <c r="J53" i="8"/>
  <c r="I53" i="8"/>
  <c r="H53" i="8"/>
  <c r="G53" i="8"/>
  <c r="D53" i="8"/>
  <c r="C53" i="8"/>
  <c r="B53" i="8"/>
  <c r="L52" i="8"/>
  <c r="K52" i="8"/>
  <c r="J52" i="8"/>
  <c r="I52" i="8"/>
  <c r="H52" i="8"/>
  <c r="G52" i="8"/>
  <c r="D52" i="8"/>
  <c r="C52" i="8"/>
  <c r="B52" i="8"/>
  <c r="L51" i="8"/>
  <c r="K51" i="8"/>
  <c r="J51" i="8"/>
  <c r="I51" i="8"/>
  <c r="H51" i="8"/>
  <c r="G51" i="8"/>
  <c r="D51" i="8"/>
  <c r="C51" i="8"/>
  <c r="B51" i="8"/>
  <c r="L50" i="8"/>
  <c r="K50" i="8"/>
  <c r="J50" i="8"/>
  <c r="I50" i="8"/>
  <c r="H50" i="8"/>
  <c r="G50" i="8"/>
  <c r="D50" i="8"/>
  <c r="C50" i="8"/>
  <c r="B50" i="8"/>
  <c r="L49" i="8"/>
  <c r="K49" i="8"/>
  <c r="J49" i="8"/>
  <c r="I49" i="8"/>
  <c r="H49" i="8"/>
  <c r="G49" i="8"/>
  <c r="D49" i="8"/>
  <c r="C49" i="8"/>
  <c r="B49" i="8"/>
  <c r="L48" i="8"/>
  <c r="K48" i="8"/>
  <c r="J48" i="8"/>
  <c r="I48" i="8"/>
  <c r="H48" i="8"/>
  <c r="G48" i="8"/>
  <c r="D48" i="8"/>
  <c r="C48" i="8"/>
  <c r="B48" i="8"/>
  <c r="L47" i="8"/>
  <c r="K47" i="8"/>
  <c r="J47" i="8"/>
  <c r="I47" i="8"/>
  <c r="H47" i="8"/>
  <c r="G47" i="8"/>
  <c r="D47" i="8"/>
  <c r="C47" i="8"/>
  <c r="B47" i="8"/>
  <c r="L46" i="8"/>
  <c r="K46" i="8"/>
  <c r="J46" i="8"/>
  <c r="I46" i="8"/>
  <c r="H46" i="8"/>
  <c r="G46" i="8"/>
  <c r="D46" i="8"/>
  <c r="C46" i="8"/>
  <c r="B46" i="8"/>
  <c r="L45" i="8"/>
  <c r="K45" i="8"/>
  <c r="J45" i="8"/>
  <c r="I45" i="8"/>
  <c r="H45" i="8"/>
  <c r="G45" i="8"/>
  <c r="D45" i="8"/>
  <c r="C45" i="8"/>
  <c r="B45" i="8"/>
  <c r="L44" i="8"/>
  <c r="K44" i="8"/>
  <c r="J44" i="8"/>
  <c r="I44" i="8"/>
  <c r="H44" i="8"/>
  <c r="G44" i="8"/>
  <c r="D44" i="8"/>
  <c r="C44" i="8"/>
  <c r="B44" i="8"/>
  <c r="L38" i="8"/>
  <c r="K38" i="8"/>
  <c r="J38" i="8"/>
  <c r="I38" i="8"/>
  <c r="H38" i="8"/>
  <c r="G38" i="8"/>
  <c r="D38" i="8"/>
  <c r="C38" i="8"/>
  <c r="B38" i="8"/>
  <c r="L37" i="8"/>
  <c r="K37" i="8"/>
  <c r="J37" i="8"/>
  <c r="I37" i="8"/>
  <c r="H37" i="8"/>
  <c r="G37" i="8"/>
  <c r="D37" i="8"/>
  <c r="C37" i="8"/>
  <c r="B37" i="8"/>
  <c r="L36" i="8"/>
  <c r="K36" i="8"/>
  <c r="J36" i="8"/>
  <c r="I36" i="8"/>
  <c r="H36" i="8"/>
  <c r="G36" i="8"/>
  <c r="D36" i="8"/>
  <c r="C36" i="8"/>
  <c r="B36" i="8"/>
  <c r="L35" i="8"/>
  <c r="K35" i="8"/>
  <c r="J35" i="8"/>
  <c r="I35" i="8"/>
  <c r="H35" i="8"/>
  <c r="G35" i="8"/>
  <c r="D35" i="8"/>
  <c r="C35" i="8"/>
  <c r="B35" i="8"/>
  <c r="L34" i="8"/>
  <c r="K34" i="8"/>
  <c r="J34" i="8"/>
  <c r="I34" i="8"/>
  <c r="H34" i="8"/>
  <c r="G34" i="8"/>
  <c r="D34" i="8"/>
  <c r="C34" i="8"/>
  <c r="B34" i="8"/>
  <c r="L33" i="8"/>
  <c r="K33" i="8"/>
  <c r="J33" i="8"/>
  <c r="I33" i="8"/>
  <c r="H33" i="8"/>
  <c r="G33" i="8"/>
  <c r="D33" i="8"/>
  <c r="C33" i="8"/>
  <c r="B33" i="8"/>
  <c r="L32" i="8"/>
  <c r="K32" i="8"/>
  <c r="J32" i="8"/>
  <c r="I32" i="8"/>
  <c r="H32" i="8"/>
  <c r="G32" i="8"/>
  <c r="D32" i="8"/>
  <c r="C32" i="8"/>
  <c r="B32" i="8"/>
  <c r="L31" i="8"/>
  <c r="K31" i="8"/>
  <c r="J31" i="8"/>
  <c r="I31" i="8"/>
  <c r="H31" i="8"/>
  <c r="G31" i="8"/>
  <c r="D31" i="8"/>
  <c r="C31" i="8"/>
  <c r="B31" i="8"/>
  <c r="L30" i="8"/>
  <c r="K30" i="8"/>
  <c r="J30" i="8"/>
  <c r="I30" i="8"/>
  <c r="H30" i="8"/>
  <c r="G30" i="8"/>
  <c r="D30" i="8"/>
  <c r="C30" i="8"/>
  <c r="B30" i="8"/>
  <c r="L29" i="8"/>
  <c r="K29" i="8"/>
  <c r="J29" i="8"/>
  <c r="I29" i="8"/>
  <c r="H29" i="8"/>
  <c r="G29" i="8"/>
  <c r="D29" i="8"/>
  <c r="C29" i="8"/>
  <c r="B29" i="8"/>
  <c r="L28" i="8"/>
  <c r="K28" i="8"/>
  <c r="J28" i="8"/>
  <c r="I28" i="8"/>
  <c r="H28" i="8"/>
  <c r="G28" i="8"/>
  <c r="D28" i="8"/>
  <c r="C28" i="8"/>
  <c r="B28" i="8"/>
  <c r="L27" i="8"/>
  <c r="K27" i="8"/>
  <c r="J27" i="8"/>
  <c r="I27" i="8"/>
  <c r="H27" i="8"/>
  <c r="G27" i="8"/>
  <c r="D27" i="8"/>
  <c r="C27" i="8"/>
  <c r="B27" i="8"/>
  <c r="L26" i="8"/>
  <c r="K26" i="8"/>
  <c r="J26" i="8"/>
  <c r="I26" i="8"/>
  <c r="H26" i="8"/>
  <c r="G26" i="8"/>
  <c r="D26" i="8"/>
  <c r="C26" i="8"/>
  <c r="B26" i="8"/>
  <c r="L25" i="8"/>
  <c r="K25" i="8"/>
  <c r="J25" i="8"/>
  <c r="I25" i="8"/>
  <c r="H25" i="8"/>
  <c r="G25" i="8"/>
  <c r="D25" i="8"/>
  <c r="C25" i="8"/>
  <c r="B25" i="8"/>
  <c r="L19" i="8"/>
  <c r="K19" i="8"/>
  <c r="J19" i="8"/>
  <c r="I19" i="8"/>
  <c r="H19" i="8"/>
  <c r="G19" i="8"/>
  <c r="D19" i="8"/>
  <c r="C19" i="8"/>
  <c r="B19" i="8"/>
  <c r="L18" i="8"/>
  <c r="K18" i="8"/>
  <c r="J18" i="8"/>
  <c r="I18" i="8"/>
  <c r="H18" i="8"/>
  <c r="G18" i="8"/>
  <c r="D18" i="8"/>
  <c r="C18" i="8"/>
  <c r="B18" i="8"/>
  <c r="L17" i="8"/>
  <c r="K17" i="8"/>
  <c r="J17" i="8"/>
  <c r="I17" i="8"/>
  <c r="H17" i="8"/>
  <c r="G17" i="8"/>
  <c r="D17" i="8"/>
  <c r="C17" i="8"/>
  <c r="B17" i="8"/>
  <c r="L16" i="8"/>
  <c r="K16" i="8"/>
  <c r="J16" i="8"/>
  <c r="I16" i="8"/>
  <c r="H16" i="8"/>
  <c r="G16" i="8"/>
  <c r="D16" i="8"/>
  <c r="C16" i="8"/>
  <c r="B16" i="8"/>
  <c r="L15" i="8"/>
  <c r="K15" i="8"/>
  <c r="J15" i="8"/>
  <c r="I15" i="8"/>
  <c r="H15" i="8"/>
  <c r="G15" i="8"/>
  <c r="D15" i="8"/>
  <c r="C15" i="8"/>
  <c r="B15" i="8"/>
  <c r="L14" i="8"/>
  <c r="K14" i="8"/>
  <c r="J14" i="8"/>
  <c r="I14" i="8"/>
  <c r="H14" i="8"/>
  <c r="G14" i="8"/>
  <c r="D14" i="8"/>
  <c r="C14" i="8"/>
  <c r="B14" i="8"/>
  <c r="L13" i="8"/>
  <c r="K13" i="8"/>
  <c r="J13" i="8"/>
  <c r="I13" i="8"/>
  <c r="H13" i="8"/>
  <c r="G13" i="8"/>
  <c r="D13" i="8"/>
  <c r="C13" i="8"/>
  <c r="B13" i="8"/>
  <c r="L12" i="8"/>
  <c r="K12" i="8"/>
  <c r="J12" i="8"/>
  <c r="I12" i="8"/>
  <c r="H12" i="8"/>
  <c r="G12" i="8"/>
  <c r="D12" i="8"/>
  <c r="C12" i="8"/>
  <c r="B12" i="8"/>
  <c r="L11" i="8"/>
  <c r="K11" i="8"/>
  <c r="J11" i="8"/>
  <c r="I11" i="8"/>
  <c r="H11" i="8"/>
  <c r="G11" i="8"/>
  <c r="D11" i="8"/>
  <c r="C11" i="8"/>
  <c r="B11" i="8"/>
  <c r="L10" i="8"/>
  <c r="K10" i="8"/>
  <c r="J10" i="8"/>
  <c r="I10" i="8"/>
  <c r="H10" i="8"/>
  <c r="G10" i="8"/>
  <c r="D10" i="8"/>
  <c r="C10" i="8"/>
  <c r="B10" i="8"/>
  <c r="L9" i="8"/>
  <c r="K9" i="8"/>
  <c r="J9" i="8"/>
  <c r="I9" i="8"/>
  <c r="H9" i="8"/>
  <c r="G9" i="8"/>
  <c r="D9" i="8"/>
  <c r="C9" i="8"/>
  <c r="B9" i="8"/>
  <c r="L8" i="8"/>
  <c r="K8" i="8"/>
  <c r="J8" i="8"/>
  <c r="I8" i="8"/>
  <c r="H8" i="8"/>
  <c r="G8" i="8"/>
  <c r="D8" i="8"/>
  <c r="C8" i="8"/>
  <c r="B8" i="8"/>
  <c r="L7" i="8"/>
  <c r="K7" i="8"/>
  <c r="J7" i="8"/>
  <c r="I7" i="8"/>
  <c r="H7" i="8"/>
  <c r="G7" i="8"/>
  <c r="D7" i="8"/>
  <c r="C7" i="8"/>
  <c r="B7" i="8"/>
  <c r="L6" i="8"/>
  <c r="K6" i="8"/>
  <c r="J6" i="8"/>
  <c r="I6" i="8"/>
  <c r="H6" i="8"/>
  <c r="G6" i="8"/>
  <c r="D6" i="8"/>
  <c r="C6" i="8"/>
  <c r="B6" i="8"/>
  <c r="B4" i="7" l="1"/>
  <c r="B48" i="7"/>
  <c r="B103" i="7"/>
  <c r="B114" i="7"/>
  <c r="B37" i="7"/>
  <c r="B147" i="7"/>
  <c r="B26" i="7"/>
  <c r="B81" i="7"/>
  <c r="B92" i="7"/>
  <c r="B136" i="7"/>
  <c r="B15" i="7"/>
  <c r="B59" i="7"/>
  <c r="B70" i="7"/>
  <c r="B125" i="7"/>
  <c r="B158" i="7" l="1"/>
  <c r="H158" i="20" l="1"/>
  <c r="G158" i="20"/>
  <c r="F158" i="20"/>
  <c r="E158" i="20"/>
  <c r="D158" i="20"/>
  <c r="C158" i="20"/>
  <c r="B158" i="20"/>
  <c r="H147" i="20"/>
  <c r="G147" i="20"/>
  <c r="F147" i="20"/>
  <c r="E147" i="20"/>
  <c r="D147" i="20"/>
  <c r="C147" i="20"/>
  <c r="B147" i="20"/>
  <c r="H136" i="20"/>
  <c r="G136" i="20"/>
  <c r="F136" i="20"/>
  <c r="E136" i="20"/>
  <c r="D136" i="20"/>
  <c r="C136" i="20"/>
  <c r="B136" i="20"/>
  <c r="H125" i="20"/>
  <c r="G125" i="20"/>
  <c r="F125" i="20"/>
  <c r="E125" i="20"/>
  <c r="D125" i="20"/>
  <c r="C125" i="20"/>
  <c r="B125" i="20"/>
  <c r="H114" i="20"/>
  <c r="G114" i="20"/>
  <c r="F114" i="20"/>
  <c r="E114" i="20"/>
  <c r="D114" i="20"/>
  <c r="C114" i="20"/>
  <c r="B114" i="20"/>
  <c r="H103" i="20"/>
  <c r="G103" i="20"/>
  <c r="F103" i="20"/>
  <c r="E103" i="20"/>
  <c r="D103" i="20"/>
  <c r="C103" i="20"/>
  <c r="B103" i="20"/>
  <c r="H92" i="20"/>
  <c r="G92" i="20"/>
  <c r="F92" i="20"/>
  <c r="E92" i="20"/>
  <c r="D92" i="20"/>
  <c r="C92" i="20"/>
  <c r="B92" i="20"/>
  <c r="H81" i="20"/>
  <c r="G81" i="20"/>
  <c r="F81" i="20"/>
  <c r="E81" i="20"/>
  <c r="D81" i="20"/>
  <c r="C81" i="20"/>
  <c r="B81" i="20"/>
  <c r="H70" i="20"/>
  <c r="G70" i="20"/>
  <c r="F70" i="20"/>
  <c r="E70" i="20"/>
  <c r="D70" i="20"/>
  <c r="C70" i="20"/>
  <c r="B70" i="20"/>
  <c r="H59" i="20"/>
  <c r="G59" i="20"/>
  <c r="F59" i="20"/>
  <c r="E59" i="20"/>
  <c r="D59" i="20"/>
  <c r="C59" i="20"/>
  <c r="B59" i="20"/>
  <c r="H48" i="20"/>
  <c r="G48" i="20"/>
  <c r="F48" i="20"/>
  <c r="E48" i="20"/>
  <c r="D48" i="20"/>
  <c r="C48" i="20"/>
  <c r="B48" i="20"/>
  <c r="H37" i="20"/>
  <c r="G37" i="20"/>
  <c r="F37" i="20"/>
  <c r="E37" i="20"/>
  <c r="D37" i="20"/>
  <c r="C37" i="20"/>
  <c r="B37" i="20"/>
  <c r="H26" i="20"/>
  <c r="G26" i="20"/>
  <c r="F26" i="20"/>
  <c r="E26" i="20"/>
  <c r="D26" i="20"/>
  <c r="C26" i="20"/>
  <c r="B26" i="20"/>
  <c r="H15" i="20"/>
  <c r="G15" i="20"/>
  <c r="F15" i="20"/>
  <c r="E15" i="20"/>
  <c r="D15" i="20"/>
  <c r="C15" i="20"/>
  <c r="B15" i="20"/>
  <c r="H4" i="20"/>
  <c r="G4" i="20"/>
  <c r="F4" i="20"/>
  <c r="E4" i="20"/>
  <c r="D4" i="20"/>
  <c r="C4" i="20"/>
  <c r="B4" i="20"/>
  <c r="D169" i="20" l="1"/>
  <c r="C169" i="20"/>
  <c r="G169" i="20"/>
  <c r="H169" i="20"/>
  <c r="B169" i="20"/>
  <c r="F169" i="20"/>
  <c r="E169" i="20"/>
  <c r="B169" i="7" l="1"/>
  <c r="B1073" i="2" l="1"/>
  <c r="B1072" i="2"/>
  <c r="B1071" i="2"/>
  <c r="B1070" i="2"/>
  <c r="B1069" i="2"/>
  <c r="B1068" i="2"/>
  <c r="B1066" i="2"/>
  <c r="B1065" i="2"/>
  <c r="B1064" i="2"/>
  <c r="B1063" i="2"/>
  <c r="B1062" i="2"/>
  <c r="B1061" i="2"/>
  <c r="B1060" i="2"/>
  <c r="B1059" i="2"/>
  <c r="B1058" i="2"/>
  <c r="B1056" i="2"/>
  <c r="B1055" i="2"/>
  <c r="B1054" i="2"/>
  <c r="B1053" i="2"/>
  <c r="B1052" i="2"/>
  <c r="B1051" i="2"/>
  <c r="B1050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0" i="2"/>
  <c r="B1029" i="2"/>
  <c r="B1028" i="2"/>
  <c r="B1027" i="2"/>
  <c r="B1026" i="2"/>
  <c r="B1025" i="2"/>
  <c r="B1024" i="2"/>
  <c r="B1023" i="2"/>
  <c r="B1022" i="2"/>
  <c r="B1020" i="2"/>
  <c r="B1019" i="2"/>
  <c r="B1018" i="2"/>
  <c r="B1017" i="2"/>
  <c r="B1016" i="2"/>
  <c r="B1015" i="2"/>
  <c r="B1014" i="2"/>
  <c r="B1013" i="2"/>
  <c r="B1012" i="2"/>
  <c r="B1010" i="2"/>
  <c r="B1009" i="2"/>
  <c r="B1008" i="2"/>
  <c r="B1007" i="2"/>
  <c r="B1006" i="2"/>
  <c r="B1005" i="2"/>
  <c r="B1004" i="2"/>
  <c r="B1002" i="2"/>
  <c r="B1001" i="2"/>
  <c r="B1000" i="2"/>
  <c r="B999" i="2"/>
  <c r="B998" i="2"/>
  <c r="B997" i="2"/>
  <c r="B996" i="2"/>
  <c r="B995" i="2"/>
  <c r="B994" i="2"/>
  <c r="B992" i="2"/>
  <c r="B991" i="2"/>
  <c r="B990" i="2"/>
  <c r="B989" i="2"/>
  <c r="B988" i="2"/>
  <c r="B987" i="2"/>
  <c r="B986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6" i="2"/>
  <c r="B965" i="2"/>
  <c r="B964" i="2"/>
  <c r="B963" i="2"/>
  <c r="B962" i="2"/>
  <c r="B961" i="2"/>
  <c r="B960" i="2"/>
  <c r="B959" i="2"/>
  <c r="B958" i="2"/>
  <c r="B956" i="2"/>
  <c r="B955" i="2"/>
  <c r="B954" i="2"/>
  <c r="B953" i="2"/>
  <c r="B952" i="2"/>
  <c r="B951" i="2"/>
  <c r="B950" i="2"/>
  <c r="B949" i="2"/>
  <c r="B948" i="2"/>
  <c r="B946" i="2"/>
  <c r="B945" i="2"/>
  <c r="B944" i="2"/>
  <c r="B943" i="2"/>
  <c r="B942" i="2"/>
  <c r="B941" i="2"/>
  <c r="B940" i="2"/>
  <c r="B938" i="2"/>
  <c r="B937" i="2"/>
  <c r="B936" i="2"/>
  <c r="B935" i="2"/>
  <c r="B934" i="2"/>
  <c r="B933" i="2"/>
  <c r="B932" i="2"/>
  <c r="B931" i="2"/>
  <c r="B930" i="2"/>
  <c r="B928" i="2"/>
  <c r="B927" i="2"/>
  <c r="B926" i="2"/>
  <c r="B925" i="2"/>
  <c r="B924" i="2"/>
  <c r="B923" i="2"/>
  <c r="B922" i="2"/>
  <c r="B920" i="2"/>
  <c r="B919" i="2"/>
  <c r="B918" i="2"/>
  <c r="B917" i="2"/>
  <c r="B916" i="2"/>
  <c r="B915" i="2"/>
  <c r="B914" i="2"/>
  <c r="B913" i="2"/>
  <c r="B912" i="2"/>
  <c r="B911" i="2"/>
  <c r="B910" i="2"/>
  <c r="B909" i="2"/>
  <c r="B908" i="2"/>
  <c r="B907" i="2"/>
  <c r="B906" i="2"/>
  <c r="B905" i="2"/>
  <c r="B904" i="2"/>
  <c r="B902" i="2"/>
  <c r="B901" i="2"/>
  <c r="B900" i="2"/>
  <c r="B899" i="2"/>
  <c r="B898" i="2"/>
  <c r="B897" i="2"/>
  <c r="B896" i="2"/>
  <c r="B895" i="2"/>
  <c r="B894" i="2"/>
  <c r="B892" i="2"/>
  <c r="B891" i="2"/>
  <c r="B890" i="2"/>
  <c r="B889" i="2"/>
  <c r="B888" i="2"/>
  <c r="B887" i="2"/>
  <c r="B886" i="2"/>
  <c r="B885" i="2"/>
  <c r="B884" i="2"/>
  <c r="B882" i="2"/>
  <c r="B881" i="2"/>
  <c r="B880" i="2"/>
  <c r="B879" i="2"/>
  <c r="B878" i="2"/>
  <c r="B877" i="2"/>
  <c r="B876" i="2"/>
  <c r="B874" i="2"/>
  <c r="B873" i="2"/>
  <c r="B872" i="2"/>
  <c r="B871" i="2"/>
  <c r="B870" i="2"/>
  <c r="B869" i="2"/>
  <c r="B868" i="2"/>
  <c r="B867" i="2"/>
  <c r="B866" i="2"/>
  <c r="B864" i="2"/>
  <c r="B863" i="2"/>
  <c r="B862" i="2"/>
  <c r="B861" i="2"/>
  <c r="B860" i="2"/>
  <c r="B859" i="2"/>
  <c r="B858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8" i="2"/>
  <c r="B837" i="2"/>
  <c r="B836" i="2"/>
  <c r="B835" i="2"/>
  <c r="B834" i="2"/>
  <c r="B833" i="2"/>
  <c r="B832" i="2"/>
  <c r="B831" i="2"/>
  <c r="B830" i="2"/>
  <c r="B828" i="2"/>
  <c r="B827" i="2"/>
  <c r="B826" i="2"/>
  <c r="B825" i="2"/>
  <c r="B824" i="2"/>
  <c r="B823" i="2"/>
  <c r="B822" i="2"/>
  <c r="B821" i="2"/>
  <c r="B820" i="2"/>
  <c r="B818" i="2"/>
  <c r="B817" i="2"/>
  <c r="B816" i="2"/>
  <c r="B815" i="2"/>
  <c r="B814" i="2"/>
  <c r="B813" i="2"/>
  <c r="B812" i="2"/>
  <c r="B810" i="2"/>
  <c r="B809" i="2"/>
  <c r="B808" i="2"/>
  <c r="B807" i="2"/>
  <c r="B806" i="2"/>
  <c r="B805" i="2"/>
  <c r="B804" i="2"/>
  <c r="B803" i="2"/>
  <c r="B802" i="2"/>
  <c r="B800" i="2"/>
  <c r="B799" i="2"/>
  <c r="B798" i="2"/>
  <c r="B797" i="2"/>
  <c r="B796" i="2"/>
  <c r="B795" i="2"/>
  <c r="B794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4" i="2"/>
  <c r="B773" i="2"/>
  <c r="B772" i="2"/>
  <c r="B771" i="2"/>
  <c r="B770" i="2"/>
  <c r="B769" i="2"/>
  <c r="B768" i="2"/>
  <c r="B767" i="2"/>
  <c r="B766" i="2"/>
  <c r="B764" i="2"/>
  <c r="B763" i="2"/>
  <c r="B762" i="2"/>
  <c r="B761" i="2"/>
  <c r="B760" i="2"/>
  <c r="B759" i="2"/>
  <c r="B758" i="2"/>
  <c r="B757" i="2"/>
  <c r="B756" i="2"/>
  <c r="B754" i="2"/>
  <c r="B753" i="2"/>
  <c r="B752" i="2"/>
  <c r="B751" i="2"/>
  <c r="B750" i="2"/>
  <c r="B749" i="2"/>
  <c r="B748" i="2"/>
  <c r="B746" i="2"/>
  <c r="B745" i="2"/>
  <c r="B744" i="2"/>
  <c r="B743" i="2"/>
  <c r="B742" i="2"/>
  <c r="B741" i="2"/>
  <c r="B740" i="2"/>
  <c r="B739" i="2"/>
  <c r="B738" i="2"/>
  <c r="B736" i="2"/>
  <c r="B735" i="2"/>
  <c r="B734" i="2"/>
  <c r="B733" i="2"/>
  <c r="B732" i="2"/>
  <c r="B731" i="2"/>
  <c r="B730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0" i="2"/>
  <c r="B709" i="2"/>
  <c r="B708" i="2"/>
  <c r="B707" i="2"/>
  <c r="B706" i="2"/>
  <c r="B705" i="2"/>
  <c r="B704" i="2"/>
  <c r="B703" i="2"/>
  <c r="B702" i="2"/>
  <c r="B700" i="2"/>
  <c r="B699" i="2"/>
  <c r="B698" i="2"/>
  <c r="B697" i="2"/>
  <c r="B696" i="2"/>
  <c r="B695" i="2"/>
  <c r="B694" i="2"/>
  <c r="B693" i="2"/>
  <c r="B692" i="2"/>
  <c r="B690" i="2"/>
  <c r="B689" i="2"/>
  <c r="B688" i="2"/>
  <c r="B687" i="2"/>
  <c r="B686" i="2"/>
  <c r="B685" i="2"/>
  <c r="B684" i="2"/>
  <c r="B682" i="2"/>
  <c r="B681" i="2"/>
  <c r="B680" i="2"/>
  <c r="B679" i="2"/>
  <c r="B678" i="2"/>
  <c r="B677" i="2"/>
  <c r="B676" i="2"/>
  <c r="B675" i="2"/>
  <c r="B674" i="2"/>
  <c r="B672" i="2"/>
  <c r="B671" i="2"/>
  <c r="B670" i="2"/>
  <c r="B669" i="2"/>
  <c r="B668" i="2"/>
  <c r="B667" i="2"/>
  <c r="B666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6" i="2"/>
  <c r="B645" i="2"/>
  <c r="B644" i="2"/>
  <c r="B643" i="2"/>
  <c r="B642" i="2"/>
  <c r="B641" i="2"/>
  <c r="B640" i="2"/>
  <c r="B639" i="2"/>
  <c r="B638" i="2"/>
  <c r="B636" i="2"/>
  <c r="B635" i="2"/>
  <c r="B634" i="2"/>
  <c r="B633" i="2"/>
  <c r="B632" i="2"/>
  <c r="B631" i="2"/>
  <c r="B630" i="2"/>
  <c r="B629" i="2"/>
  <c r="B628" i="2"/>
  <c r="B626" i="2"/>
  <c r="B625" i="2"/>
  <c r="B624" i="2"/>
  <c r="B623" i="2"/>
  <c r="B622" i="2"/>
  <c r="B621" i="2"/>
  <c r="B620" i="2"/>
  <c r="B618" i="2"/>
  <c r="B617" i="2"/>
  <c r="B616" i="2"/>
  <c r="B615" i="2"/>
  <c r="B614" i="2"/>
  <c r="B613" i="2"/>
  <c r="B612" i="2"/>
  <c r="B611" i="2"/>
  <c r="B610" i="2"/>
  <c r="B608" i="2"/>
  <c r="B607" i="2"/>
  <c r="B606" i="2"/>
  <c r="B605" i="2"/>
  <c r="B604" i="2"/>
  <c r="B603" i="2"/>
  <c r="B602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2" i="2"/>
  <c r="B581" i="2"/>
  <c r="B580" i="2"/>
  <c r="B579" i="2"/>
  <c r="B578" i="2"/>
  <c r="B577" i="2"/>
  <c r="B576" i="2"/>
  <c r="B575" i="2"/>
  <c r="B574" i="2"/>
  <c r="B572" i="2"/>
  <c r="B571" i="2"/>
  <c r="B570" i="2"/>
  <c r="B569" i="2"/>
  <c r="B568" i="2"/>
  <c r="B567" i="2"/>
  <c r="B566" i="2"/>
  <c r="B565" i="2"/>
  <c r="B564" i="2"/>
  <c r="B562" i="2"/>
  <c r="B561" i="2"/>
  <c r="B560" i="2"/>
  <c r="B559" i="2"/>
  <c r="B558" i="2"/>
  <c r="B557" i="2"/>
  <c r="B556" i="2"/>
  <c r="B554" i="2"/>
  <c r="B553" i="2"/>
  <c r="B552" i="2"/>
  <c r="B551" i="2"/>
  <c r="B550" i="2"/>
  <c r="B549" i="2"/>
  <c r="B548" i="2"/>
  <c r="B547" i="2"/>
  <c r="B546" i="2"/>
  <c r="B544" i="2"/>
  <c r="B543" i="2"/>
  <c r="B542" i="2"/>
  <c r="B541" i="2"/>
  <c r="B540" i="2"/>
  <c r="B539" i="2"/>
  <c r="B538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8" i="2"/>
  <c r="B517" i="2"/>
  <c r="B516" i="2"/>
  <c r="B515" i="2"/>
  <c r="B514" i="2"/>
  <c r="B513" i="2"/>
  <c r="B512" i="2"/>
  <c r="B511" i="2"/>
  <c r="B510" i="2"/>
  <c r="B508" i="2"/>
  <c r="B507" i="2"/>
  <c r="B506" i="2"/>
  <c r="B505" i="2"/>
  <c r="B504" i="2"/>
  <c r="B503" i="2"/>
  <c r="B502" i="2"/>
  <c r="B501" i="2"/>
  <c r="B500" i="2"/>
  <c r="B498" i="2"/>
  <c r="B497" i="2"/>
  <c r="B496" i="2"/>
  <c r="B495" i="2"/>
  <c r="B494" i="2"/>
  <c r="B493" i="2"/>
  <c r="B492" i="2"/>
  <c r="B490" i="2"/>
  <c r="B489" i="2"/>
  <c r="B488" i="2"/>
  <c r="B487" i="2"/>
  <c r="B486" i="2"/>
  <c r="B485" i="2"/>
  <c r="B484" i="2"/>
  <c r="B483" i="2"/>
  <c r="B482" i="2"/>
  <c r="B480" i="2"/>
  <c r="B479" i="2"/>
  <c r="B478" i="2"/>
  <c r="B477" i="2"/>
  <c r="B476" i="2"/>
  <c r="B475" i="2"/>
  <c r="B474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60" i="2"/>
  <c r="B459" i="2"/>
  <c r="B458" i="2"/>
  <c r="B457" i="2"/>
  <c r="B456" i="2"/>
  <c r="B454" i="2"/>
  <c r="B453" i="2"/>
  <c r="B452" i="2"/>
  <c r="B451" i="2"/>
  <c r="B450" i="2"/>
  <c r="B449" i="2"/>
  <c r="B448" i="2"/>
  <c r="B447" i="2"/>
  <c r="B446" i="2"/>
  <c r="B444" i="2"/>
  <c r="B443" i="2"/>
  <c r="B442" i="2"/>
  <c r="B441" i="2"/>
  <c r="B440" i="2"/>
  <c r="B439" i="2"/>
  <c r="B438" i="2"/>
  <c r="B437" i="2"/>
  <c r="B436" i="2"/>
  <c r="B434" i="2"/>
  <c r="B433" i="2"/>
  <c r="B432" i="2"/>
  <c r="B431" i="2"/>
  <c r="B430" i="2"/>
  <c r="B429" i="2"/>
  <c r="B428" i="2"/>
  <c r="B426" i="2"/>
  <c r="B425" i="2"/>
  <c r="B424" i="2"/>
  <c r="B423" i="2"/>
  <c r="B422" i="2"/>
  <c r="B421" i="2"/>
  <c r="B420" i="2"/>
  <c r="B419" i="2"/>
  <c r="B418" i="2"/>
  <c r="B416" i="2"/>
  <c r="B415" i="2"/>
  <c r="B414" i="2"/>
  <c r="B413" i="2"/>
  <c r="B412" i="2"/>
  <c r="B411" i="2"/>
  <c r="B410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0" i="2"/>
  <c r="B389" i="2"/>
  <c r="B388" i="2"/>
  <c r="B387" i="2"/>
  <c r="B386" i="2"/>
  <c r="B385" i="2"/>
  <c r="B384" i="2"/>
  <c r="B383" i="2"/>
  <c r="B382" i="2"/>
  <c r="B380" i="2"/>
  <c r="B379" i="2"/>
  <c r="B378" i="2"/>
  <c r="B377" i="2"/>
  <c r="B376" i="2"/>
  <c r="B375" i="2"/>
  <c r="B374" i="2"/>
  <c r="B373" i="2"/>
  <c r="B372" i="2"/>
  <c r="B370" i="2"/>
  <c r="B369" i="2"/>
  <c r="B368" i="2"/>
  <c r="B367" i="2"/>
  <c r="B366" i="2"/>
  <c r="B365" i="2"/>
  <c r="B364" i="2"/>
  <c r="B362" i="2"/>
  <c r="B361" i="2"/>
  <c r="B360" i="2"/>
  <c r="B359" i="2"/>
  <c r="B358" i="2"/>
  <c r="B357" i="2"/>
  <c r="B356" i="2"/>
  <c r="B355" i="2"/>
  <c r="B354" i="2"/>
  <c r="B352" i="2"/>
  <c r="B351" i="2"/>
  <c r="B350" i="2"/>
  <c r="B349" i="2"/>
  <c r="B348" i="2"/>
  <c r="B347" i="2"/>
  <c r="B346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6" i="2"/>
  <c r="B325" i="2"/>
  <c r="B324" i="2"/>
  <c r="B323" i="2"/>
  <c r="B322" i="2"/>
  <c r="B321" i="2"/>
  <c r="B320" i="2"/>
  <c r="B319" i="2"/>
  <c r="A319" i="2"/>
  <c r="A48" i="20" s="1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8" i="2"/>
  <c r="B297" i="2"/>
  <c r="B296" i="2"/>
  <c r="B295" i="2"/>
  <c r="B294" i="2"/>
  <c r="B293" i="2"/>
  <c r="B292" i="2"/>
  <c r="B291" i="2"/>
  <c r="B290" i="2"/>
  <c r="B288" i="2"/>
  <c r="B287" i="2"/>
  <c r="B286" i="2"/>
  <c r="B285" i="2"/>
  <c r="B284" i="2"/>
  <c r="B283" i="2"/>
  <c r="B282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2" i="2"/>
  <c r="B251" i="2"/>
  <c r="B250" i="2"/>
  <c r="B249" i="2"/>
  <c r="B248" i="2"/>
  <c r="B247" i="2"/>
  <c r="B246" i="2"/>
  <c r="B245" i="2"/>
  <c r="B244" i="2"/>
  <c r="B242" i="2"/>
  <c r="B241" i="2"/>
  <c r="B240" i="2"/>
  <c r="B239" i="2"/>
  <c r="B238" i="2"/>
  <c r="B237" i="2"/>
  <c r="B236" i="2"/>
  <c r="B234" i="2"/>
  <c r="B233" i="2"/>
  <c r="B232" i="2"/>
  <c r="B231" i="2"/>
  <c r="B230" i="2"/>
  <c r="B229" i="2"/>
  <c r="B228" i="2"/>
  <c r="B227" i="2"/>
  <c r="B226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8" i="2"/>
  <c r="B197" i="2"/>
  <c r="B196" i="2"/>
  <c r="B195" i="2"/>
  <c r="B194" i="2"/>
  <c r="B193" i="2"/>
  <c r="B192" i="2"/>
  <c r="B191" i="2"/>
  <c r="B190" i="2"/>
  <c r="B188" i="2"/>
  <c r="B187" i="2"/>
  <c r="B186" i="2"/>
  <c r="B185" i="2"/>
  <c r="B184" i="2"/>
  <c r="B183" i="2"/>
  <c r="B182" i="2"/>
  <c r="B181" i="2"/>
  <c r="B180" i="2"/>
  <c r="B178" i="2"/>
  <c r="B177" i="2"/>
  <c r="B176" i="2"/>
  <c r="B175" i="2"/>
  <c r="B174" i="2"/>
  <c r="B173" i="2"/>
  <c r="B172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4" i="2"/>
  <c r="B133" i="2"/>
  <c r="B132" i="2"/>
  <c r="B131" i="2"/>
  <c r="B130" i="2"/>
  <c r="B129" i="2"/>
  <c r="B128" i="2"/>
  <c r="B127" i="2"/>
  <c r="B126" i="2"/>
  <c r="B124" i="2"/>
  <c r="B123" i="2"/>
  <c r="B122" i="2"/>
  <c r="B121" i="2"/>
  <c r="B120" i="2"/>
  <c r="B119" i="2"/>
  <c r="B118" i="2"/>
  <c r="B117" i="2"/>
  <c r="B116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6" i="2"/>
  <c r="B95" i="2"/>
  <c r="B94" i="2"/>
  <c r="B93" i="2"/>
  <c r="B92" i="2"/>
  <c r="B91" i="2"/>
  <c r="B90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0" i="2"/>
  <c r="B69" i="2"/>
  <c r="B68" i="2"/>
  <c r="B67" i="2"/>
  <c r="B66" i="2"/>
  <c r="B65" i="2"/>
  <c r="B64" i="2"/>
  <c r="B63" i="2"/>
  <c r="B62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H3" i="20" s="1"/>
  <c r="B9" i="2"/>
  <c r="G3" i="20" s="1"/>
  <c r="B8" i="2"/>
  <c r="F3" i="20" s="1"/>
  <c r="B7" i="2"/>
  <c r="E3" i="20" s="1"/>
  <c r="B6" i="2"/>
  <c r="D3" i="20" s="1"/>
  <c r="B5" i="2"/>
  <c r="C3" i="20" s="1"/>
  <c r="B4" i="2"/>
  <c r="B3" i="20" s="1"/>
  <c r="B1074" i="2"/>
  <c r="B1021" i="2"/>
  <c r="B957" i="2"/>
  <c r="B893" i="2"/>
  <c r="B829" i="2"/>
  <c r="B765" i="2"/>
  <c r="B701" i="2"/>
  <c r="B637" i="2"/>
  <c r="B573" i="2"/>
  <c r="B509" i="2"/>
  <c r="B445" i="2"/>
  <c r="B381" i="2"/>
  <c r="B253" i="2"/>
  <c r="B189" i="2"/>
  <c r="B125" i="2"/>
  <c r="B61" i="2"/>
  <c r="B1067" i="2"/>
  <c r="B1057" i="2"/>
  <c r="B1049" i="2"/>
  <c r="B1031" i="2"/>
  <c r="B1011" i="2"/>
  <c r="B1003" i="2"/>
  <c r="B993" i="2"/>
  <c r="B985" i="2"/>
  <c r="B967" i="2"/>
  <c r="B947" i="2"/>
  <c r="B939" i="2"/>
  <c r="B929" i="2"/>
  <c r="B921" i="2"/>
  <c r="B903" i="2"/>
  <c r="B883" i="2"/>
  <c r="B875" i="2"/>
  <c r="B865" i="2"/>
  <c r="B857" i="2"/>
  <c r="B839" i="2"/>
  <c r="B819" i="2"/>
  <c r="B811" i="2"/>
  <c r="B801" i="2"/>
  <c r="B793" i="2"/>
  <c r="B775" i="2"/>
  <c r="B755" i="2"/>
  <c r="B747" i="2"/>
  <c r="B737" i="2"/>
  <c r="B729" i="2"/>
  <c r="B711" i="2"/>
  <c r="B691" i="2"/>
  <c r="B683" i="2"/>
  <c r="B673" i="2"/>
  <c r="B665" i="2"/>
  <c r="B647" i="2"/>
  <c r="B627" i="2"/>
  <c r="B619" i="2"/>
  <c r="B609" i="2"/>
  <c r="B601" i="2"/>
  <c r="B583" i="2"/>
  <c r="B563" i="2"/>
  <c r="B555" i="2"/>
  <c r="B545" i="2"/>
  <c r="B537" i="2"/>
  <c r="B519" i="2"/>
  <c r="B499" i="2"/>
  <c r="B491" i="2"/>
  <c r="B481" i="2"/>
  <c r="B473" i="2"/>
  <c r="B455" i="2"/>
  <c r="B435" i="2"/>
  <c r="B427" i="2"/>
  <c r="B417" i="2"/>
  <c r="B409" i="2"/>
  <c r="B391" i="2"/>
  <c r="B371" i="2"/>
  <c r="B363" i="2"/>
  <c r="B353" i="2"/>
  <c r="B345" i="2"/>
  <c r="B327" i="2"/>
  <c r="B299" i="2"/>
  <c r="B289" i="2"/>
  <c r="B281" i="2"/>
  <c r="B243" i="2"/>
  <c r="B235" i="2"/>
  <c r="B225" i="2"/>
  <c r="B199" i="2"/>
  <c r="B179" i="2"/>
  <c r="B171" i="2"/>
  <c r="B153" i="2"/>
  <c r="B135" i="2"/>
  <c r="B115" i="2"/>
  <c r="B97" i="2"/>
  <c r="B89" i="2"/>
  <c r="B71" i="2"/>
  <c r="B43" i="2"/>
  <c r="B25" i="2"/>
  <c r="E3" i="17" l="1"/>
  <c r="E3" i="18"/>
  <c r="H3" i="18"/>
  <c r="H3" i="17"/>
  <c r="C3" i="18"/>
  <c r="C3" i="17"/>
  <c r="G3" i="18"/>
  <c r="G3" i="17"/>
  <c r="D3" i="17"/>
  <c r="D3" i="18"/>
  <c r="A48" i="17"/>
  <c r="A48" i="18"/>
  <c r="B3" i="18"/>
  <c r="B3" i="17"/>
  <c r="F3" i="18"/>
  <c r="F3" i="17"/>
  <c r="E3" i="16"/>
  <c r="E3" i="10"/>
  <c r="D3" i="16"/>
  <c r="D3" i="10"/>
  <c r="H3" i="16"/>
  <c r="H3" i="10"/>
  <c r="A48" i="16"/>
  <c r="A48" i="10"/>
  <c r="C3" i="16"/>
  <c r="C3" i="10"/>
  <c r="G3" i="16"/>
  <c r="G3" i="10"/>
  <c r="B3" i="16"/>
  <c r="B3" i="10"/>
  <c r="F3" i="16"/>
  <c r="F3" i="10"/>
  <c r="D3" i="9"/>
  <c r="D3" i="13"/>
  <c r="D3" i="12"/>
  <c r="D3" i="11"/>
  <c r="H3" i="9"/>
  <c r="H3" i="13"/>
  <c r="H3" i="12"/>
  <c r="H3" i="11"/>
  <c r="A48" i="9"/>
  <c r="A48" i="12"/>
  <c r="A48" i="11"/>
  <c r="A48" i="13"/>
  <c r="C3" i="9"/>
  <c r="C3" i="12"/>
  <c r="C3" i="11"/>
  <c r="C3" i="13"/>
  <c r="G3" i="9"/>
  <c r="G3" i="12"/>
  <c r="G3" i="13"/>
  <c r="G3" i="11"/>
  <c r="E3" i="9"/>
  <c r="E3" i="11"/>
  <c r="E3" i="13"/>
  <c r="E3" i="12"/>
  <c r="B3" i="9"/>
  <c r="B3" i="11"/>
  <c r="B3" i="13"/>
  <c r="B3" i="12"/>
  <c r="F3" i="9"/>
  <c r="F3" i="11"/>
  <c r="F3" i="12"/>
  <c r="F3" i="13"/>
  <c r="D3" i="6"/>
  <c r="D3" i="7"/>
  <c r="H3" i="6"/>
  <c r="H3" i="7"/>
  <c r="F3" i="6"/>
  <c r="F3" i="7"/>
  <c r="G3" i="6"/>
  <c r="G3" i="7"/>
  <c r="C3" i="6"/>
  <c r="C3" i="7"/>
  <c r="E3" i="6"/>
  <c r="E3" i="7"/>
  <c r="A48" i="6"/>
  <c r="A48" i="7"/>
  <c r="B3" i="6"/>
  <c r="B3" i="7"/>
  <c r="F1074" i="2"/>
  <c r="A1074" i="2"/>
  <c r="C1073" i="2"/>
  <c r="H1073" i="2"/>
  <c r="G1073" i="2"/>
  <c r="A1073" i="2"/>
  <c r="C1072" i="2"/>
  <c r="H1072" i="2"/>
  <c r="G1072" i="2"/>
  <c r="A1072" i="2"/>
  <c r="C1071" i="2"/>
  <c r="H1071" i="2"/>
  <c r="D1071" i="2"/>
  <c r="A1071" i="2"/>
  <c r="E1070" i="2"/>
  <c r="D1070" i="2"/>
  <c r="F1069" i="2"/>
  <c r="E1069" i="2"/>
  <c r="D1069" i="2"/>
  <c r="G1068" i="2"/>
  <c r="F1068" i="2"/>
  <c r="E1068" i="2"/>
  <c r="D1068" i="2"/>
  <c r="G1067" i="2"/>
  <c r="F1067" i="2"/>
  <c r="E1067" i="2"/>
  <c r="C1066" i="2"/>
  <c r="H1066" i="2"/>
  <c r="G1066" i="2"/>
  <c r="F1066" i="2"/>
  <c r="E1066" i="2"/>
  <c r="A1066" i="2"/>
  <c r="C1065" i="2"/>
  <c r="H1065" i="2"/>
  <c r="G1065" i="2"/>
  <c r="A1065" i="2"/>
  <c r="C1064" i="2"/>
  <c r="H1064" i="2"/>
  <c r="G1064" i="2"/>
  <c r="A1064" i="2"/>
  <c r="C1063" i="2"/>
  <c r="H1063" i="2"/>
  <c r="D1063" i="2"/>
  <c r="A1063" i="2"/>
  <c r="C1062" i="2"/>
  <c r="E1062" i="2"/>
  <c r="D1062" i="2"/>
  <c r="A1062" i="2"/>
  <c r="F1061" i="2"/>
  <c r="E1061" i="2"/>
  <c r="D1061" i="2"/>
  <c r="G1060" i="2"/>
  <c r="H157" i="4" s="1"/>
  <c r="F1060" i="2"/>
  <c r="H157" i="3" s="1"/>
  <c r="E1060" i="2"/>
  <c r="D1060" i="2"/>
  <c r="H1059" i="2"/>
  <c r="G157" i="5" s="1"/>
  <c r="G1059" i="2"/>
  <c r="G157" i="4" s="1"/>
  <c r="F1059" i="2"/>
  <c r="G157" i="3" s="1"/>
  <c r="E1059" i="2"/>
  <c r="D1059" i="2"/>
  <c r="C1058" i="2"/>
  <c r="H1058" i="2"/>
  <c r="F157" i="5" s="1"/>
  <c r="G1058" i="2"/>
  <c r="F157" i="4" s="1"/>
  <c r="F1058" i="2"/>
  <c r="F157" i="3" s="1"/>
  <c r="E1058" i="2"/>
  <c r="A1058" i="2"/>
  <c r="C1057" i="2"/>
  <c r="H1057" i="2"/>
  <c r="E157" i="5" s="1"/>
  <c r="G1057" i="2"/>
  <c r="E157" i="4" s="1"/>
  <c r="F1057" i="2"/>
  <c r="E157" i="3" s="1"/>
  <c r="A1057" i="2"/>
  <c r="C1056" i="2"/>
  <c r="H1056" i="2"/>
  <c r="D157" i="5" s="1"/>
  <c r="A1056" i="2"/>
  <c r="C1055" i="2"/>
  <c r="D1055" i="2"/>
  <c r="A1055" i="2"/>
  <c r="C1054" i="2"/>
  <c r="A157" i="20" s="1"/>
  <c r="E1054" i="2"/>
  <c r="D1054" i="2"/>
  <c r="F1053" i="2"/>
  <c r="H155" i="3" s="1"/>
  <c r="E1053" i="2"/>
  <c r="D1053" i="2"/>
  <c r="F1052" i="2"/>
  <c r="G155" i="3" s="1"/>
  <c r="E1052" i="2"/>
  <c r="D1052" i="2"/>
  <c r="H1051" i="2"/>
  <c r="F155" i="5" s="1"/>
  <c r="G1051" i="2"/>
  <c r="F155" i="4" s="1"/>
  <c r="F1051" i="2"/>
  <c r="F155" i="3" s="1"/>
  <c r="E1051" i="2"/>
  <c r="C1050" i="2"/>
  <c r="H1050" i="2"/>
  <c r="E155" i="5" s="1"/>
  <c r="G1050" i="2"/>
  <c r="E155" i="4" s="1"/>
  <c r="F1050" i="2"/>
  <c r="E155" i="3" s="1"/>
  <c r="A1050" i="2"/>
  <c r="C1049" i="2"/>
  <c r="H1049" i="2"/>
  <c r="D155" i="5" s="1"/>
  <c r="G1049" i="2"/>
  <c r="D155" i="4" s="1"/>
  <c r="F1049" i="2"/>
  <c r="D155" i="3" s="1"/>
  <c r="A1049" i="2"/>
  <c r="C1048" i="2"/>
  <c r="H1048" i="2"/>
  <c r="C155" i="5" s="1"/>
  <c r="G1048" i="2"/>
  <c r="C155" i="4" s="1"/>
  <c r="A1048" i="2"/>
  <c r="C1047" i="2"/>
  <c r="A155" i="20" s="1"/>
  <c r="D1047" i="2"/>
  <c r="A1047" i="2"/>
  <c r="E1046" i="2"/>
  <c r="D1046" i="2"/>
  <c r="A1046" i="2"/>
  <c r="F1045" i="2"/>
  <c r="G153" i="3" s="1"/>
  <c r="E1045" i="2"/>
  <c r="D1045" i="2"/>
  <c r="G1044" i="2"/>
  <c r="F153" i="4" s="1"/>
  <c r="F1044" i="2"/>
  <c r="F153" i="3" s="1"/>
  <c r="E1044" i="2"/>
  <c r="D1044" i="2"/>
  <c r="H1043" i="2"/>
  <c r="E153" i="5" s="1"/>
  <c r="G1043" i="2"/>
  <c r="E153" i="4" s="1"/>
  <c r="F1043" i="2"/>
  <c r="E153" i="3" s="1"/>
  <c r="E1043" i="2"/>
  <c r="D1043" i="2"/>
  <c r="C1042" i="2"/>
  <c r="H1042" i="2"/>
  <c r="D153" i="5" s="1"/>
  <c r="G1042" i="2"/>
  <c r="D153" i="4" s="1"/>
  <c r="F1042" i="2"/>
  <c r="D153" i="3" s="1"/>
  <c r="E1042" i="2"/>
  <c r="A1042" i="2"/>
  <c r="C1041" i="2"/>
  <c r="H1041" i="2"/>
  <c r="C153" i="5" s="1"/>
  <c r="G1041" i="2"/>
  <c r="C153" i="4" s="1"/>
  <c r="A1041" i="2"/>
  <c r="C1040" i="2"/>
  <c r="A153" i="20" s="1"/>
  <c r="H1040" i="2"/>
  <c r="A1040" i="2"/>
  <c r="C1039" i="2"/>
  <c r="D1039" i="2"/>
  <c r="A1039" i="2"/>
  <c r="C1038" i="2"/>
  <c r="E1038" i="2"/>
  <c r="D1038" i="2"/>
  <c r="A1038" i="2"/>
  <c r="F1037" i="2"/>
  <c r="F152" i="3" s="1"/>
  <c r="E1037" i="2"/>
  <c r="D1037" i="2"/>
  <c r="G1036" i="2"/>
  <c r="E152" i="4" s="1"/>
  <c r="F1036" i="2"/>
  <c r="E152" i="3" s="1"/>
  <c r="E1036" i="2"/>
  <c r="D1036" i="2"/>
  <c r="H1035" i="2"/>
  <c r="D152" i="5" s="1"/>
  <c r="G1035" i="2"/>
  <c r="D152" i="4" s="1"/>
  <c r="F1035" i="2"/>
  <c r="D152" i="3" s="1"/>
  <c r="E1035" i="2"/>
  <c r="D1035" i="2"/>
  <c r="C1034" i="2"/>
  <c r="H1034" i="2"/>
  <c r="C152" i="5" s="1"/>
  <c r="G1034" i="2"/>
  <c r="C152" i="4" s="1"/>
  <c r="F1034" i="2"/>
  <c r="C152" i="3" s="1"/>
  <c r="A1034" i="2"/>
  <c r="C1033" i="2"/>
  <c r="A152" i="20" s="1"/>
  <c r="H1033" i="2"/>
  <c r="G1033" i="2"/>
  <c r="B152" i="10" s="1"/>
  <c r="F1033" i="2"/>
  <c r="B152" i="9" s="1"/>
  <c r="A1033" i="2"/>
  <c r="C1032" i="2"/>
  <c r="H1032" i="2"/>
  <c r="H151" i="5" s="1"/>
  <c r="G1032" i="2"/>
  <c r="H151" i="4" s="1"/>
  <c r="A1032" i="2"/>
  <c r="C1031" i="2"/>
  <c r="H1031" i="2"/>
  <c r="G151" i="5" s="1"/>
  <c r="D1031" i="2"/>
  <c r="A1031" i="2"/>
  <c r="C1030" i="2"/>
  <c r="E1030" i="2"/>
  <c r="D1030" i="2"/>
  <c r="F1029" i="2"/>
  <c r="E151" i="3" s="1"/>
  <c r="E1029" i="2"/>
  <c r="D1029" i="2"/>
  <c r="G1028" i="2"/>
  <c r="D151" i="4" s="1"/>
  <c r="F1028" i="2"/>
  <c r="D151" i="3" s="1"/>
  <c r="E1028" i="2"/>
  <c r="D1028" i="2"/>
  <c r="H1027" i="2"/>
  <c r="C151" i="5" s="1"/>
  <c r="G1027" i="2"/>
  <c r="C151" i="4" s="1"/>
  <c r="F1027" i="2"/>
  <c r="C151" i="3" s="1"/>
  <c r="E1027" i="2"/>
  <c r="C1026" i="2"/>
  <c r="A151" i="20" s="1"/>
  <c r="H1026" i="2"/>
  <c r="G1026" i="2"/>
  <c r="B151" i="10" s="1"/>
  <c r="F1026" i="2"/>
  <c r="B151" i="9" s="1"/>
  <c r="A1026" i="2"/>
  <c r="C1025" i="2"/>
  <c r="H1025" i="2"/>
  <c r="H150" i="5" s="1"/>
  <c r="G1025" i="2"/>
  <c r="H150" i="4" s="1"/>
  <c r="F1025" i="2"/>
  <c r="H150" i="3" s="1"/>
  <c r="A1025" i="2"/>
  <c r="C1024" i="2"/>
  <c r="H1024" i="2"/>
  <c r="G150" i="5" s="1"/>
  <c r="G1024" i="2"/>
  <c r="G150" i="4" s="1"/>
  <c r="A1024" i="2"/>
  <c r="C1023" i="2"/>
  <c r="H1023" i="2"/>
  <c r="F150" i="5" s="1"/>
  <c r="D1023" i="2"/>
  <c r="A1023" i="2"/>
  <c r="E1022" i="2"/>
  <c r="D1022" i="2"/>
  <c r="A1022" i="2"/>
  <c r="F1021" i="2"/>
  <c r="D150" i="3" s="1"/>
  <c r="E1021" i="2"/>
  <c r="D1021" i="2"/>
  <c r="G1020" i="2"/>
  <c r="C150" i="4" s="1"/>
  <c r="F1020" i="2"/>
  <c r="C150" i="3" s="1"/>
  <c r="E1020" i="2"/>
  <c r="D1020" i="2"/>
  <c r="H1019" i="2"/>
  <c r="G1019" i="2"/>
  <c r="B150" i="10" s="1"/>
  <c r="F1019" i="2"/>
  <c r="B150" i="9" s="1"/>
  <c r="E1019" i="2"/>
  <c r="D1019" i="2"/>
  <c r="C1018" i="2"/>
  <c r="H1018" i="2"/>
  <c r="H149" i="5" s="1"/>
  <c r="G1018" i="2"/>
  <c r="H149" i="4" s="1"/>
  <c r="F1018" i="2"/>
  <c r="H149" i="3" s="1"/>
  <c r="A1018" i="2"/>
  <c r="C1017" i="2"/>
  <c r="H1017" i="2"/>
  <c r="G149" i="5" s="1"/>
  <c r="G1017" i="2"/>
  <c r="G149" i="4" s="1"/>
  <c r="A1017" i="2"/>
  <c r="C1016" i="2"/>
  <c r="H1016" i="2"/>
  <c r="F149" i="5" s="1"/>
  <c r="A1016" i="2"/>
  <c r="C1015" i="2"/>
  <c r="H1015" i="2"/>
  <c r="E149" i="5" s="1"/>
  <c r="D1015" i="2"/>
  <c r="A1015" i="2"/>
  <c r="C1014" i="2"/>
  <c r="E1014" i="2"/>
  <c r="D1014" i="2"/>
  <c r="A1014" i="2"/>
  <c r="F1013" i="2"/>
  <c r="C149" i="3" s="1"/>
  <c r="E1013" i="2"/>
  <c r="D1013" i="2"/>
  <c r="G1012" i="2"/>
  <c r="B149" i="10" s="1"/>
  <c r="F1012" i="2"/>
  <c r="B149" i="9" s="1"/>
  <c r="E1012" i="2"/>
  <c r="D1012" i="2"/>
  <c r="H1011" i="2"/>
  <c r="H148" i="5" s="1"/>
  <c r="G1011" i="2"/>
  <c r="H148" i="4" s="1"/>
  <c r="F1011" i="2"/>
  <c r="H148" i="3" s="1"/>
  <c r="E1011" i="2"/>
  <c r="D1011" i="2"/>
  <c r="C1010" i="2"/>
  <c r="H1010" i="2"/>
  <c r="G148" i="5" s="1"/>
  <c r="G1010" i="2"/>
  <c r="G148" i="4" s="1"/>
  <c r="F1010" i="2"/>
  <c r="G148" i="3" s="1"/>
  <c r="E1010" i="2"/>
  <c r="A1010" i="2"/>
  <c r="C1009" i="2"/>
  <c r="H1009" i="2"/>
  <c r="F148" i="5" s="1"/>
  <c r="G1009" i="2"/>
  <c r="F148" i="4" s="1"/>
  <c r="F1009" i="2"/>
  <c r="F148" i="3" s="1"/>
  <c r="A1009" i="2"/>
  <c r="C1008" i="2"/>
  <c r="H1008" i="2"/>
  <c r="E148" i="5" s="1"/>
  <c r="G1008" i="2"/>
  <c r="E148" i="4" s="1"/>
  <c r="A1008" i="2"/>
  <c r="C1007" i="2"/>
  <c r="D1007" i="2"/>
  <c r="A1007" i="2"/>
  <c r="C1006" i="2"/>
  <c r="E1006" i="2"/>
  <c r="D1006" i="2"/>
  <c r="A1006" i="2"/>
  <c r="F1005" i="2"/>
  <c r="B148" i="9" s="1"/>
  <c r="E1005" i="2"/>
  <c r="D1005" i="2"/>
  <c r="G1004" i="2"/>
  <c r="F1004" i="2"/>
  <c r="E1004" i="2"/>
  <c r="D1004" i="2"/>
  <c r="H1003" i="2"/>
  <c r="G1003" i="2"/>
  <c r="F1003" i="2"/>
  <c r="E1003" i="2"/>
  <c r="D1003" i="2"/>
  <c r="C1002" i="2"/>
  <c r="H1002" i="2"/>
  <c r="G1002" i="2"/>
  <c r="F1002" i="2"/>
  <c r="E1002" i="2"/>
  <c r="A1002" i="2"/>
  <c r="C1001" i="2"/>
  <c r="H1001" i="2"/>
  <c r="G1001" i="2"/>
  <c r="A1001" i="2"/>
  <c r="C1000" i="2"/>
  <c r="H1000" i="2"/>
  <c r="G1000" i="2"/>
  <c r="A1000" i="2"/>
  <c r="C999" i="2"/>
  <c r="D999" i="2"/>
  <c r="A999" i="2"/>
  <c r="E998" i="2"/>
  <c r="D998" i="2"/>
  <c r="A998" i="2"/>
  <c r="F997" i="2"/>
  <c r="E997" i="2"/>
  <c r="D997" i="2"/>
  <c r="G996" i="2"/>
  <c r="F996" i="2"/>
  <c r="E996" i="2"/>
  <c r="D996" i="2"/>
  <c r="H995" i="2"/>
  <c r="G995" i="2"/>
  <c r="F995" i="2"/>
  <c r="E995" i="2"/>
  <c r="D995" i="2"/>
  <c r="C994" i="2"/>
  <c r="H994" i="2"/>
  <c r="G994" i="2"/>
  <c r="A994" i="2"/>
  <c r="C993" i="2"/>
  <c r="H993" i="2"/>
  <c r="G993" i="2"/>
  <c r="A993" i="2"/>
  <c r="C992" i="2"/>
  <c r="H992" i="2"/>
  <c r="G992" i="2"/>
  <c r="A992" i="2"/>
  <c r="C991" i="2"/>
  <c r="H991" i="2"/>
  <c r="D991" i="2"/>
  <c r="A991" i="2"/>
  <c r="E990" i="2"/>
  <c r="D990" i="2"/>
  <c r="F989" i="2"/>
  <c r="G146" i="3" s="1"/>
  <c r="E989" i="2"/>
  <c r="D989" i="2"/>
  <c r="G988" i="2"/>
  <c r="F146" i="4" s="1"/>
  <c r="F988" i="2"/>
  <c r="F146" i="3" s="1"/>
  <c r="E988" i="2"/>
  <c r="D988" i="2"/>
  <c r="H987" i="2"/>
  <c r="E146" i="5" s="1"/>
  <c r="G987" i="2"/>
  <c r="E146" i="4" s="1"/>
  <c r="F987" i="2"/>
  <c r="E146" i="3" s="1"/>
  <c r="D987" i="2"/>
  <c r="C986" i="2"/>
  <c r="H986" i="2"/>
  <c r="D146" i="5" s="1"/>
  <c r="G986" i="2"/>
  <c r="D146" i="4" s="1"/>
  <c r="F986" i="2"/>
  <c r="D146" i="3" s="1"/>
  <c r="E986" i="2"/>
  <c r="A986" i="2"/>
  <c r="C985" i="2"/>
  <c r="H985" i="2"/>
  <c r="C146" i="5" s="1"/>
  <c r="G985" i="2"/>
  <c r="C146" i="4" s="1"/>
  <c r="A985" i="2"/>
  <c r="C984" i="2"/>
  <c r="A146" i="20" s="1"/>
  <c r="H984" i="2"/>
  <c r="A984" i="2"/>
  <c r="C983" i="2"/>
  <c r="H983" i="2"/>
  <c r="H144" i="5" s="1"/>
  <c r="D983" i="2"/>
  <c r="A983" i="2"/>
  <c r="C982" i="2"/>
  <c r="E982" i="2"/>
  <c r="D982" i="2"/>
  <c r="A982" i="2"/>
  <c r="F981" i="2"/>
  <c r="F144" i="3" s="1"/>
  <c r="E981" i="2"/>
  <c r="D981" i="2"/>
  <c r="G980" i="2"/>
  <c r="E144" i="4" s="1"/>
  <c r="F980" i="2"/>
  <c r="E144" i="3" s="1"/>
  <c r="E980" i="2"/>
  <c r="D980" i="2"/>
  <c r="H979" i="2"/>
  <c r="D144" i="5" s="1"/>
  <c r="G979" i="2"/>
  <c r="D144" i="4" s="1"/>
  <c r="F979" i="2"/>
  <c r="D144" i="3" s="1"/>
  <c r="E979" i="2"/>
  <c r="C978" i="2"/>
  <c r="H978" i="2"/>
  <c r="C144" i="5" s="1"/>
  <c r="G978" i="2"/>
  <c r="C144" i="4" s="1"/>
  <c r="F978" i="2"/>
  <c r="C144" i="3" s="1"/>
  <c r="A978" i="2"/>
  <c r="C977" i="2"/>
  <c r="A144" i="20" s="1"/>
  <c r="H977" i="2"/>
  <c r="G977" i="2"/>
  <c r="B144" i="10" s="1"/>
  <c r="F977" i="2"/>
  <c r="B144" i="9" s="1"/>
  <c r="A977" i="2"/>
  <c r="C976" i="2"/>
  <c r="H976" i="2"/>
  <c r="H142" i="5" s="1"/>
  <c r="G976" i="2"/>
  <c r="H142" i="4" s="1"/>
  <c r="A976" i="2"/>
  <c r="C975" i="2"/>
  <c r="D975" i="2"/>
  <c r="A975" i="2"/>
  <c r="E974" i="2"/>
  <c r="D974" i="2"/>
  <c r="F973" i="2"/>
  <c r="E142" i="3" s="1"/>
  <c r="E973" i="2"/>
  <c r="D973" i="2"/>
  <c r="G972" i="2"/>
  <c r="D142" i="4" s="1"/>
  <c r="F972" i="2"/>
  <c r="D142" i="3" s="1"/>
  <c r="E972" i="2"/>
  <c r="D972" i="2"/>
  <c r="H971" i="2"/>
  <c r="C142" i="5" s="1"/>
  <c r="G971" i="2"/>
  <c r="C142" i="4" s="1"/>
  <c r="F971" i="2"/>
  <c r="C142" i="3" s="1"/>
  <c r="E971" i="2"/>
  <c r="D971" i="2"/>
  <c r="C970" i="2"/>
  <c r="A142" i="20" s="1"/>
  <c r="H970" i="2"/>
  <c r="G970" i="2"/>
  <c r="B142" i="10" s="1"/>
  <c r="F970" i="2"/>
  <c r="B142" i="9" s="1"/>
  <c r="E970" i="2"/>
  <c r="A970" i="2"/>
  <c r="C969" i="2"/>
  <c r="H969" i="2"/>
  <c r="H141" i="5" s="1"/>
  <c r="G969" i="2"/>
  <c r="H141" i="4" s="1"/>
  <c r="A969" i="2"/>
  <c r="C968" i="2"/>
  <c r="H968" i="2"/>
  <c r="G141" i="5" s="1"/>
  <c r="G968" i="2"/>
  <c r="G141" i="4" s="1"/>
  <c r="A968" i="2"/>
  <c r="C967" i="2"/>
  <c r="H967" i="2"/>
  <c r="F141" i="5" s="1"/>
  <c r="D967" i="2"/>
  <c r="A967" i="2"/>
  <c r="C966" i="2"/>
  <c r="E966" i="2"/>
  <c r="D966" i="2"/>
  <c r="F965" i="2"/>
  <c r="D141" i="3" s="1"/>
  <c r="E965" i="2"/>
  <c r="D965" i="2"/>
  <c r="G964" i="2"/>
  <c r="C141" i="4" s="1"/>
  <c r="F964" i="2"/>
  <c r="C141" i="3" s="1"/>
  <c r="E964" i="2"/>
  <c r="D964" i="2"/>
  <c r="H963" i="2"/>
  <c r="G963" i="2"/>
  <c r="B141" i="10" s="1"/>
  <c r="F963" i="2"/>
  <c r="B141" i="9" s="1"/>
  <c r="E963" i="2"/>
  <c r="D963" i="2"/>
  <c r="C962" i="2"/>
  <c r="H962" i="2"/>
  <c r="H140" i="5" s="1"/>
  <c r="G962" i="2"/>
  <c r="H140" i="4" s="1"/>
  <c r="F962" i="2"/>
  <c r="H140" i="3" s="1"/>
  <c r="E962" i="2"/>
  <c r="A962" i="2"/>
  <c r="C961" i="2"/>
  <c r="H961" i="2"/>
  <c r="G140" i="5" s="1"/>
  <c r="G961" i="2"/>
  <c r="G140" i="4" s="1"/>
  <c r="F961" i="2"/>
  <c r="G140" i="3" s="1"/>
  <c r="A961" i="2"/>
  <c r="C960" i="2"/>
  <c r="H960" i="2"/>
  <c r="F140" i="5" s="1"/>
  <c r="A960" i="2"/>
  <c r="C959" i="2"/>
  <c r="D959" i="2"/>
  <c r="A959" i="2"/>
  <c r="C958" i="2"/>
  <c r="E958" i="2"/>
  <c r="D958" i="2"/>
  <c r="A958" i="2"/>
  <c r="F957" i="2"/>
  <c r="C140" i="3" s="1"/>
  <c r="E957" i="2"/>
  <c r="D957" i="2"/>
  <c r="G956" i="2"/>
  <c r="B140" i="10" s="1"/>
  <c r="F956" i="2"/>
  <c r="B140" i="9" s="1"/>
  <c r="E956" i="2"/>
  <c r="D956" i="2"/>
  <c r="H955" i="2"/>
  <c r="H139" i="5" s="1"/>
  <c r="G955" i="2"/>
  <c r="H139" i="4" s="1"/>
  <c r="F955" i="2"/>
  <c r="H139" i="3" s="1"/>
  <c r="E955" i="2"/>
  <c r="C954" i="2"/>
  <c r="H954" i="2"/>
  <c r="G139" i="5" s="1"/>
  <c r="G954" i="2"/>
  <c r="G139" i="4" s="1"/>
  <c r="F954" i="2"/>
  <c r="G139" i="3" s="1"/>
  <c r="A954" i="2"/>
  <c r="C953" i="2"/>
  <c r="H953" i="2"/>
  <c r="F139" i="5" s="1"/>
  <c r="G953" i="2"/>
  <c r="F139" i="4" s="1"/>
  <c r="A953" i="2"/>
  <c r="C952" i="2"/>
  <c r="H952" i="2"/>
  <c r="E139" i="5" s="1"/>
  <c r="A952" i="2"/>
  <c r="H951" i="2"/>
  <c r="D139" i="5" s="1"/>
  <c r="D951" i="2"/>
  <c r="A951" i="2"/>
  <c r="C950" i="2"/>
  <c r="E950" i="2"/>
  <c r="D950" i="2"/>
  <c r="A950" i="2"/>
  <c r="F949" i="2"/>
  <c r="B139" i="9" s="1"/>
  <c r="E949" i="2"/>
  <c r="D949" i="2"/>
  <c r="G948" i="2"/>
  <c r="H138" i="4" s="1"/>
  <c r="F948" i="2"/>
  <c r="H138" i="3" s="1"/>
  <c r="E948" i="2"/>
  <c r="D948" i="2"/>
  <c r="H947" i="2"/>
  <c r="G138" i="5" s="1"/>
  <c r="G947" i="2"/>
  <c r="G138" i="4" s="1"/>
  <c r="F947" i="2"/>
  <c r="G138" i="3" s="1"/>
  <c r="E947" i="2"/>
  <c r="D947" i="2"/>
  <c r="C946" i="2"/>
  <c r="H946" i="2"/>
  <c r="F138" i="5" s="1"/>
  <c r="G946" i="2"/>
  <c r="F138" i="4" s="1"/>
  <c r="F946" i="2"/>
  <c r="F138" i="3" s="1"/>
  <c r="E946" i="2"/>
  <c r="A946" i="2"/>
  <c r="C945" i="2"/>
  <c r="H945" i="2"/>
  <c r="E138" i="5" s="1"/>
  <c r="G945" i="2"/>
  <c r="E138" i="4" s="1"/>
  <c r="F945" i="2"/>
  <c r="E138" i="3" s="1"/>
  <c r="A945" i="2"/>
  <c r="C944" i="2"/>
  <c r="H944" i="2"/>
  <c r="D138" i="5" s="1"/>
  <c r="G944" i="2"/>
  <c r="D138" i="4" s="1"/>
  <c r="A944" i="2"/>
  <c r="C943" i="2"/>
  <c r="H943" i="2"/>
  <c r="C138" i="5" s="1"/>
  <c r="D943" i="2"/>
  <c r="A943" i="2"/>
  <c r="C942" i="2"/>
  <c r="A138" i="20" s="1"/>
  <c r="E942" i="2"/>
  <c r="D942" i="2"/>
  <c r="A942" i="2"/>
  <c r="F941" i="2"/>
  <c r="H137" i="3" s="1"/>
  <c r="E941" i="2"/>
  <c r="D941" i="2"/>
  <c r="G940" i="2"/>
  <c r="G137" i="4" s="1"/>
  <c r="F940" i="2"/>
  <c r="G137" i="3" s="1"/>
  <c r="E940" i="2"/>
  <c r="D940" i="2"/>
  <c r="H939" i="2"/>
  <c r="F137" i="5" s="1"/>
  <c r="G939" i="2"/>
  <c r="F137" i="4" s="1"/>
  <c r="F939" i="2"/>
  <c r="F137" i="3" s="1"/>
  <c r="E939" i="2"/>
  <c r="C938" i="2"/>
  <c r="H938" i="2"/>
  <c r="E137" i="5" s="1"/>
  <c r="G938" i="2"/>
  <c r="E137" i="4" s="1"/>
  <c r="F938" i="2"/>
  <c r="E137" i="3" s="1"/>
  <c r="E938" i="2"/>
  <c r="A938" i="2"/>
  <c r="C937" i="2"/>
  <c r="H937" i="2"/>
  <c r="D137" i="5" s="1"/>
  <c r="G937" i="2"/>
  <c r="D137" i="4" s="1"/>
  <c r="A937" i="2"/>
  <c r="C936" i="2"/>
  <c r="H936" i="2"/>
  <c r="C137" i="5" s="1"/>
  <c r="G936" i="2"/>
  <c r="C137" i="4" s="1"/>
  <c r="A936" i="2"/>
  <c r="C935" i="2"/>
  <c r="A137" i="20" s="1"/>
  <c r="H935" i="2"/>
  <c r="D935" i="2"/>
  <c r="A935" i="2"/>
  <c r="A136" i="20" s="1"/>
  <c r="E934" i="2"/>
  <c r="D934" i="2"/>
  <c r="A934" i="2"/>
  <c r="F933" i="2"/>
  <c r="E933" i="2"/>
  <c r="D933" i="2"/>
  <c r="G932" i="2"/>
  <c r="F932" i="2"/>
  <c r="E932" i="2"/>
  <c r="D932" i="2"/>
  <c r="H931" i="2"/>
  <c r="G931" i="2"/>
  <c r="F931" i="2"/>
  <c r="E931" i="2"/>
  <c r="D931" i="2"/>
  <c r="C930" i="2"/>
  <c r="H930" i="2"/>
  <c r="G930" i="2"/>
  <c r="F930" i="2"/>
  <c r="E930" i="2"/>
  <c r="A930" i="2"/>
  <c r="C929" i="2"/>
  <c r="H929" i="2"/>
  <c r="G929" i="2"/>
  <c r="F929" i="2"/>
  <c r="A929" i="2"/>
  <c r="C928" i="2"/>
  <c r="H928" i="2"/>
  <c r="G928" i="2"/>
  <c r="A928" i="2"/>
  <c r="C927" i="2"/>
  <c r="H927" i="2"/>
  <c r="D927" i="2"/>
  <c r="A927" i="2"/>
  <c r="E926" i="2"/>
  <c r="D926" i="2"/>
  <c r="A926" i="2"/>
  <c r="F925" i="2"/>
  <c r="E925" i="2"/>
  <c r="D925" i="2"/>
  <c r="G924" i="2"/>
  <c r="F924" i="2"/>
  <c r="E924" i="2"/>
  <c r="D924" i="2"/>
  <c r="H923" i="2"/>
  <c r="G923" i="2"/>
  <c r="F923" i="2"/>
  <c r="E923" i="2"/>
  <c r="D923" i="2"/>
  <c r="C922" i="2"/>
  <c r="H922" i="2"/>
  <c r="G922" i="2"/>
  <c r="F922" i="2"/>
  <c r="A922" i="2"/>
  <c r="C921" i="2"/>
  <c r="H921" i="2"/>
  <c r="G921" i="2"/>
  <c r="F921" i="2"/>
  <c r="A921" i="2"/>
  <c r="C920" i="2"/>
  <c r="H920" i="2"/>
  <c r="H135" i="5" s="1"/>
  <c r="A920" i="2"/>
  <c r="C919" i="2"/>
  <c r="H919" i="2"/>
  <c r="G135" i="5" s="1"/>
  <c r="D919" i="2"/>
  <c r="A919" i="2"/>
  <c r="C918" i="2"/>
  <c r="E918" i="2"/>
  <c r="D918" i="2"/>
  <c r="A918" i="2"/>
  <c r="F917" i="2"/>
  <c r="E135" i="3" s="1"/>
  <c r="E917" i="2"/>
  <c r="D917" i="2"/>
  <c r="G916" i="2"/>
  <c r="D135" i="4" s="1"/>
  <c r="F916" i="2"/>
  <c r="D135" i="3" s="1"/>
  <c r="E916" i="2"/>
  <c r="D916" i="2"/>
  <c r="H915" i="2"/>
  <c r="C135" i="5" s="1"/>
  <c r="G915" i="2"/>
  <c r="C135" i="4" s="1"/>
  <c r="F915" i="2"/>
  <c r="C135" i="3" s="1"/>
  <c r="E915" i="2"/>
  <c r="D915" i="2"/>
  <c r="C914" i="2"/>
  <c r="A135" i="20" s="1"/>
  <c r="H914" i="2"/>
  <c r="G914" i="2"/>
  <c r="B135" i="10" s="1"/>
  <c r="E914" i="2"/>
  <c r="A914" i="2"/>
  <c r="C913" i="2"/>
  <c r="H913" i="2"/>
  <c r="G913" i="2"/>
  <c r="A913" i="2"/>
  <c r="C912" i="2"/>
  <c r="H912" i="2"/>
  <c r="A912" i="2"/>
  <c r="C911" i="2"/>
  <c r="H911" i="2"/>
  <c r="D911" i="2"/>
  <c r="A911" i="2"/>
  <c r="C910" i="2"/>
  <c r="E910" i="2"/>
  <c r="D910" i="2"/>
  <c r="F909" i="2"/>
  <c r="D133" i="9" s="1"/>
  <c r="D133" i="18" s="1"/>
  <c r="E909" i="2"/>
  <c r="D909" i="2"/>
  <c r="G908" i="2"/>
  <c r="C133" i="10" s="1"/>
  <c r="C133" i="16" s="1"/>
  <c r="F908" i="2"/>
  <c r="C133" i="9" s="1"/>
  <c r="C133" i="18" s="1"/>
  <c r="E908" i="2"/>
  <c r="D908" i="2"/>
  <c r="H907" i="2"/>
  <c r="G907" i="2"/>
  <c r="F907" i="2"/>
  <c r="E907" i="2"/>
  <c r="C906" i="2"/>
  <c r="H906" i="2"/>
  <c r="G906" i="2"/>
  <c r="F906" i="2"/>
  <c r="E906" i="2"/>
  <c r="A906" i="2"/>
  <c r="C905" i="2"/>
  <c r="H905" i="2"/>
  <c r="G905" i="2"/>
  <c r="G132" i="10" s="1"/>
  <c r="F905" i="2"/>
  <c r="G132" i="9" s="1"/>
  <c r="G132" i="18" s="1"/>
  <c r="A905" i="2"/>
  <c r="C904" i="2"/>
  <c r="H904" i="2"/>
  <c r="A904" i="2"/>
  <c r="C903" i="2"/>
  <c r="D903" i="2"/>
  <c r="A903" i="2"/>
  <c r="E902" i="2"/>
  <c r="D902" i="2"/>
  <c r="A902" i="2"/>
  <c r="F901" i="2"/>
  <c r="C132" i="9" s="1"/>
  <c r="C132" i="18" s="1"/>
  <c r="E901" i="2"/>
  <c r="D901" i="2"/>
  <c r="G900" i="2"/>
  <c r="B132" i="10" s="1"/>
  <c r="F900" i="2"/>
  <c r="B132" i="9" s="1"/>
  <c r="B132" i="18" s="1"/>
  <c r="B132" i="6" s="1"/>
  <c r="E900" i="2"/>
  <c r="D900" i="2"/>
  <c r="H899" i="2"/>
  <c r="H131" i="5" s="1"/>
  <c r="G899" i="2"/>
  <c r="H131" i="4" s="1"/>
  <c r="F899" i="2"/>
  <c r="H131" i="3" s="1"/>
  <c r="E899" i="2"/>
  <c r="D899" i="2"/>
  <c r="C898" i="2"/>
  <c r="H898" i="2"/>
  <c r="G131" i="5" s="1"/>
  <c r="G898" i="2"/>
  <c r="G131" i="4" s="1"/>
  <c r="F898" i="2"/>
  <c r="G131" i="3" s="1"/>
  <c r="A898" i="2"/>
  <c r="C897" i="2"/>
  <c r="H897" i="2"/>
  <c r="F131" i="5" s="1"/>
  <c r="G897" i="2"/>
  <c r="F131" i="4" s="1"/>
  <c r="A897" i="2"/>
  <c r="C896" i="2"/>
  <c r="H896" i="2"/>
  <c r="E131" i="5" s="1"/>
  <c r="G896" i="2"/>
  <c r="E131" i="4" s="1"/>
  <c r="A896" i="2"/>
  <c r="C895" i="2"/>
  <c r="H895" i="2"/>
  <c r="D131" i="5" s="1"/>
  <c r="D895" i="2"/>
  <c r="A895" i="2"/>
  <c r="C894" i="2"/>
  <c r="E894" i="2"/>
  <c r="D894" i="2"/>
  <c r="A894" i="2"/>
  <c r="F893" i="2"/>
  <c r="B131" i="9" s="1"/>
  <c r="E893" i="2"/>
  <c r="D893" i="2"/>
  <c r="G892" i="2"/>
  <c r="H130" i="4" s="1"/>
  <c r="F892" i="2"/>
  <c r="H130" i="3" s="1"/>
  <c r="E892" i="2"/>
  <c r="D892" i="2"/>
  <c r="H891" i="2"/>
  <c r="G130" i="5" s="1"/>
  <c r="G891" i="2"/>
  <c r="G130" i="4" s="1"/>
  <c r="F891" i="2"/>
  <c r="G130" i="3" s="1"/>
  <c r="E891" i="2"/>
  <c r="D891" i="2"/>
  <c r="C890" i="2"/>
  <c r="H890" i="2"/>
  <c r="F130" i="5" s="1"/>
  <c r="G890" i="2"/>
  <c r="F130" i="4" s="1"/>
  <c r="F890" i="2"/>
  <c r="F130" i="3" s="1"/>
  <c r="A890" i="2"/>
  <c r="C889" i="2"/>
  <c r="H889" i="2"/>
  <c r="E130" i="5" s="1"/>
  <c r="G889" i="2"/>
  <c r="E130" i="4" s="1"/>
  <c r="F889" i="2"/>
  <c r="E130" i="3" s="1"/>
  <c r="A889" i="2"/>
  <c r="C888" i="2"/>
  <c r="H888" i="2"/>
  <c r="D130" i="5" s="1"/>
  <c r="A888" i="2"/>
  <c r="C887" i="2"/>
  <c r="H887" i="2"/>
  <c r="C130" i="5" s="1"/>
  <c r="D887" i="2"/>
  <c r="A887" i="2"/>
  <c r="C886" i="2"/>
  <c r="A130" i="20" s="1"/>
  <c r="E886" i="2"/>
  <c r="D886" i="2"/>
  <c r="A886" i="2"/>
  <c r="F885" i="2"/>
  <c r="H129" i="3" s="1"/>
  <c r="E885" i="2"/>
  <c r="D885" i="2"/>
  <c r="F884" i="2"/>
  <c r="G129" i="3" s="1"/>
  <c r="E884" i="2"/>
  <c r="H883" i="2"/>
  <c r="F129" i="5" s="1"/>
  <c r="G883" i="2"/>
  <c r="F129" i="4" s="1"/>
  <c r="F883" i="2"/>
  <c r="F129" i="3" s="1"/>
  <c r="E883" i="2"/>
  <c r="D883" i="2"/>
  <c r="C882" i="2"/>
  <c r="H882" i="2"/>
  <c r="E129" i="5" s="1"/>
  <c r="G882" i="2"/>
  <c r="E129" i="4" s="1"/>
  <c r="F882" i="2"/>
  <c r="E129" i="3" s="1"/>
  <c r="E882" i="2"/>
  <c r="A882" i="2"/>
  <c r="C881" i="2"/>
  <c r="H881" i="2"/>
  <c r="D129" i="5" s="1"/>
  <c r="G881" i="2"/>
  <c r="D129" i="4" s="1"/>
  <c r="A881" i="2"/>
  <c r="C880" i="2"/>
  <c r="H880" i="2"/>
  <c r="C129" i="5" s="1"/>
  <c r="G880" i="2"/>
  <c r="C129" i="4" s="1"/>
  <c r="A880" i="2"/>
  <c r="C879" i="2"/>
  <c r="A129" i="20" s="1"/>
  <c r="H879" i="2"/>
  <c r="D879" i="2"/>
  <c r="A879" i="2"/>
  <c r="E878" i="2"/>
  <c r="D878" i="2"/>
  <c r="A878" i="2"/>
  <c r="F877" i="2"/>
  <c r="G128" i="3" s="1"/>
  <c r="E877" i="2"/>
  <c r="D877" i="2"/>
  <c r="G876" i="2"/>
  <c r="F128" i="4" s="1"/>
  <c r="F876" i="2"/>
  <c r="F128" i="3" s="1"/>
  <c r="E876" i="2"/>
  <c r="D876" i="2"/>
  <c r="H875" i="2"/>
  <c r="E128" i="5" s="1"/>
  <c r="G875" i="2"/>
  <c r="E128" i="4" s="1"/>
  <c r="F875" i="2"/>
  <c r="E128" i="3" s="1"/>
  <c r="E875" i="2"/>
  <c r="D875" i="2"/>
  <c r="C874" i="2"/>
  <c r="H874" i="2"/>
  <c r="D128" i="5" s="1"/>
  <c r="G874" i="2"/>
  <c r="D128" i="4" s="1"/>
  <c r="F874" i="2"/>
  <c r="D128" i="3" s="1"/>
  <c r="E874" i="2"/>
  <c r="A874" i="2"/>
  <c r="C873" i="2"/>
  <c r="H873" i="2"/>
  <c r="C128" i="5" s="1"/>
  <c r="G873" i="2"/>
  <c r="C128" i="4" s="1"/>
  <c r="F873" i="2"/>
  <c r="C128" i="3" s="1"/>
  <c r="A873" i="2"/>
  <c r="C872" i="2"/>
  <c r="A128" i="20" s="1"/>
  <c r="H872" i="2"/>
  <c r="G872" i="2"/>
  <c r="B128" i="10" s="1"/>
  <c r="A872" i="2"/>
  <c r="C871" i="2"/>
  <c r="D871" i="2"/>
  <c r="A871" i="2"/>
  <c r="C870" i="2"/>
  <c r="E870" i="2"/>
  <c r="D870" i="2"/>
  <c r="A870" i="2"/>
  <c r="F869" i="2"/>
  <c r="F127" i="3" s="1"/>
  <c r="E869" i="2"/>
  <c r="D869" i="2"/>
  <c r="G868" i="2"/>
  <c r="E127" i="4" s="1"/>
  <c r="F868" i="2"/>
  <c r="E127" i="3" s="1"/>
  <c r="E868" i="2"/>
  <c r="D868" i="2"/>
  <c r="H867" i="2"/>
  <c r="D127" i="5" s="1"/>
  <c r="G867" i="2"/>
  <c r="D127" i="4" s="1"/>
  <c r="F867" i="2"/>
  <c r="D127" i="3" s="1"/>
  <c r="E867" i="2"/>
  <c r="D867" i="2"/>
  <c r="C866" i="2"/>
  <c r="H866" i="2"/>
  <c r="C127" i="5" s="1"/>
  <c r="G866" i="2"/>
  <c r="C127" i="4" s="1"/>
  <c r="F866" i="2"/>
  <c r="C127" i="3" s="1"/>
  <c r="E866" i="2"/>
  <c r="A866" i="2"/>
  <c r="C865" i="2"/>
  <c r="A127" i="20" s="1"/>
  <c r="H865" i="2"/>
  <c r="G865" i="2"/>
  <c r="B127" i="10" s="1"/>
  <c r="F865" i="2"/>
  <c r="B127" i="9" s="1"/>
  <c r="A865" i="2"/>
  <c r="C864" i="2"/>
  <c r="G864" i="2"/>
  <c r="H126" i="4" s="1"/>
  <c r="A864" i="2"/>
  <c r="H863" i="2"/>
  <c r="G126" i="5" s="1"/>
  <c r="D863" i="2"/>
  <c r="E862" i="2"/>
  <c r="D862" i="2"/>
  <c r="F861" i="2"/>
  <c r="E126" i="3" s="1"/>
  <c r="E861" i="2"/>
  <c r="D861" i="2"/>
  <c r="G860" i="2"/>
  <c r="D126" i="4" s="1"/>
  <c r="F860" i="2"/>
  <c r="D126" i="3" s="1"/>
  <c r="E860" i="2"/>
  <c r="D860" i="2"/>
  <c r="H859" i="2"/>
  <c r="C126" i="5" s="1"/>
  <c r="G859" i="2"/>
  <c r="C126" i="4" s="1"/>
  <c r="F859" i="2"/>
  <c r="C126" i="3" s="1"/>
  <c r="E859" i="2"/>
  <c r="D859" i="2"/>
  <c r="C858" i="2"/>
  <c r="A126" i="20" s="1"/>
  <c r="H858" i="2"/>
  <c r="G858" i="2"/>
  <c r="B126" i="10" s="1"/>
  <c r="F858" i="2"/>
  <c r="B126" i="9" s="1"/>
  <c r="A858" i="2"/>
  <c r="A125" i="20" s="1"/>
  <c r="C857" i="2"/>
  <c r="H857" i="2"/>
  <c r="G857" i="2"/>
  <c r="A857" i="2"/>
  <c r="C856" i="2"/>
  <c r="A856" i="2"/>
  <c r="C855" i="2"/>
  <c r="H855" i="2"/>
  <c r="D855" i="2"/>
  <c r="A855" i="2"/>
  <c r="C854" i="2"/>
  <c r="E854" i="2"/>
  <c r="D854" i="2"/>
  <c r="A854" i="2"/>
  <c r="F853" i="2"/>
  <c r="E853" i="2"/>
  <c r="D853" i="2"/>
  <c r="G852" i="2"/>
  <c r="F852" i="2"/>
  <c r="E852" i="2"/>
  <c r="D852" i="2"/>
  <c r="H851" i="2"/>
  <c r="G851" i="2"/>
  <c r="F851" i="2"/>
  <c r="E851" i="2"/>
  <c r="C850" i="2"/>
  <c r="H850" i="2"/>
  <c r="G850" i="2"/>
  <c r="F850" i="2"/>
  <c r="E850" i="2"/>
  <c r="A850" i="2"/>
  <c r="C849" i="2"/>
  <c r="H849" i="2"/>
  <c r="G849" i="2"/>
  <c r="F849" i="2"/>
  <c r="A849" i="2"/>
  <c r="C848" i="2"/>
  <c r="H848" i="2"/>
  <c r="A848" i="2"/>
  <c r="C847" i="2"/>
  <c r="H847" i="2"/>
  <c r="D847" i="2"/>
  <c r="A847" i="2"/>
  <c r="E846" i="2"/>
  <c r="D846" i="2"/>
  <c r="F845" i="2"/>
  <c r="E845" i="2"/>
  <c r="D845" i="2"/>
  <c r="G844" i="2"/>
  <c r="F844" i="2"/>
  <c r="E844" i="2"/>
  <c r="D844" i="2"/>
  <c r="H843" i="2"/>
  <c r="H124" i="5" s="1"/>
  <c r="G843" i="2"/>
  <c r="H124" i="4" s="1"/>
  <c r="F843" i="2"/>
  <c r="H124" i="3" s="1"/>
  <c r="E843" i="2"/>
  <c r="D843" i="2"/>
  <c r="C842" i="2"/>
  <c r="H842" i="2"/>
  <c r="G124" i="5" s="1"/>
  <c r="G842" i="2"/>
  <c r="G124" i="4" s="1"/>
  <c r="F842" i="2"/>
  <c r="G124" i="3" s="1"/>
  <c r="E842" i="2"/>
  <c r="A842" i="2"/>
  <c r="C841" i="2"/>
  <c r="H841" i="2"/>
  <c r="F124" i="5" s="1"/>
  <c r="G841" i="2"/>
  <c r="F124" i="4" s="1"/>
  <c r="A841" i="2"/>
  <c r="C840" i="2"/>
  <c r="H840" i="2"/>
  <c r="E124" i="5" s="1"/>
  <c r="A840" i="2"/>
  <c r="C839" i="2"/>
  <c r="H839" i="2"/>
  <c r="D124" i="5" s="1"/>
  <c r="D839" i="2"/>
  <c r="A839" i="2"/>
  <c r="C838" i="2"/>
  <c r="E838" i="2"/>
  <c r="D838" i="2"/>
  <c r="F837" i="2"/>
  <c r="B124" i="9" s="1"/>
  <c r="E837" i="2"/>
  <c r="D837" i="2"/>
  <c r="G836" i="2"/>
  <c r="H122" i="4" s="1"/>
  <c r="F836" i="2"/>
  <c r="H122" i="3" s="1"/>
  <c r="E836" i="2"/>
  <c r="D836" i="2"/>
  <c r="H835" i="2"/>
  <c r="G122" i="5" s="1"/>
  <c r="G835" i="2"/>
  <c r="G122" i="4" s="1"/>
  <c r="F835" i="2"/>
  <c r="G122" i="3" s="1"/>
  <c r="E835" i="2"/>
  <c r="D835" i="2"/>
  <c r="C834" i="2"/>
  <c r="H834" i="2"/>
  <c r="F122" i="5" s="1"/>
  <c r="G834" i="2"/>
  <c r="F122" i="4" s="1"/>
  <c r="F834" i="2"/>
  <c r="F122" i="3" s="1"/>
  <c r="E834" i="2"/>
  <c r="A834" i="2"/>
  <c r="C833" i="2"/>
  <c r="H833" i="2"/>
  <c r="E122" i="5" s="1"/>
  <c r="G833" i="2"/>
  <c r="E122" i="4" s="1"/>
  <c r="F833" i="2"/>
  <c r="E122" i="3" s="1"/>
  <c r="A833" i="2"/>
  <c r="C832" i="2"/>
  <c r="H832" i="2"/>
  <c r="D122" i="5" s="1"/>
  <c r="A832" i="2"/>
  <c r="C831" i="2"/>
  <c r="D831" i="2"/>
  <c r="A831" i="2"/>
  <c r="C830" i="2"/>
  <c r="A122" i="20" s="1"/>
  <c r="E830" i="2"/>
  <c r="D830" i="2"/>
  <c r="A830" i="2"/>
  <c r="F829" i="2"/>
  <c r="H120" i="3" s="1"/>
  <c r="E829" i="2"/>
  <c r="D829" i="2"/>
  <c r="G828" i="2"/>
  <c r="G120" i="4" s="1"/>
  <c r="F828" i="2"/>
  <c r="G120" i="3" s="1"/>
  <c r="E828" i="2"/>
  <c r="D828" i="2"/>
  <c r="H827" i="2"/>
  <c r="F120" i="5" s="1"/>
  <c r="G827" i="2"/>
  <c r="F120" i="4" s="1"/>
  <c r="F827" i="2"/>
  <c r="F120" i="3" s="1"/>
  <c r="E827" i="2"/>
  <c r="C826" i="2"/>
  <c r="H826" i="2"/>
  <c r="E120" i="5" s="1"/>
  <c r="G826" i="2"/>
  <c r="E120" i="4" s="1"/>
  <c r="F826" i="2"/>
  <c r="E120" i="3" s="1"/>
  <c r="A826" i="2"/>
  <c r="C825" i="2"/>
  <c r="H825" i="2"/>
  <c r="D120" i="5" s="1"/>
  <c r="G825" i="2"/>
  <c r="D120" i="4" s="1"/>
  <c r="F825" i="2"/>
  <c r="D120" i="3" s="1"/>
  <c r="A825" i="2"/>
  <c r="C824" i="2"/>
  <c r="H824" i="2"/>
  <c r="C120" i="5" s="1"/>
  <c r="G824" i="2"/>
  <c r="C120" i="4" s="1"/>
  <c r="A824" i="2"/>
  <c r="C823" i="2"/>
  <c r="A120" i="20" s="1"/>
  <c r="H823" i="2"/>
  <c r="D823" i="2"/>
  <c r="A823" i="2"/>
  <c r="C822" i="2"/>
  <c r="E822" i="2"/>
  <c r="D822" i="2"/>
  <c r="A822" i="2"/>
  <c r="F821" i="2"/>
  <c r="G119" i="3" s="1"/>
  <c r="E821" i="2"/>
  <c r="D821" i="2"/>
  <c r="G820" i="2"/>
  <c r="F119" i="4" s="1"/>
  <c r="F820" i="2"/>
  <c r="F119" i="3" s="1"/>
  <c r="E820" i="2"/>
  <c r="D820" i="2"/>
  <c r="H819" i="2"/>
  <c r="E119" i="5" s="1"/>
  <c r="G819" i="2"/>
  <c r="E119" i="4" s="1"/>
  <c r="F819" i="2"/>
  <c r="E119" i="3" s="1"/>
  <c r="E819" i="2"/>
  <c r="D819" i="2"/>
  <c r="C818" i="2"/>
  <c r="H818" i="2"/>
  <c r="D119" i="5" s="1"/>
  <c r="G818" i="2"/>
  <c r="D119" i="4" s="1"/>
  <c r="F818" i="2"/>
  <c r="D119" i="3" s="1"/>
  <c r="E818" i="2"/>
  <c r="A818" i="2"/>
  <c r="C817" i="2"/>
  <c r="H817" i="2"/>
  <c r="C119" i="5" s="1"/>
  <c r="G817" i="2"/>
  <c r="C119" i="4" s="1"/>
  <c r="F817" i="2"/>
  <c r="C119" i="3" s="1"/>
  <c r="A817" i="2"/>
  <c r="C816" i="2"/>
  <c r="A119" i="20" s="1"/>
  <c r="H816" i="2"/>
  <c r="A816" i="2"/>
  <c r="C815" i="2"/>
  <c r="H815" i="2"/>
  <c r="H118" i="5" s="1"/>
  <c r="D815" i="2"/>
  <c r="A815" i="2"/>
  <c r="C814" i="2"/>
  <c r="E814" i="2"/>
  <c r="D814" i="2"/>
  <c r="A814" i="2"/>
  <c r="F813" i="2"/>
  <c r="F118" i="3" s="1"/>
  <c r="E813" i="2"/>
  <c r="D813" i="2"/>
  <c r="G812" i="2"/>
  <c r="E118" i="4" s="1"/>
  <c r="F812" i="2"/>
  <c r="E118" i="3" s="1"/>
  <c r="E812" i="2"/>
  <c r="D812" i="2"/>
  <c r="H811" i="2"/>
  <c r="D118" i="5" s="1"/>
  <c r="G811" i="2"/>
  <c r="D118" i="4" s="1"/>
  <c r="F811" i="2"/>
  <c r="D118" i="3" s="1"/>
  <c r="E811" i="2"/>
  <c r="D811" i="2"/>
  <c r="C810" i="2"/>
  <c r="H810" i="2"/>
  <c r="C118" i="5" s="1"/>
  <c r="G810" i="2"/>
  <c r="C118" i="4" s="1"/>
  <c r="F810" i="2"/>
  <c r="C118" i="3" s="1"/>
  <c r="A810" i="2"/>
  <c r="C809" i="2"/>
  <c r="A118" i="20" s="1"/>
  <c r="H809" i="2"/>
  <c r="G809" i="2"/>
  <c r="B118" i="10" s="1"/>
  <c r="F809" i="2"/>
  <c r="B118" i="9" s="1"/>
  <c r="A809" i="2"/>
  <c r="C808" i="2"/>
  <c r="H808" i="2"/>
  <c r="H117" i="5" s="1"/>
  <c r="A808" i="2"/>
  <c r="C807" i="2"/>
  <c r="H807" i="2"/>
  <c r="G117" i="5" s="1"/>
  <c r="D807" i="2"/>
  <c r="A807" i="2"/>
  <c r="E806" i="2"/>
  <c r="D806" i="2"/>
  <c r="F805" i="2"/>
  <c r="E117" i="3" s="1"/>
  <c r="E805" i="2"/>
  <c r="D805" i="2"/>
  <c r="G804" i="2"/>
  <c r="D117" i="4" s="1"/>
  <c r="F804" i="2"/>
  <c r="D117" i="3" s="1"/>
  <c r="E804" i="2"/>
  <c r="D804" i="2"/>
  <c r="H803" i="2"/>
  <c r="C117" i="5" s="1"/>
  <c r="G803" i="2"/>
  <c r="C117" i="4" s="1"/>
  <c r="F803" i="2"/>
  <c r="C117" i="3" s="1"/>
  <c r="E803" i="2"/>
  <c r="D803" i="2"/>
  <c r="C802" i="2"/>
  <c r="A117" i="20" s="1"/>
  <c r="H802" i="2"/>
  <c r="G802" i="2"/>
  <c r="B117" i="10" s="1"/>
  <c r="F802" i="2"/>
  <c r="B117" i="9" s="1"/>
  <c r="E802" i="2"/>
  <c r="A802" i="2"/>
  <c r="C801" i="2"/>
  <c r="H801" i="2"/>
  <c r="H116" i="5" s="1"/>
  <c r="G801" i="2"/>
  <c r="H116" i="4" s="1"/>
  <c r="F801" i="2"/>
  <c r="H116" i="3" s="1"/>
  <c r="A801" i="2"/>
  <c r="C800" i="2"/>
  <c r="H800" i="2"/>
  <c r="G116" i="5" s="1"/>
  <c r="A800" i="2"/>
  <c r="C799" i="2"/>
  <c r="D799" i="2"/>
  <c r="A799" i="2"/>
  <c r="C798" i="2"/>
  <c r="E798" i="2"/>
  <c r="D798" i="2"/>
  <c r="A798" i="2"/>
  <c r="F797" i="2"/>
  <c r="D116" i="3" s="1"/>
  <c r="E797" i="2"/>
  <c r="D797" i="2"/>
  <c r="G796" i="2"/>
  <c r="C116" i="4" s="1"/>
  <c r="F796" i="2"/>
  <c r="C116" i="3" s="1"/>
  <c r="E796" i="2"/>
  <c r="D796" i="2"/>
  <c r="H795" i="2"/>
  <c r="G795" i="2"/>
  <c r="B116" i="10" s="1"/>
  <c r="F795" i="2"/>
  <c r="B116" i="9" s="1"/>
  <c r="E795" i="2"/>
  <c r="C794" i="2"/>
  <c r="H794" i="2"/>
  <c r="H115" i="5" s="1"/>
  <c r="G794" i="2"/>
  <c r="H115" i="4" s="1"/>
  <c r="F794" i="2"/>
  <c r="H115" i="3" s="1"/>
  <c r="E794" i="2"/>
  <c r="A794" i="2"/>
  <c r="C793" i="2"/>
  <c r="H793" i="2"/>
  <c r="G115" i="5" s="1"/>
  <c r="G793" i="2"/>
  <c r="G115" i="4" s="1"/>
  <c r="F793" i="2"/>
  <c r="G115" i="3" s="1"/>
  <c r="A793" i="2"/>
  <c r="C792" i="2"/>
  <c r="H792" i="2"/>
  <c r="F115" i="5" s="1"/>
  <c r="A792" i="2"/>
  <c r="C791" i="2"/>
  <c r="D791" i="2"/>
  <c r="A791" i="2"/>
  <c r="C790" i="2"/>
  <c r="E790" i="2"/>
  <c r="D790" i="2"/>
  <c r="A790" i="2"/>
  <c r="F789" i="2"/>
  <c r="C115" i="3" s="1"/>
  <c r="E789" i="2"/>
  <c r="D789" i="2"/>
  <c r="G788" i="2"/>
  <c r="B115" i="10" s="1"/>
  <c r="F788" i="2"/>
  <c r="B115" i="9" s="1"/>
  <c r="E788" i="2"/>
  <c r="D788" i="2"/>
  <c r="H787" i="2"/>
  <c r="G787" i="2"/>
  <c r="F787" i="2"/>
  <c r="E787" i="2"/>
  <c r="C786" i="2"/>
  <c r="H786" i="2"/>
  <c r="G786" i="2"/>
  <c r="F786" i="2"/>
  <c r="A786" i="2"/>
  <c r="C785" i="2"/>
  <c r="H785" i="2"/>
  <c r="G785" i="2"/>
  <c r="A785" i="2"/>
  <c r="C784" i="2"/>
  <c r="H784" i="2"/>
  <c r="G784" i="2"/>
  <c r="A784" i="2"/>
  <c r="C783" i="2"/>
  <c r="D783" i="2"/>
  <c r="A783" i="2"/>
  <c r="C782" i="2"/>
  <c r="E782" i="2"/>
  <c r="D782" i="2"/>
  <c r="F781" i="2"/>
  <c r="E781" i="2"/>
  <c r="D781" i="2"/>
  <c r="G780" i="2"/>
  <c r="F780" i="2"/>
  <c r="E780" i="2"/>
  <c r="D780" i="2"/>
  <c r="H779" i="2"/>
  <c r="G779" i="2"/>
  <c r="F779" i="2"/>
  <c r="E779" i="2"/>
  <c r="C778" i="2"/>
  <c r="H778" i="2"/>
  <c r="G778" i="2"/>
  <c r="F778" i="2"/>
  <c r="E778" i="2"/>
  <c r="A778" i="2"/>
  <c r="C777" i="2"/>
  <c r="H777" i="2"/>
  <c r="G777" i="2"/>
  <c r="F777" i="2"/>
  <c r="A777" i="2"/>
  <c r="C776" i="2"/>
  <c r="H776" i="2"/>
  <c r="G776" i="2"/>
  <c r="A776" i="2"/>
  <c r="C775" i="2"/>
  <c r="D775" i="2"/>
  <c r="A775" i="2"/>
  <c r="E774" i="2"/>
  <c r="D774" i="2"/>
  <c r="A774" i="2"/>
  <c r="F773" i="2"/>
  <c r="H113" i="3" s="1"/>
  <c r="E773" i="2"/>
  <c r="D773" i="2"/>
  <c r="G772" i="2"/>
  <c r="G113" i="4" s="1"/>
  <c r="F772" i="2"/>
  <c r="G113" i="3" s="1"/>
  <c r="E772" i="2"/>
  <c r="D772" i="2"/>
  <c r="H771" i="2"/>
  <c r="F113" i="5" s="1"/>
  <c r="G771" i="2"/>
  <c r="F113" i="4" s="1"/>
  <c r="F771" i="2"/>
  <c r="F113" i="3" s="1"/>
  <c r="E771" i="2"/>
  <c r="D771" i="2"/>
  <c r="C770" i="2"/>
  <c r="H770" i="2"/>
  <c r="E113" i="5" s="1"/>
  <c r="G770" i="2"/>
  <c r="E113" i="4" s="1"/>
  <c r="F770" i="2"/>
  <c r="E113" i="3" s="1"/>
  <c r="A770" i="2"/>
  <c r="C769" i="2"/>
  <c r="H769" i="2"/>
  <c r="D113" i="5" s="1"/>
  <c r="G769" i="2"/>
  <c r="D113" i="4" s="1"/>
  <c r="A769" i="2"/>
  <c r="C768" i="2"/>
  <c r="H768" i="2"/>
  <c r="C113" i="5" s="1"/>
  <c r="G768" i="2"/>
  <c r="C113" i="4" s="1"/>
  <c r="A768" i="2"/>
  <c r="D767" i="2"/>
  <c r="A767" i="2"/>
  <c r="E766" i="2"/>
  <c r="D766" i="2"/>
  <c r="A766" i="2"/>
  <c r="F765" i="2"/>
  <c r="G111" i="3" s="1"/>
  <c r="E765" i="2"/>
  <c r="D765" i="2"/>
  <c r="G764" i="2"/>
  <c r="F111" i="4" s="1"/>
  <c r="F764" i="2"/>
  <c r="F111" i="3" s="1"/>
  <c r="E764" i="2"/>
  <c r="D764" i="2"/>
  <c r="H763" i="2"/>
  <c r="E111" i="5" s="1"/>
  <c r="G763" i="2"/>
  <c r="E111" i="4" s="1"/>
  <c r="F763" i="2"/>
  <c r="E111" i="3" s="1"/>
  <c r="E763" i="2"/>
  <c r="D763" i="2"/>
  <c r="C762" i="2"/>
  <c r="H762" i="2"/>
  <c r="D111" i="5" s="1"/>
  <c r="G762" i="2"/>
  <c r="D111" i="4" s="1"/>
  <c r="F762" i="2"/>
  <c r="D111" i="3" s="1"/>
  <c r="E762" i="2"/>
  <c r="A762" i="2"/>
  <c r="C761" i="2"/>
  <c r="H761" i="2"/>
  <c r="C111" i="5" s="1"/>
  <c r="G761" i="2"/>
  <c r="C111" i="4" s="1"/>
  <c r="A761" i="2"/>
  <c r="C760" i="2"/>
  <c r="A111" i="20" s="1"/>
  <c r="H760" i="2"/>
  <c r="A760" i="2"/>
  <c r="C759" i="2"/>
  <c r="H759" i="2"/>
  <c r="H110" i="5" s="1"/>
  <c r="D759" i="2"/>
  <c r="A759" i="2"/>
  <c r="C758" i="2"/>
  <c r="E758" i="2"/>
  <c r="D758" i="2"/>
  <c r="A758" i="2"/>
  <c r="F757" i="2"/>
  <c r="F110" i="3" s="1"/>
  <c r="E757" i="2"/>
  <c r="D757" i="2"/>
  <c r="G756" i="2"/>
  <c r="E110" i="4" s="1"/>
  <c r="F756" i="2"/>
  <c r="E110" i="3" s="1"/>
  <c r="E756" i="2"/>
  <c r="D756" i="2"/>
  <c r="H755" i="2"/>
  <c r="D110" i="5" s="1"/>
  <c r="G755" i="2"/>
  <c r="D110" i="4" s="1"/>
  <c r="F755" i="2"/>
  <c r="D110" i="3" s="1"/>
  <c r="E755" i="2"/>
  <c r="D755" i="2"/>
  <c r="C754" i="2"/>
  <c r="H754" i="2"/>
  <c r="C110" i="5" s="1"/>
  <c r="F754" i="2"/>
  <c r="C110" i="3" s="1"/>
  <c r="A754" i="2"/>
  <c r="C753" i="2"/>
  <c r="H753" i="2"/>
  <c r="B110" i="5" s="1"/>
  <c r="G753" i="2"/>
  <c r="B110" i="4" s="1"/>
  <c r="F753" i="2"/>
  <c r="B110" i="3" s="1"/>
  <c r="A753" i="2"/>
  <c r="C752" i="2"/>
  <c r="H752" i="2"/>
  <c r="H109" i="5" s="1"/>
  <c r="G752" i="2"/>
  <c r="H109" i="4" s="1"/>
  <c r="A752" i="2"/>
  <c r="C751" i="2"/>
  <c r="D751" i="2"/>
  <c r="A751" i="2"/>
  <c r="C750" i="2"/>
  <c r="E750" i="2"/>
  <c r="D750" i="2"/>
  <c r="A750" i="2"/>
  <c r="F749" i="2"/>
  <c r="E109" i="3" s="1"/>
  <c r="E749" i="2"/>
  <c r="D749" i="2"/>
  <c r="G748" i="2"/>
  <c r="D109" i="4" s="1"/>
  <c r="F748" i="2"/>
  <c r="D109" i="3" s="1"/>
  <c r="E748" i="2"/>
  <c r="D748" i="2"/>
  <c r="H747" i="2"/>
  <c r="C109" i="5" s="1"/>
  <c r="G747" i="2"/>
  <c r="C109" i="4" s="1"/>
  <c r="F747" i="2"/>
  <c r="C109" i="3" s="1"/>
  <c r="E747" i="2"/>
  <c r="D747" i="2"/>
  <c r="C746" i="2"/>
  <c r="A109" i="20" s="1"/>
  <c r="H746" i="2"/>
  <c r="G746" i="2"/>
  <c r="B109" i="10" s="1"/>
  <c r="F746" i="2"/>
  <c r="B109" i="9" s="1"/>
  <c r="E746" i="2"/>
  <c r="A746" i="2"/>
  <c r="C745" i="2"/>
  <c r="H745" i="2"/>
  <c r="H108" i="5" s="1"/>
  <c r="G745" i="2"/>
  <c r="H108" i="4" s="1"/>
  <c r="F745" i="2"/>
  <c r="H108" i="3" s="1"/>
  <c r="A745" i="2"/>
  <c r="C744" i="2"/>
  <c r="H744" i="2"/>
  <c r="G108" i="5" s="1"/>
  <c r="G744" i="2"/>
  <c r="G108" i="4" s="1"/>
  <c r="A744" i="2"/>
  <c r="C743" i="2"/>
  <c r="H743" i="2"/>
  <c r="F108" i="5" s="1"/>
  <c r="D743" i="2"/>
  <c r="A743" i="2"/>
  <c r="C742" i="2"/>
  <c r="E742" i="2"/>
  <c r="D742" i="2"/>
  <c r="A742" i="2"/>
  <c r="F741" i="2"/>
  <c r="D108" i="3" s="1"/>
  <c r="E741" i="2"/>
  <c r="D741" i="2"/>
  <c r="G740" i="2"/>
  <c r="C108" i="4" s="1"/>
  <c r="F740" i="2"/>
  <c r="C108" i="3" s="1"/>
  <c r="E740" i="2"/>
  <c r="D740" i="2"/>
  <c r="H739" i="2"/>
  <c r="G739" i="2"/>
  <c r="B108" i="10" s="1"/>
  <c r="F739" i="2"/>
  <c r="B108" i="9" s="1"/>
  <c r="E739" i="2"/>
  <c r="D739" i="2"/>
  <c r="C738" i="2"/>
  <c r="H738" i="2"/>
  <c r="H107" i="5" s="1"/>
  <c r="G738" i="2"/>
  <c r="H107" i="4" s="1"/>
  <c r="F738" i="2"/>
  <c r="H107" i="3" s="1"/>
  <c r="A738" i="2"/>
  <c r="C737" i="2"/>
  <c r="H737" i="2"/>
  <c r="G107" i="5" s="1"/>
  <c r="G737" i="2"/>
  <c r="G107" i="4" s="1"/>
  <c r="A737" i="2"/>
  <c r="C736" i="2"/>
  <c r="H736" i="2"/>
  <c r="F107" i="5" s="1"/>
  <c r="G736" i="2"/>
  <c r="F107" i="4" s="1"/>
  <c r="A736" i="2"/>
  <c r="C735" i="2"/>
  <c r="H735" i="2"/>
  <c r="E107" i="5" s="1"/>
  <c r="D735" i="2"/>
  <c r="A735" i="2"/>
  <c r="C734" i="2"/>
  <c r="E734" i="2"/>
  <c r="D734" i="2"/>
  <c r="A734" i="2"/>
  <c r="F733" i="2"/>
  <c r="C107" i="3" s="1"/>
  <c r="E733" i="2"/>
  <c r="D733" i="2"/>
  <c r="G732" i="2"/>
  <c r="B107" i="10" s="1"/>
  <c r="F732" i="2"/>
  <c r="B107" i="9" s="1"/>
  <c r="E732" i="2"/>
  <c r="D732" i="2"/>
  <c r="H731" i="2"/>
  <c r="H106" i="5" s="1"/>
  <c r="G731" i="2"/>
  <c r="H106" i="4" s="1"/>
  <c r="F731" i="2"/>
  <c r="H106" i="3" s="1"/>
  <c r="E731" i="2"/>
  <c r="C730" i="2"/>
  <c r="H730" i="2"/>
  <c r="G106" i="5" s="1"/>
  <c r="G730" i="2"/>
  <c r="G106" i="4" s="1"/>
  <c r="F730" i="2"/>
  <c r="G106" i="3" s="1"/>
  <c r="E730" i="2"/>
  <c r="A730" i="2"/>
  <c r="C729" i="2"/>
  <c r="H729" i="2"/>
  <c r="F106" i="5" s="1"/>
  <c r="F729" i="2"/>
  <c r="F106" i="3" s="1"/>
  <c r="A729" i="2"/>
  <c r="C728" i="2"/>
  <c r="H728" i="2"/>
  <c r="E106" i="5" s="1"/>
  <c r="G728" i="2"/>
  <c r="E106" i="4" s="1"/>
  <c r="A728" i="2"/>
  <c r="C727" i="2"/>
  <c r="H727" i="2"/>
  <c r="D106" i="5" s="1"/>
  <c r="D727" i="2"/>
  <c r="A727" i="2"/>
  <c r="E726" i="2"/>
  <c r="D726" i="2"/>
  <c r="F725" i="2"/>
  <c r="B106" i="9" s="1"/>
  <c r="E725" i="2"/>
  <c r="D725" i="2"/>
  <c r="G724" i="2"/>
  <c r="H105" i="4" s="1"/>
  <c r="F724" i="2"/>
  <c r="H105" i="3" s="1"/>
  <c r="E724" i="2"/>
  <c r="D724" i="2"/>
  <c r="H723" i="2"/>
  <c r="G105" i="5" s="1"/>
  <c r="G723" i="2"/>
  <c r="G105" i="4" s="1"/>
  <c r="F723" i="2"/>
  <c r="G105" i="3" s="1"/>
  <c r="E723" i="2"/>
  <c r="D723" i="2"/>
  <c r="C722" i="2"/>
  <c r="H722" i="2"/>
  <c r="F105" i="5" s="1"/>
  <c r="G722" i="2"/>
  <c r="F105" i="4" s="1"/>
  <c r="F722" i="2"/>
  <c r="F105" i="3" s="1"/>
  <c r="E722" i="2"/>
  <c r="A722" i="2"/>
  <c r="C721" i="2"/>
  <c r="H721" i="2"/>
  <c r="E105" i="5" s="1"/>
  <c r="G721" i="2"/>
  <c r="E105" i="4" s="1"/>
  <c r="F721" i="2"/>
  <c r="E105" i="3" s="1"/>
  <c r="A721" i="2"/>
  <c r="C720" i="2"/>
  <c r="H720" i="2"/>
  <c r="D105" i="5" s="1"/>
  <c r="G720" i="2"/>
  <c r="D105" i="4" s="1"/>
  <c r="A720" i="2"/>
  <c r="C719" i="2"/>
  <c r="D719" i="2"/>
  <c r="A719" i="2"/>
  <c r="E718" i="2"/>
  <c r="D718" i="2"/>
  <c r="F717" i="2"/>
  <c r="H104" i="3" s="1"/>
  <c r="E717" i="2"/>
  <c r="D717" i="2"/>
  <c r="G716" i="2"/>
  <c r="G104" i="4" s="1"/>
  <c r="F716" i="2"/>
  <c r="G104" i="3" s="1"/>
  <c r="E716" i="2"/>
  <c r="D716" i="2"/>
  <c r="H715" i="2"/>
  <c r="F104" i="5" s="1"/>
  <c r="G715" i="2"/>
  <c r="F104" i="4" s="1"/>
  <c r="F715" i="2"/>
  <c r="F104" i="3" s="1"/>
  <c r="E715" i="2"/>
  <c r="C714" i="2"/>
  <c r="H714" i="2"/>
  <c r="E104" i="5" s="1"/>
  <c r="G714" i="2"/>
  <c r="E104" i="4" s="1"/>
  <c r="F714" i="2"/>
  <c r="E104" i="3" s="1"/>
  <c r="E714" i="2"/>
  <c r="A714" i="2"/>
  <c r="C713" i="2"/>
  <c r="H713" i="2"/>
  <c r="D104" i="5" s="1"/>
  <c r="G713" i="2"/>
  <c r="D104" i="4" s="1"/>
  <c r="F713" i="2"/>
  <c r="D104" i="3" s="1"/>
  <c r="A713" i="2"/>
  <c r="C712" i="2"/>
  <c r="H712" i="2"/>
  <c r="C104" i="5" s="1"/>
  <c r="A712" i="2"/>
  <c r="C711" i="2"/>
  <c r="A104" i="20" s="1"/>
  <c r="H711" i="2"/>
  <c r="D711" i="2"/>
  <c r="A711" i="2"/>
  <c r="A103" i="20" s="1"/>
  <c r="E710" i="2"/>
  <c r="D710" i="2"/>
  <c r="F709" i="2"/>
  <c r="E709" i="2"/>
  <c r="D709" i="2"/>
  <c r="G708" i="2"/>
  <c r="F708" i="2"/>
  <c r="E708" i="2"/>
  <c r="D708" i="2"/>
  <c r="H707" i="2"/>
  <c r="G707" i="2"/>
  <c r="F707" i="2"/>
  <c r="E707" i="2"/>
  <c r="D707" i="2"/>
  <c r="C706" i="2"/>
  <c r="H706" i="2"/>
  <c r="G706" i="2"/>
  <c r="F706" i="2"/>
  <c r="E706" i="2"/>
  <c r="A706" i="2"/>
  <c r="C705" i="2"/>
  <c r="H705" i="2"/>
  <c r="G705" i="2"/>
  <c r="A705" i="2"/>
  <c r="C704" i="2"/>
  <c r="H704" i="2"/>
  <c r="A704" i="2"/>
  <c r="C703" i="2"/>
  <c r="H703" i="2"/>
  <c r="D703" i="2"/>
  <c r="A703" i="2"/>
  <c r="C702" i="2"/>
  <c r="E702" i="2"/>
  <c r="D702" i="2"/>
  <c r="A702" i="2"/>
  <c r="F701" i="2"/>
  <c r="E701" i="2"/>
  <c r="D701" i="2"/>
  <c r="G700" i="2"/>
  <c r="F700" i="2"/>
  <c r="E700" i="2"/>
  <c r="D700" i="2"/>
  <c r="H699" i="2"/>
  <c r="G699" i="2"/>
  <c r="F699" i="2"/>
  <c r="E699" i="2"/>
  <c r="C698" i="2"/>
  <c r="H698" i="2"/>
  <c r="G698" i="2"/>
  <c r="F698" i="2"/>
  <c r="A698" i="2"/>
  <c r="C697" i="2"/>
  <c r="H697" i="2"/>
  <c r="G697" i="2"/>
  <c r="F697" i="2"/>
  <c r="A697" i="2"/>
  <c r="C696" i="2"/>
  <c r="H696" i="2"/>
  <c r="H102" i="5" s="1"/>
  <c r="G696" i="2"/>
  <c r="H102" i="4" s="1"/>
  <c r="A696" i="2"/>
  <c r="C695" i="2"/>
  <c r="H695" i="2"/>
  <c r="G102" i="5" s="1"/>
  <c r="D695" i="2"/>
  <c r="A695" i="2"/>
  <c r="C694" i="2"/>
  <c r="E694" i="2"/>
  <c r="D694" i="2"/>
  <c r="F693" i="2"/>
  <c r="E102" i="3" s="1"/>
  <c r="E693" i="2"/>
  <c r="D693" i="2"/>
  <c r="G692" i="2"/>
  <c r="D102" i="4" s="1"/>
  <c r="F692" i="2"/>
  <c r="D102" i="3" s="1"/>
  <c r="E692" i="2"/>
  <c r="D692" i="2"/>
  <c r="H691" i="2"/>
  <c r="C102" i="5" s="1"/>
  <c r="G691" i="2"/>
  <c r="C102" i="4" s="1"/>
  <c r="F691" i="2"/>
  <c r="C102" i="3" s="1"/>
  <c r="E691" i="2"/>
  <c r="D691" i="2"/>
  <c r="C690" i="2"/>
  <c r="A102" i="20" s="1"/>
  <c r="H690" i="2"/>
  <c r="G690" i="2"/>
  <c r="B102" i="10" s="1"/>
  <c r="F690" i="2"/>
  <c r="B102" i="9" s="1"/>
  <c r="E690" i="2"/>
  <c r="A690" i="2"/>
  <c r="C689" i="2"/>
  <c r="H689" i="2"/>
  <c r="H101" i="5" s="1"/>
  <c r="G689" i="2"/>
  <c r="H101" i="4" s="1"/>
  <c r="F689" i="2"/>
  <c r="H101" i="3" s="1"/>
  <c r="A689" i="2"/>
  <c r="C688" i="2"/>
  <c r="H688" i="2"/>
  <c r="G101" i="5" s="1"/>
  <c r="A688" i="2"/>
  <c r="C687" i="2"/>
  <c r="H687" i="2"/>
  <c r="F101" i="5" s="1"/>
  <c r="D687" i="2"/>
  <c r="A687" i="2"/>
  <c r="C686" i="2"/>
  <c r="E686" i="2"/>
  <c r="D686" i="2"/>
  <c r="A686" i="2"/>
  <c r="F685" i="2"/>
  <c r="D101" i="3" s="1"/>
  <c r="E685" i="2"/>
  <c r="D685" i="2"/>
  <c r="G684" i="2"/>
  <c r="C101" i="4" s="1"/>
  <c r="F684" i="2"/>
  <c r="C101" i="3" s="1"/>
  <c r="E684" i="2"/>
  <c r="D684" i="2"/>
  <c r="H683" i="2"/>
  <c r="G683" i="2"/>
  <c r="B101" i="10" s="1"/>
  <c r="F683" i="2"/>
  <c r="B101" i="9" s="1"/>
  <c r="E683" i="2"/>
  <c r="D683" i="2"/>
  <c r="C682" i="2"/>
  <c r="H682" i="2"/>
  <c r="G682" i="2"/>
  <c r="F682" i="2"/>
  <c r="A682" i="2"/>
  <c r="C681" i="2"/>
  <c r="H681" i="2"/>
  <c r="G681" i="2"/>
  <c r="G100" i="10" s="1"/>
  <c r="A681" i="2"/>
  <c r="C680" i="2"/>
  <c r="H680" i="2"/>
  <c r="A680" i="2"/>
  <c r="C679" i="2"/>
  <c r="H679" i="2"/>
  <c r="D679" i="2"/>
  <c r="A679" i="2"/>
  <c r="C678" i="2"/>
  <c r="E678" i="2"/>
  <c r="D678" i="2"/>
  <c r="A678" i="2"/>
  <c r="F677" i="2"/>
  <c r="C100" i="9" s="1"/>
  <c r="E677" i="2"/>
  <c r="D677" i="2"/>
  <c r="G676" i="2"/>
  <c r="F676" i="2"/>
  <c r="E676" i="2"/>
  <c r="D676" i="2"/>
  <c r="H675" i="2"/>
  <c r="G675" i="2"/>
  <c r="F675" i="2"/>
  <c r="E675" i="2"/>
  <c r="H674" i="2"/>
  <c r="G674" i="2"/>
  <c r="G99" i="10" s="1"/>
  <c r="F674" i="2"/>
  <c r="G99" i="9" s="1"/>
  <c r="A674" i="2"/>
  <c r="C673" i="2"/>
  <c r="H673" i="2"/>
  <c r="G673" i="2"/>
  <c r="F99" i="10" s="1"/>
  <c r="F673" i="2"/>
  <c r="F99" i="9" s="1"/>
  <c r="A673" i="2"/>
  <c r="C672" i="2"/>
  <c r="H672" i="2"/>
  <c r="A672" i="2"/>
  <c r="C671" i="2"/>
  <c r="D671" i="2"/>
  <c r="A671" i="2"/>
  <c r="E670" i="2"/>
  <c r="D670" i="2"/>
  <c r="A670" i="2"/>
  <c r="F669" i="2"/>
  <c r="E669" i="2"/>
  <c r="D669" i="2"/>
  <c r="G668" i="2"/>
  <c r="H98" i="4" s="1"/>
  <c r="F668" i="2"/>
  <c r="H98" i="3" s="1"/>
  <c r="E668" i="2"/>
  <c r="D668" i="2"/>
  <c r="H667" i="2"/>
  <c r="G98" i="5" s="1"/>
  <c r="G667" i="2"/>
  <c r="G98" i="4" s="1"/>
  <c r="F667" i="2"/>
  <c r="G98" i="3" s="1"/>
  <c r="C666" i="2"/>
  <c r="H666" i="2"/>
  <c r="F98" i="5" s="1"/>
  <c r="G666" i="2"/>
  <c r="F98" i="4" s="1"/>
  <c r="F666" i="2"/>
  <c r="F98" i="3" s="1"/>
  <c r="A666" i="2"/>
  <c r="C665" i="2"/>
  <c r="H665" i="2"/>
  <c r="E98" i="5" s="1"/>
  <c r="G665" i="2"/>
  <c r="E98" i="4" s="1"/>
  <c r="A665" i="2"/>
  <c r="C664" i="2"/>
  <c r="H664" i="2"/>
  <c r="D98" i="5" s="1"/>
  <c r="G664" i="2"/>
  <c r="D98" i="4" s="1"/>
  <c r="A664" i="2"/>
  <c r="C663" i="2"/>
  <c r="H663" i="2"/>
  <c r="C98" i="5" s="1"/>
  <c r="D663" i="2"/>
  <c r="A663" i="2"/>
  <c r="C662" i="2"/>
  <c r="A98" i="20" s="1"/>
  <c r="E662" i="2"/>
  <c r="D662" i="2"/>
  <c r="F661" i="2"/>
  <c r="H97" i="3" s="1"/>
  <c r="E661" i="2"/>
  <c r="D661" i="2"/>
  <c r="G660" i="2"/>
  <c r="G97" i="4" s="1"/>
  <c r="F660" i="2"/>
  <c r="G97" i="3" s="1"/>
  <c r="E660" i="2"/>
  <c r="D660" i="2"/>
  <c r="H659" i="2"/>
  <c r="F97" i="5" s="1"/>
  <c r="G659" i="2"/>
  <c r="F97" i="4" s="1"/>
  <c r="F659" i="2"/>
  <c r="F97" i="3" s="1"/>
  <c r="E659" i="2"/>
  <c r="D659" i="2"/>
  <c r="C658" i="2"/>
  <c r="H658" i="2"/>
  <c r="E97" i="5" s="1"/>
  <c r="G658" i="2"/>
  <c r="E97" i="4" s="1"/>
  <c r="F658" i="2"/>
  <c r="E97" i="3" s="1"/>
  <c r="E658" i="2"/>
  <c r="A658" i="2"/>
  <c r="C657" i="2"/>
  <c r="H657" i="2"/>
  <c r="D97" i="5" s="1"/>
  <c r="G657" i="2"/>
  <c r="D97" i="4" s="1"/>
  <c r="F657" i="2"/>
  <c r="D97" i="3" s="1"/>
  <c r="A657" i="2"/>
  <c r="C656" i="2"/>
  <c r="H656" i="2"/>
  <c r="C97" i="5" s="1"/>
  <c r="A656" i="2"/>
  <c r="C655" i="2"/>
  <c r="A97" i="20" s="1"/>
  <c r="H655" i="2"/>
  <c r="D655" i="2"/>
  <c r="A655" i="2"/>
  <c r="E654" i="2"/>
  <c r="D654" i="2"/>
  <c r="A654" i="2"/>
  <c r="F653" i="2"/>
  <c r="G96" i="3" s="1"/>
  <c r="E653" i="2"/>
  <c r="D653" i="2"/>
  <c r="G652" i="2"/>
  <c r="F96" i="4" s="1"/>
  <c r="F652" i="2"/>
  <c r="F96" i="3" s="1"/>
  <c r="E652" i="2"/>
  <c r="D652" i="2"/>
  <c r="H651" i="2"/>
  <c r="E96" i="5" s="1"/>
  <c r="G651" i="2"/>
  <c r="E96" i="4" s="1"/>
  <c r="F651" i="2"/>
  <c r="E96" i="3" s="1"/>
  <c r="E651" i="2"/>
  <c r="C650" i="2"/>
  <c r="H650" i="2"/>
  <c r="D96" i="5" s="1"/>
  <c r="G650" i="2"/>
  <c r="D96" i="4" s="1"/>
  <c r="F650" i="2"/>
  <c r="D96" i="3" s="1"/>
  <c r="E650" i="2"/>
  <c r="A650" i="2"/>
  <c r="C649" i="2"/>
  <c r="H649" i="2"/>
  <c r="C96" i="5" s="1"/>
  <c r="G649" i="2"/>
  <c r="C96" i="4" s="1"/>
  <c r="F649" i="2"/>
  <c r="C96" i="3" s="1"/>
  <c r="A649" i="2"/>
  <c r="C648" i="2"/>
  <c r="A96" i="20" s="1"/>
  <c r="H648" i="2"/>
  <c r="G648" i="2"/>
  <c r="B96" i="10" s="1"/>
  <c r="A648" i="2"/>
  <c r="C647" i="2"/>
  <c r="D647" i="2"/>
  <c r="A647" i="2"/>
  <c r="E646" i="2"/>
  <c r="D646" i="2"/>
  <c r="F645" i="2"/>
  <c r="F95" i="3" s="1"/>
  <c r="E645" i="2"/>
  <c r="D645" i="2"/>
  <c r="G644" i="2"/>
  <c r="E95" i="4" s="1"/>
  <c r="F644" i="2"/>
  <c r="E95" i="3" s="1"/>
  <c r="E644" i="2"/>
  <c r="D644" i="2"/>
  <c r="H643" i="2"/>
  <c r="D95" i="5" s="1"/>
  <c r="G643" i="2"/>
  <c r="D95" i="4" s="1"/>
  <c r="F643" i="2"/>
  <c r="D95" i="3" s="1"/>
  <c r="E643" i="2"/>
  <c r="D643" i="2"/>
  <c r="C642" i="2"/>
  <c r="H642" i="2"/>
  <c r="C95" i="5" s="1"/>
  <c r="G642" i="2"/>
  <c r="C95" i="4" s="1"/>
  <c r="F642" i="2"/>
  <c r="C95" i="3" s="1"/>
  <c r="E642" i="2"/>
  <c r="A642" i="2"/>
  <c r="C641" i="2"/>
  <c r="A95" i="20" s="1"/>
  <c r="H641" i="2"/>
  <c r="G641" i="2"/>
  <c r="B95" i="10" s="1"/>
  <c r="F641" i="2"/>
  <c r="B95" i="9" s="1"/>
  <c r="A641" i="2"/>
  <c r="C640" i="2"/>
  <c r="H640" i="2"/>
  <c r="H94" i="5" s="1"/>
  <c r="G640" i="2"/>
  <c r="H94" i="4" s="1"/>
  <c r="A640" i="2"/>
  <c r="C639" i="2"/>
  <c r="D639" i="2"/>
  <c r="A639" i="2"/>
  <c r="C638" i="2"/>
  <c r="E638" i="2"/>
  <c r="D638" i="2"/>
  <c r="F637" i="2"/>
  <c r="E94" i="3" s="1"/>
  <c r="E637" i="2"/>
  <c r="D637" i="2"/>
  <c r="G636" i="2"/>
  <c r="D94" i="4" s="1"/>
  <c r="F636" i="2"/>
  <c r="D94" i="3" s="1"/>
  <c r="E636" i="2"/>
  <c r="D636" i="2"/>
  <c r="H635" i="2"/>
  <c r="C94" i="5" s="1"/>
  <c r="G635" i="2"/>
  <c r="C94" i="4" s="1"/>
  <c r="F635" i="2"/>
  <c r="C94" i="3" s="1"/>
  <c r="E635" i="2"/>
  <c r="D635" i="2"/>
  <c r="C634" i="2"/>
  <c r="A94" i="20" s="1"/>
  <c r="H634" i="2"/>
  <c r="G634" i="2"/>
  <c r="B94" i="10" s="1"/>
  <c r="F634" i="2"/>
  <c r="B94" i="9" s="1"/>
  <c r="E634" i="2"/>
  <c r="A634" i="2"/>
  <c r="C633" i="2"/>
  <c r="H633" i="2"/>
  <c r="H93" i="5" s="1"/>
  <c r="G633" i="2"/>
  <c r="H93" i="4" s="1"/>
  <c r="F633" i="2"/>
  <c r="H93" i="3" s="1"/>
  <c r="A633" i="2"/>
  <c r="C632" i="2"/>
  <c r="H632" i="2"/>
  <c r="G93" i="5" s="1"/>
  <c r="G632" i="2"/>
  <c r="G93" i="4" s="1"/>
  <c r="A632" i="2"/>
  <c r="C631" i="2"/>
  <c r="H631" i="2"/>
  <c r="F93" i="5" s="1"/>
  <c r="D631" i="2"/>
  <c r="A631" i="2"/>
  <c r="C630" i="2"/>
  <c r="E630" i="2"/>
  <c r="D630" i="2"/>
  <c r="A630" i="2"/>
  <c r="F629" i="2"/>
  <c r="D93" i="3" s="1"/>
  <c r="E629" i="2"/>
  <c r="D629" i="2"/>
  <c r="G628" i="2"/>
  <c r="C93" i="4" s="1"/>
  <c r="F628" i="2"/>
  <c r="C93" i="3" s="1"/>
  <c r="E628" i="2"/>
  <c r="D628" i="2"/>
  <c r="H627" i="2"/>
  <c r="G627" i="2"/>
  <c r="B93" i="10" s="1"/>
  <c r="F627" i="2"/>
  <c r="B93" i="9" s="1"/>
  <c r="E627" i="2"/>
  <c r="D627" i="2"/>
  <c r="C626" i="2"/>
  <c r="H626" i="2"/>
  <c r="G626" i="2"/>
  <c r="F626" i="2"/>
  <c r="A626" i="2"/>
  <c r="C625" i="2"/>
  <c r="H625" i="2"/>
  <c r="G625" i="2"/>
  <c r="F625" i="2"/>
  <c r="A625" i="2"/>
  <c r="C624" i="2"/>
  <c r="H624" i="2"/>
  <c r="A624" i="2"/>
  <c r="C623" i="2"/>
  <c r="H623" i="2"/>
  <c r="D623" i="2"/>
  <c r="A623" i="2"/>
  <c r="C622" i="2"/>
  <c r="E622" i="2"/>
  <c r="D622" i="2"/>
  <c r="F621" i="2"/>
  <c r="E621" i="2"/>
  <c r="D621" i="2"/>
  <c r="G620" i="2"/>
  <c r="F620" i="2"/>
  <c r="E620" i="2"/>
  <c r="D620" i="2"/>
  <c r="H619" i="2"/>
  <c r="G619" i="2"/>
  <c r="F619" i="2"/>
  <c r="C618" i="2"/>
  <c r="H618" i="2"/>
  <c r="G618" i="2"/>
  <c r="F618" i="2"/>
  <c r="A618" i="2"/>
  <c r="C617" i="2"/>
  <c r="H617" i="2"/>
  <c r="G617" i="2"/>
  <c r="F617" i="2"/>
  <c r="A617" i="2"/>
  <c r="C616" i="2"/>
  <c r="H616" i="2"/>
  <c r="G616" i="2"/>
  <c r="A616" i="2"/>
  <c r="C615" i="2"/>
  <c r="D615" i="2"/>
  <c r="A615" i="2"/>
  <c r="E614" i="2"/>
  <c r="D614" i="2"/>
  <c r="F613" i="2"/>
  <c r="E613" i="2"/>
  <c r="D613" i="2"/>
  <c r="G612" i="2"/>
  <c r="H91" i="4" s="1"/>
  <c r="F612" i="2"/>
  <c r="H91" i="3" s="1"/>
  <c r="E612" i="2"/>
  <c r="D612" i="2"/>
  <c r="H611" i="2"/>
  <c r="G91" i="5" s="1"/>
  <c r="G611" i="2"/>
  <c r="G91" i="4" s="1"/>
  <c r="F611" i="2"/>
  <c r="G91" i="3" s="1"/>
  <c r="E611" i="2"/>
  <c r="C610" i="2"/>
  <c r="H610" i="2"/>
  <c r="F91" i="5" s="1"/>
  <c r="G610" i="2"/>
  <c r="F91" i="4" s="1"/>
  <c r="F610" i="2"/>
  <c r="F91" i="3" s="1"/>
  <c r="E610" i="2"/>
  <c r="A610" i="2"/>
  <c r="C609" i="2"/>
  <c r="H609" i="2"/>
  <c r="E91" i="5" s="1"/>
  <c r="G609" i="2"/>
  <c r="E91" i="4" s="1"/>
  <c r="F609" i="2"/>
  <c r="E91" i="3" s="1"/>
  <c r="A609" i="2"/>
  <c r="C608" i="2"/>
  <c r="H608" i="2"/>
  <c r="D91" i="5" s="1"/>
  <c r="G608" i="2"/>
  <c r="D91" i="4" s="1"/>
  <c r="A608" i="2"/>
  <c r="C607" i="2"/>
  <c r="H607" i="2"/>
  <c r="C91" i="5" s="1"/>
  <c r="D607" i="2"/>
  <c r="A607" i="2"/>
  <c r="C606" i="2"/>
  <c r="A91" i="20" s="1"/>
  <c r="E606" i="2"/>
  <c r="D606" i="2"/>
  <c r="F605" i="2"/>
  <c r="H90" i="3" s="1"/>
  <c r="E605" i="2"/>
  <c r="D605" i="2"/>
  <c r="G604" i="2"/>
  <c r="G90" i="4" s="1"/>
  <c r="F604" i="2"/>
  <c r="G90" i="3" s="1"/>
  <c r="E604" i="2"/>
  <c r="D604" i="2"/>
  <c r="H603" i="2"/>
  <c r="F90" i="5" s="1"/>
  <c r="G603" i="2"/>
  <c r="F90" i="4" s="1"/>
  <c r="F603" i="2"/>
  <c r="F90" i="3" s="1"/>
  <c r="E603" i="2"/>
  <c r="D603" i="2"/>
  <c r="C602" i="2"/>
  <c r="H602" i="2"/>
  <c r="E90" i="5" s="1"/>
  <c r="G602" i="2"/>
  <c r="E90" i="4" s="1"/>
  <c r="F602" i="2"/>
  <c r="E90" i="3" s="1"/>
  <c r="E602" i="2"/>
  <c r="A602" i="2"/>
  <c r="C601" i="2"/>
  <c r="H601" i="2"/>
  <c r="D90" i="5" s="1"/>
  <c r="G601" i="2"/>
  <c r="D90" i="4" s="1"/>
  <c r="F601" i="2"/>
  <c r="D90" i="3" s="1"/>
  <c r="A601" i="2"/>
  <c r="C600" i="2"/>
  <c r="H600" i="2"/>
  <c r="C90" i="5" s="1"/>
  <c r="G600" i="2"/>
  <c r="C90" i="4" s="1"/>
  <c r="A600" i="2"/>
  <c r="C599" i="2"/>
  <c r="A90" i="20" s="1"/>
  <c r="D599" i="2"/>
  <c r="A599" i="2"/>
  <c r="C598" i="2"/>
  <c r="E598" i="2"/>
  <c r="D598" i="2"/>
  <c r="A598" i="2"/>
  <c r="F597" i="2"/>
  <c r="G89" i="3" s="1"/>
  <c r="E597" i="2"/>
  <c r="D597" i="2"/>
  <c r="G596" i="2"/>
  <c r="F89" i="4" s="1"/>
  <c r="F596" i="2"/>
  <c r="F89" i="3" s="1"/>
  <c r="E596" i="2"/>
  <c r="D596" i="2"/>
  <c r="H595" i="2"/>
  <c r="E89" i="5" s="1"/>
  <c r="G595" i="2"/>
  <c r="E89" i="4" s="1"/>
  <c r="F595" i="2"/>
  <c r="E89" i="3" s="1"/>
  <c r="E595" i="2"/>
  <c r="D595" i="2"/>
  <c r="C594" i="2"/>
  <c r="H594" i="2"/>
  <c r="D89" i="5" s="1"/>
  <c r="G594" i="2"/>
  <c r="D89" i="4" s="1"/>
  <c r="F594" i="2"/>
  <c r="D89" i="3" s="1"/>
  <c r="E594" i="2"/>
  <c r="A594" i="2"/>
  <c r="C593" i="2"/>
  <c r="H593" i="2"/>
  <c r="C89" i="5" s="1"/>
  <c r="G593" i="2"/>
  <c r="C89" i="4" s="1"/>
  <c r="F593" i="2"/>
  <c r="C89" i="3" s="1"/>
  <c r="A593" i="2"/>
  <c r="C592" i="2"/>
  <c r="A89" i="20" s="1"/>
  <c r="H592" i="2"/>
  <c r="G592" i="2"/>
  <c r="B89" i="10" s="1"/>
  <c r="A592" i="2"/>
  <c r="D591" i="2"/>
  <c r="A591" i="2"/>
  <c r="E590" i="2"/>
  <c r="D590" i="2"/>
  <c r="A590" i="2"/>
  <c r="F589" i="2"/>
  <c r="F87" i="3" s="1"/>
  <c r="E589" i="2"/>
  <c r="D589" i="2"/>
  <c r="G588" i="2"/>
  <c r="E87" i="4" s="1"/>
  <c r="F588" i="2"/>
  <c r="E87" i="3" s="1"/>
  <c r="E588" i="2"/>
  <c r="D588" i="2"/>
  <c r="H587" i="2"/>
  <c r="D87" i="5" s="1"/>
  <c r="G587" i="2"/>
  <c r="D87" i="4" s="1"/>
  <c r="F587" i="2"/>
  <c r="D87" i="3" s="1"/>
  <c r="E587" i="2"/>
  <c r="C586" i="2"/>
  <c r="H586" i="2"/>
  <c r="C87" i="5" s="1"/>
  <c r="G586" i="2"/>
  <c r="C87" i="4" s="1"/>
  <c r="F586" i="2"/>
  <c r="C87" i="3" s="1"/>
  <c r="A586" i="2"/>
  <c r="C585" i="2"/>
  <c r="A87" i="20" s="1"/>
  <c r="H585" i="2"/>
  <c r="G585" i="2"/>
  <c r="B87" i="10" s="1"/>
  <c r="A585" i="2"/>
  <c r="C584" i="2"/>
  <c r="H584" i="2"/>
  <c r="H86" i="5" s="1"/>
  <c r="A584" i="2"/>
  <c r="C583" i="2"/>
  <c r="H583" i="2"/>
  <c r="G86" i="5" s="1"/>
  <c r="D583" i="2"/>
  <c r="A583" i="2"/>
  <c r="E582" i="2"/>
  <c r="D582" i="2"/>
  <c r="F581" i="2"/>
  <c r="E86" i="3" s="1"/>
  <c r="E581" i="2"/>
  <c r="D581" i="2"/>
  <c r="G580" i="2"/>
  <c r="D86" i="4" s="1"/>
  <c r="F580" i="2"/>
  <c r="D86" i="3" s="1"/>
  <c r="E580" i="2"/>
  <c r="D580" i="2"/>
  <c r="H579" i="2"/>
  <c r="C86" i="5" s="1"/>
  <c r="G579" i="2"/>
  <c r="C86" i="4" s="1"/>
  <c r="F579" i="2"/>
  <c r="C86" i="3" s="1"/>
  <c r="E579" i="2"/>
  <c r="C578" i="2"/>
  <c r="A86" i="20" s="1"/>
  <c r="H578" i="2"/>
  <c r="G578" i="2"/>
  <c r="B86" i="10" s="1"/>
  <c r="F578" i="2"/>
  <c r="B86" i="9" s="1"/>
  <c r="A578" i="2"/>
  <c r="C577" i="2"/>
  <c r="H577" i="2"/>
  <c r="H85" i="5" s="1"/>
  <c r="G577" i="2"/>
  <c r="H85" i="4" s="1"/>
  <c r="F577" i="2"/>
  <c r="H85" i="3" s="1"/>
  <c r="A577" i="2"/>
  <c r="C576" i="2"/>
  <c r="H576" i="2"/>
  <c r="G85" i="5" s="1"/>
  <c r="G576" i="2"/>
  <c r="G85" i="4" s="1"/>
  <c r="A576" i="2"/>
  <c r="C575" i="2"/>
  <c r="D575" i="2"/>
  <c r="A575" i="2"/>
  <c r="C574" i="2"/>
  <c r="E574" i="2"/>
  <c r="D574" i="2"/>
  <c r="A574" i="2"/>
  <c r="F573" i="2"/>
  <c r="D85" i="3" s="1"/>
  <c r="E573" i="2"/>
  <c r="D573" i="2"/>
  <c r="G572" i="2"/>
  <c r="C85" i="4" s="1"/>
  <c r="F572" i="2"/>
  <c r="C85" i="3" s="1"/>
  <c r="E572" i="2"/>
  <c r="D572" i="2"/>
  <c r="H571" i="2"/>
  <c r="G571" i="2"/>
  <c r="B85" i="10" s="1"/>
  <c r="F571" i="2"/>
  <c r="B85" i="9" s="1"/>
  <c r="E571" i="2"/>
  <c r="C570" i="2"/>
  <c r="H570" i="2"/>
  <c r="H84" i="5" s="1"/>
  <c r="G570" i="2"/>
  <c r="H84" i="4" s="1"/>
  <c r="F570" i="2"/>
  <c r="H84" i="3" s="1"/>
  <c r="A570" i="2"/>
  <c r="C569" i="2"/>
  <c r="H569" i="2"/>
  <c r="G84" i="5" s="1"/>
  <c r="G569" i="2"/>
  <c r="G84" i="4" s="1"/>
  <c r="A569" i="2"/>
  <c r="C568" i="2"/>
  <c r="H568" i="2"/>
  <c r="F84" i="5" s="1"/>
  <c r="G568" i="2"/>
  <c r="F84" i="4" s="1"/>
  <c r="A568" i="2"/>
  <c r="H567" i="2"/>
  <c r="E84" i="5" s="1"/>
  <c r="D567" i="2"/>
  <c r="A567" i="2"/>
  <c r="C566" i="2"/>
  <c r="E566" i="2"/>
  <c r="D566" i="2"/>
  <c r="A566" i="2"/>
  <c r="F565" i="2"/>
  <c r="C84" i="3" s="1"/>
  <c r="E565" i="2"/>
  <c r="D565" i="2"/>
  <c r="G564" i="2"/>
  <c r="B84" i="10" s="1"/>
  <c r="F564" i="2"/>
  <c r="B84" i="9" s="1"/>
  <c r="E564" i="2"/>
  <c r="D564" i="2"/>
  <c r="H563" i="2"/>
  <c r="H83" i="5" s="1"/>
  <c r="G563" i="2"/>
  <c r="H83" i="4" s="1"/>
  <c r="F563" i="2"/>
  <c r="H83" i="3" s="1"/>
  <c r="E563" i="2"/>
  <c r="C562" i="2"/>
  <c r="H562" i="2"/>
  <c r="G83" i="5" s="1"/>
  <c r="G562" i="2"/>
  <c r="G83" i="4" s="1"/>
  <c r="F562" i="2"/>
  <c r="G83" i="3" s="1"/>
  <c r="A562" i="2"/>
  <c r="C561" i="2"/>
  <c r="H561" i="2"/>
  <c r="F83" i="5" s="1"/>
  <c r="G561" i="2"/>
  <c r="F83" i="4" s="1"/>
  <c r="A561" i="2"/>
  <c r="C560" i="2"/>
  <c r="H560" i="2"/>
  <c r="E83" i="5" s="1"/>
  <c r="G560" i="2"/>
  <c r="E83" i="4" s="1"/>
  <c r="A560" i="2"/>
  <c r="C559" i="2"/>
  <c r="H559" i="2"/>
  <c r="D83" i="5" s="1"/>
  <c r="D559" i="2"/>
  <c r="A559" i="2"/>
  <c r="E558" i="2"/>
  <c r="D558" i="2"/>
  <c r="A558" i="2"/>
  <c r="F557" i="2"/>
  <c r="B83" i="9" s="1"/>
  <c r="E557" i="2"/>
  <c r="D557" i="2"/>
  <c r="G556" i="2"/>
  <c r="H82" i="4" s="1"/>
  <c r="F556" i="2"/>
  <c r="H82" i="3" s="1"/>
  <c r="E556" i="2"/>
  <c r="D556" i="2"/>
  <c r="H555" i="2"/>
  <c r="G82" i="5" s="1"/>
  <c r="G555" i="2"/>
  <c r="G82" i="4" s="1"/>
  <c r="F555" i="2"/>
  <c r="G82" i="3" s="1"/>
  <c r="E555" i="2"/>
  <c r="D555" i="2"/>
  <c r="C554" i="2"/>
  <c r="H554" i="2"/>
  <c r="F82" i="5" s="1"/>
  <c r="F554" i="2"/>
  <c r="F82" i="3" s="1"/>
  <c r="E554" i="2"/>
  <c r="A554" i="2"/>
  <c r="C553" i="2"/>
  <c r="H553" i="2"/>
  <c r="E82" i="5" s="1"/>
  <c r="A553" i="2"/>
  <c r="C552" i="2"/>
  <c r="H552" i="2"/>
  <c r="D82" i="5" s="1"/>
  <c r="A552" i="2"/>
  <c r="D551" i="2"/>
  <c r="A551" i="2"/>
  <c r="C550" i="2"/>
  <c r="A82" i="20" s="1"/>
  <c r="E550" i="2"/>
  <c r="D550" i="2"/>
  <c r="A550" i="2"/>
  <c r="A81" i="20" s="1"/>
  <c r="F549" i="2"/>
  <c r="E549" i="2"/>
  <c r="D549" i="2"/>
  <c r="G548" i="2"/>
  <c r="F548" i="2"/>
  <c r="E548" i="2"/>
  <c r="D548" i="2"/>
  <c r="H547" i="2"/>
  <c r="G547" i="2"/>
  <c r="F547" i="2"/>
  <c r="E547" i="2"/>
  <c r="D547" i="2"/>
  <c r="C546" i="2"/>
  <c r="H546" i="2"/>
  <c r="G546" i="2"/>
  <c r="F546" i="2"/>
  <c r="A546" i="2"/>
  <c r="C545" i="2"/>
  <c r="G545" i="2"/>
  <c r="A545" i="2"/>
  <c r="C544" i="2"/>
  <c r="H544" i="2"/>
  <c r="A544" i="2"/>
  <c r="C543" i="2"/>
  <c r="H543" i="2"/>
  <c r="D543" i="2"/>
  <c r="A543" i="2"/>
  <c r="E542" i="2"/>
  <c r="D542" i="2"/>
  <c r="A542" i="2"/>
  <c r="F541" i="2"/>
  <c r="E541" i="2"/>
  <c r="D541" i="2"/>
  <c r="G540" i="2"/>
  <c r="F540" i="2"/>
  <c r="E540" i="2"/>
  <c r="D540" i="2"/>
  <c r="H539" i="2"/>
  <c r="G539" i="2"/>
  <c r="F539" i="2"/>
  <c r="E539" i="2"/>
  <c r="C538" i="2"/>
  <c r="H538" i="2"/>
  <c r="G538" i="2"/>
  <c r="F538" i="2"/>
  <c r="A538" i="2"/>
  <c r="C537" i="2"/>
  <c r="H537" i="2"/>
  <c r="G537" i="2"/>
  <c r="F537" i="2"/>
  <c r="A537" i="2"/>
  <c r="C536" i="2"/>
  <c r="H536" i="2"/>
  <c r="G536" i="2"/>
  <c r="A536" i="2"/>
  <c r="C535" i="2"/>
  <c r="D535" i="2"/>
  <c r="A535" i="2"/>
  <c r="C534" i="2"/>
  <c r="E534" i="2"/>
  <c r="D534" i="2"/>
  <c r="F533" i="2"/>
  <c r="F80" i="3" s="1"/>
  <c r="E533" i="2"/>
  <c r="D533" i="2"/>
  <c r="G532" i="2"/>
  <c r="E80" i="4" s="1"/>
  <c r="F532" i="2"/>
  <c r="E80" i="3" s="1"/>
  <c r="E532" i="2"/>
  <c r="D532" i="2"/>
  <c r="H531" i="2"/>
  <c r="D80" i="5" s="1"/>
  <c r="G531" i="2"/>
  <c r="D80" i="4" s="1"/>
  <c r="F531" i="2"/>
  <c r="D80" i="3" s="1"/>
  <c r="E531" i="2"/>
  <c r="C530" i="2"/>
  <c r="H530" i="2"/>
  <c r="C80" i="5" s="1"/>
  <c r="G530" i="2"/>
  <c r="C80" i="4" s="1"/>
  <c r="F530" i="2"/>
  <c r="C80" i="3" s="1"/>
  <c r="E530" i="2"/>
  <c r="A530" i="2"/>
  <c r="C529" i="2"/>
  <c r="A80" i="20" s="1"/>
  <c r="H529" i="2"/>
  <c r="G529" i="2"/>
  <c r="B80" i="10" s="1"/>
  <c r="F529" i="2"/>
  <c r="B80" i="9" s="1"/>
  <c r="A529" i="2"/>
  <c r="C528" i="2"/>
  <c r="H528" i="2"/>
  <c r="H78" i="5" s="1"/>
  <c r="A528" i="2"/>
  <c r="C527" i="2"/>
  <c r="H527" i="2"/>
  <c r="G78" i="5" s="1"/>
  <c r="D527" i="2"/>
  <c r="A527" i="2"/>
  <c r="C526" i="2"/>
  <c r="E526" i="2"/>
  <c r="D526" i="2"/>
  <c r="F525" i="2"/>
  <c r="E78" i="3" s="1"/>
  <c r="E525" i="2"/>
  <c r="D525" i="2"/>
  <c r="G524" i="2"/>
  <c r="D78" i="4" s="1"/>
  <c r="F524" i="2"/>
  <c r="D78" i="3" s="1"/>
  <c r="E524" i="2"/>
  <c r="D524" i="2"/>
  <c r="H523" i="2"/>
  <c r="C78" i="5" s="1"/>
  <c r="G523" i="2"/>
  <c r="C78" i="4" s="1"/>
  <c r="F523" i="2"/>
  <c r="C78" i="3" s="1"/>
  <c r="E523" i="2"/>
  <c r="D523" i="2"/>
  <c r="C522" i="2"/>
  <c r="A78" i="20" s="1"/>
  <c r="H522" i="2"/>
  <c r="G522" i="2"/>
  <c r="B78" i="10" s="1"/>
  <c r="F522" i="2"/>
  <c r="B78" i="9" s="1"/>
  <c r="E522" i="2"/>
  <c r="A522" i="2"/>
  <c r="C521" i="2"/>
  <c r="H521" i="2"/>
  <c r="H77" i="5" s="1"/>
  <c r="G521" i="2"/>
  <c r="H77" i="4" s="1"/>
  <c r="A521" i="2"/>
  <c r="C520" i="2"/>
  <c r="H520" i="2"/>
  <c r="G77" i="5" s="1"/>
  <c r="G520" i="2"/>
  <c r="G77" i="4" s="1"/>
  <c r="A520" i="2"/>
  <c r="C519" i="2"/>
  <c r="H519" i="2"/>
  <c r="F77" i="5" s="1"/>
  <c r="D519" i="2"/>
  <c r="A519" i="2"/>
  <c r="C518" i="2"/>
  <c r="E518" i="2"/>
  <c r="D518" i="2"/>
  <c r="A518" i="2"/>
  <c r="F517" i="2"/>
  <c r="D77" i="3" s="1"/>
  <c r="E517" i="2"/>
  <c r="D517" i="2"/>
  <c r="G516" i="2"/>
  <c r="C77" i="4" s="1"/>
  <c r="F516" i="2"/>
  <c r="C77" i="3" s="1"/>
  <c r="E516" i="2"/>
  <c r="D516" i="2"/>
  <c r="H515" i="2"/>
  <c r="B77" i="5" s="1"/>
  <c r="G515" i="2"/>
  <c r="B77" i="4" s="1"/>
  <c r="F515" i="2"/>
  <c r="B77" i="3" s="1"/>
  <c r="E515" i="2"/>
  <c r="C514" i="2"/>
  <c r="H514" i="2"/>
  <c r="H76" i="5" s="1"/>
  <c r="G514" i="2"/>
  <c r="H76" i="4" s="1"/>
  <c r="F514" i="2"/>
  <c r="H76" i="3" s="1"/>
  <c r="A514" i="2"/>
  <c r="C513" i="2"/>
  <c r="H513" i="2"/>
  <c r="G76" i="5" s="1"/>
  <c r="G513" i="2"/>
  <c r="G76" i="4" s="1"/>
  <c r="A513" i="2"/>
  <c r="C512" i="2"/>
  <c r="G512" i="2"/>
  <c r="F76" i="4" s="1"/>
  <c r="A512" i="2"/>
  <c r="H511" i="2"/>
  <c r="E76" i="5" s="1"/>
  <c r="D511" i="2"/>
  <c r="C510" i="2"/>
  <c r="E510" i="2"/>
  <c r="D510" i="2"/>
  <c r="F509" i="2"/>
  <c r="C76" i="3" s="1"/>
  <c r="E509" i="2"/>
  <c r="D509" i="2"/>
  <c r="G508" i="2"/>
  <c r="B76" i="10" s="1"/>
  <c r="F508" i="2"/>
  <c r="B76" i="9" s="1"/>
  <c r="E508" i="2"/>
  <c r="D508" i="2"/>
  <c r="H507" i="2"/>
  <c r="H75" i="5" s="1"/>
  <c r="G507" i="2"/>
  <c r="H75" i="4" s="1"/>
  <c r="F507" i="2"/>
  <c r="H75" i="3" s="1"/>
  <c r="E507" i="2"/>
  <c r="C506" i="2"/>
  <c r="H506" i="2"/>
  <c r="G75" i="5" s="1"/>
  <c r="G506" i="2"/>
  <c r="G75" i="4" s="1"/>
  <c r="A506" i="2"/>
  <c r="C505" i="2"/>
  <c r="H505" i="2"/>
  <c r="F75" i="5" s="1"/>
  <c r="G505" i="2"/>
  <c r="F75" i="4" s="1"/>
  <c r="A505" i="2"/>
  <c r="C504" i="2"/>
  <c r="H504" i="2"/>
  <c r="E75" i="5" s="1"/>
  <c r="G504" i="2"/>
  <c r="E75" i="4" s="1"/>
  <c r="A504" i="2"/>
  <c r="C503" i="2"/>
  <c r="H503" i="2"/>
  <c r="D75" i="5" s="1"/>
  <c r="D503" i="2"/>
  <c r="A503" i="2"/>
  <c r="C502" i="2"/>
  <c r="E502" i="2"/>
  <c r="D502" i="2"/>
  <c r="A502" i="2"/>
  <c r="F501" i="2"/>
  <c r="B75" i="9" s="1"/>
  <c r="E501" i="2"/>
  <c r="D501" i="2"/>
  <c r="G500" i="2"/>
  <c r="H74" i="4" s="1"/>
  <c r="F500" i="2"/>
  <c r="H74" i="3" s="1"/>
  <c r="E500" i="2"/>
  <c r="D500" i="2"/>
  <c r="H499" i="2"/>
  <c r="G74" i="5" s="1"/>
  <c r="G499" i="2"/>
  <c r="G74" i="4" s="1"/>
  <c r="F499" i="2"/>
  <c r="G74" i="3" s="1"/>
  <c r="E499" i="2"/>
  <c r="D499" i="2"/>
  <c r="C498" i="2"/>
  <c r="H498" i="2"/>
  <c r="F74" i="5" s="1"/>
  <c r="G498" i="2"/>
  <c r="F74" i="4" s="1"/>
  <c r="F498" i="2"/>
  <c r="F74" i="3" s="1"/>
  <c r="A498" i="2"/>
  <c r="C497" i="2"/>
  <c r="H497" i="2"/>
  <c r="E74" i="5" s="1"/>
  <c r="G497" i="2"/>
  <c r="E74" i="4" s="1"/>
  <c r="F497" i="2"/>
  <c r="E74" i="3" s="1"/>
  <c r="A497" i="2"/>
  <c r="C496" i="2"/>
  <c r="H496" i="2"/>
  <c r="D74" i="5" s="1"/>
  <c r="G496" i="2"/>
  <c r="D74" i="4" s="1"/>
  <c r="A496" i="2"/>
  <c r="C495" i="2"/>
  <c r="H495" i="2"/>
  <c r="C74" i="5" s="1"/>
  <c r="D495" i="2"/>
  <c r="A495" i="2"/>
  <c r="E494" i="2"/>
  <c r="D494" i="2"/>
  <c r="A494" i="2"/>
  <c r="F493" i="2"/>
  <c r="H73" i="3" s="1"/>
  <c r="E493" i="2"/>
  <c r="D493" i="2"/>
  <c r="G492" i="2"/>
  <c r="G73" i="4" s="1"/>
  <c r="F492" i="2"/>
  <c r="G73" i="3" s="1"/>
  <c r="E492" i="2"/>
  <c r="D492" i="2"/>
  <c r="H491" i="2"/>
  <c r="F73" i="5" s="1"/>
  <c r="G491" i="2"/>
  <c r="F73" i="4" s="1"/>
  <c r="F491" i="2"/>
  <c r="F73" i="3" s="1"/>
  <c r="E491" i="2"/>
  <c r="D491" i="2"/>
  <c r="C490" i="2"/>
  <c r="H490" i="2"/>
  <c r="E73" i="5" s="1"/>
  <c r="G490" i="2"/>
  <c r="E73" i="4" s="1"/>
  <c r="A490" i="2"/>
  <c r="C489" i="2"/>
  <c r="H489" i="2"/>
  <c r="D73" i="5" s="1"/>
  <c r="G489" i="2"/>
  <c r="D73" i="4" s="1"/>
  <c r="F489" i="2"/>
  <c r="D73" i="3" s="1"/>
  <c r="A489" i="2"/>
  <c r="C488" i="2"/>
  <c r="H488" i="2"/>
  <c r="C73" i="5" s="1"/>
  <c r="G488" i="2"/>
  <c r="C73" i="4" s="1"/>
  <c r="A488" i="2"/>
  <c r="C487" i="2"/>
  <c r="A73" i="20" s="1"/>
  <c r="D487" i="2"/>
  <c r="A487" i="2"/>
  <c r="E486" i="2"/>
  <c r="D486" i="2"/>
  <c r="A486" i="2"/>
  <c r="F485" i="2"/>
  <c r="G72" i="3" s="1"/>
  <c r="E485" i="2"/>
  <c r="D485" i="2"/>
  <c r="G484" i="2"/>
  <c r="F72" i="4" s="1"/>
  <c r="F484" i="2"/>
  <c r="F72" i="3" s="1"/>
  <c r="E484" i="2"/>
  <c r="D484" i="2"/>
  <c r="H483" i="2"/>
  <c r="E72" i="5" s="1"/>
  <c r="G483" i="2"/>
  <c r="E72" i="4" s="1"/>
  <c r="F483" i="2"/>
  <c r="E72" i="3" s="1"/>
  <c r="E483" i="2"/>
  <c r="D483" i="2"/>
  <c r="C482" i="2"/>
  <c r="H482" i="2"/>
  <c r="D72" i="5" s="1"/>
  <c r="G482" i="2"/>
  <c r="D72" i="4" s="1"/>
  <c r="F482" i="2"/>
  <c r="D72" i="3" s="1"/>
  <c r="A482" i="2"/>
  <c r="C481" i="2"/>
  <c r="H481" i="2"/>
  <c r="C72" i="5" s="1"/>
  <c r="G481" i="2"/>
  <c r="C72" i="4" s="1"/>
  <c r="F481" i="2"/>
  <c r="C72" i="3" s="1"/>
  <c r="A481" i="2"/>
  <c r="C480" i="2"/>
  <c r="A72" i="20" s="1"/>
  <c r="H480" i="2"/>
  <c r="A480" i="2"/>
  <c r="C479" i="2"/>
  <c r="D479" i="2"/>
  <c r="A479" i="2"/>
  <c r="E478" i="2"/>
  <c r="D478" i="2"/>
  <c r="F477" i="2"/>
  <c r="F71" i="3" s="1"/>
  <c r="E477" i="2"/>
  <c r="D477" i="2"/>
  <c r="G476" i="2"/>
  <c r="E71" i="4" s="1"/>
  <c r="F476" i="2"/>
  <c r="E71" i="3" s="1"/>
  <c r="E476" i="2"/>
  <c r="D476" i="2"/>
  <c r="H475" i="2"/>
  <c r="D71" i="5" s="1"/>
  <c r="G475" i="2"/>
  <c r="D71" i="4" s="1"/>
  <c r="F475" i="2"/>
  <c r="D71" i="3" s="1"/>
  <c r="E475" i="2"/>
  <c r="D475" i="2"/>
  <c r="C474" i="2"/>
  <c r="H474" i="2"/>
  <c r="C71" i="5" s="1"/>
  <c r="G474" i="2"/>
  <c r="C71" i="4" s="1"/>
  <c r="F474" i="2"/>
  <c r="C71" i="3" s="1"/>
  <c r="E474" i="2"/>
  <c r="A474" i="2"/>
  <c r="C473" i="2"/>
  <c r="A71" i="20" s="1"/>
  <c r="H473" i="2"/>
  <c r="A473" i="2"/>
  <c r="A70" i="20" s="1"/>
  <c r="C472" i="2"/>
  <c r="H472" i="2"/>
  <c r="G472" i="2"/>
  <c r="A472" i="2"/>
  <c r="C471" i="2"/>
  <c r="H471" i="2"/>
  <c r="D471" i="2"/>
  <c r="A471" i="2"/>
  <c r="C470" i="2"/>
  <c r="E470" i="2"/>
  <c r="D470" i="2"/>
  <c r="A470" i="2"/>
  <c r="F469" i="2"/>
  <c r="E469" i="2"/>
  <c r="D469" i="2"/>
  <c r="G468" i="2"/>
  <c r="F468" i="2"/>
  <c r="E468" i="2"/>
  <c r="D468" i="2"/>
  <c r="H467" i="2"/>
  <c r="G467" i="2"/>
  <c r="F467" i="2"/>
  <c r="E467" i="2"/>
  <c r="C466" i="2"/>
  <c r="H466" i="2"/>
  <c r="G466" i="2"/>
  <c r="E466" i="2"/>
  <c r="A466" i="2"/>
  <c r="C465" i="2"/>
  <c r="H465" i="2"/>
  <c r="G465" i="2"/>
  <c r="F465" i="2"/>
  <c r="A465" i="2"/>
  <c r="C464" i="2"/>
  <c r="H464" i="2"/>
  <c r="G464" i="2"/>
  <c r="A464" i="2"/>
  <c r="C463" i="2"/>
  <c r="H463" i="2"/>
  <c r="D463" i="2"/>
  <c r="A463" i="2"/>
  <c r="C462" i="2"/>
  <c r="E462" i="2"/>
  <c r="D462" i="2"/>
  <c r="A462" i="2"/>
  <c r="F461" i="2"/>
  <c r="E461" i="2"/>
  <c r="D461" i="2"/>
  <c r="G460" i="2"/>
  <c r="F460" i="2"/>
  <c r="E460" i="2"/>
  <c r="D460" i="2"/>
  <c r="H459" i="2"/>
  <c r="G459" i="2"/>
  <c r="F459" i="2"/>
  <c r="E459" i="2"/>
  <c r="D459" i="2"/>
  <c r="C458" i="2"/>
  <c r="H458" i="2"/>
  <c r="H69" i="5" s="1"/>
  <c r="G458" i="2"/>
  <c r="H69" i="4" s="1"/>
  <c r="F458" i="2"/>
  <c r="H69" i="3" s="1"/>
  <c r="A458" i="2"/>
  <c r="C457" i="2"/>
  <c r="H457" i="2"/>
  <c r="G69" i="5" s="1"/>
  <c r="G457" i="2"/>
  <c r="G69" i="4" s="1"/>
  <c r="F457" i="2"/>
  <c r="G69" i="3" s="1"/>
  <c r="A457" i="2"/>
  <c r="C456" i="2"/>
  <c r="H456" i="2"/>
  <c r="F69" i="5" s="1"/>
  <c r="G456" i="2"/>
  <c r="F69" i="4" s="1"/>
  <c r="A456" i="2"/>
  <c r="C455" i="2"/>
  <c r="H455" i="2"/>
  <c r="E69" i="5" s="1"/>
  <c r="D455" i="2"/>
  <c r="A455" i="2"/>
  <c r="E454" i="2"/>
  <c r="D454" i="2"/>
  <c r="A454" i="2"/>
  <c r="F453" i="2"/>
  <c r="C69" i="3" s="1"/>
  <c r="E453" i="2"/>
  <c r="D453" i="2"/>
  <c r="G452" i="2"/>
  <c r="B69" i="10" s="1"/>
  <c r="F452" i="2"/>
  <c r="B69" i="9" s="1"/>
  <c r="E452" i="2"/>
  <c r="H451" i="2"/>
  <c r="H67" i="5" s="1"/>
  <c r="G451" i="2"/>
  <c r="H67" i="4" s="1"/>
  <c r="F451" i="2"/>
  <c r="H67" i="3" s="1"/>
  <c r="E451" i="2"/>
  <c r="D451" i="2"/>
  <c r="C450" i="2"/>
  <c r="H450" i="2"/>
  <c r="G67" i="5" s="1"/>
  <c r="G450" i="2"/>
  <c r="G67" i="4" s="1"/>
  <c r="F450" i="2"/>
  <c r="G67" i="3" s="1"/>
  <c r="A450" i="2"/>
  <c r="C449" i="2"/>
  <c r="H449" i="2"/>
  <c r="F67" i="5" s="1"/>
  <c r="G449" i="2"/>
  <c r="F67" i="4" s="1"/>
  <c r="F449" i="2"/>
  <c r="F67" i="3" s="1"/>
  <c r="A449" i="2"/>
  <c r="C448" i="2"/>
  <c r="H448" i="2"/>
  <c r="E67" i="5" s="1"/>
  <c r="G448" i="2"/>
  <c r="E67" i="4" s="1"/>
  <c r="A448" i="2"/>
  <c r="C447" i="2"/>
  <c r="H447" i="2"/>
  <c r="D67" i="5" s="1"/>
  <c r="D447" i="2"/>
  <c r="A447" i="2"/>
  <c r="E446" i="2"/>
  <c r="D446" i="2"/>
  <c r="F445" i="2"/>
  <c r="B67" i="9" s="1"/>
  <c r="E445" i="2"/>
  <c r="D445" i="2"/>
  <c r="G444" i="2"/>
  <c r="H65" i="4" s="1"/>
  <c r="F444" i="2"/>
  <c r="H65" i="3" s="1"/>
  <c r="E444" i="2"/>
  <c r="H443" i="2"/>
  <c r="G65" i="5" s="1"/>
  <c r="G443" i="2"/>
  <c r="G65" i="4" s="1"/>
  <c r="F443" i="2"/>
  <c r="G65" i="3" s="1"/>
  <c r="E443" i="2"/>
  <c r="D443" i="2"/>
  <c r="C442" i="2"/>
  <c r="H442" i="2"/>
  <c r="F65" i="5" s="1"/>
  <c r="G442" i="2"/>
  <c r="F65" i="4" s="1"/>
  <c r="F442" i="2"/>
  <c r="F65" i="3" s="1"/>
  <c r="E442" i="2"/>
  <c r="A442" i="2"/>
  <c r="C441" i="2"/>
  <c r="H441" i="2"/>
  <c r="E65" i="5" s="1"/>
  <c r="G441" i="2"/>
  <c r="E65" i="4" s="1"/>
  <c r="A441" i="2"/>
  <c r="C440" i="2"/>
  <c r="H440" i="2"/>
  <c r="D65" i="5" s="1"/>
  <c r="G440" i="2"/>
  <c r="D65" i="4" s="1"/>
  <c r="A440" i="2"/>
  <c r="C439" i="2"/>
  <c r="H439" i="2"/>
  <c r="C65" i="5" s="1"/>
  <c r="D439" i="2"/>
  <c r="A439" i="2"/>
  <c r="E438" i="2"/>
  <c r="D438" i="2"/>
  <c r="A438" i="2"/>
  <c r="F437" i="2"/>
  <c r="H64" i="3" s="1"/>
  <c r="E437" i="2"/>
  <c r="D437" i="2"/>
  <c r="G436" i="2"/>
  <c r="G64" i="4" s="1"/>
  <c r="F436" i="2"/>
  <c r="G64" i="3" s="1"/>
  <c r="E436" i="2"/>
  <c r="D436" i="2"/>
  <c r="H435" i="2"/>
  <c r="F64" i="5" s="1"/>
  <c r="G435" i="2"/>
  <c r="F64" i="4" s="1"/>
  <c r="F435" i="2"/>
  <c r="F64" i="3" s="1"/>
  <c r="E435" i="2"/>
  <c r="D435" i="2"/>
  <c r="C434" i="2"/>
  <c r="H434" i="2"/>
  <c r="E64" i="5" s="1"/>
  <c r="G434" i="2"/>
  <c r="E64" i="4" s="1"/>
  <c r="F434" i="2"/>
  <c r="E64" i="3" s="1"/>
  <c r="E434" i="2"/>
  <c r="A434" i="2"/>
  <c r="C433" i="2"/>
  <c r="H433" i="2"/>
  <c r="D64" i="5" s="1"/>
  <c r="G433" i="2"/>
  <c r="D64" i="4" s="1"/>
  <c r="F433" i="2"/>
  <c r="D64" i="3" s="1"/>
  <c r="A433" i="2"/>
  <c r="C432" i="2"/>
  <c r="H432" i="2"/>
  <c r="C64" i="5" s="1"/>
  <c r="G432" i="2"/>
  <c r="C64" i="4" s="1"/>
  <c r="A432" i="2"/>
  <c r="C431" i="2"/>
  <c r="A64" i="20" s="1"/>
  <c r="H431" i="2"/>
  <c r="D431" i="2"/>
  <c r="A431" i="2"/>
  <c r="E430" i="2"/>
  <c r="D430" i="2"/>
  <c r="A430" i="2"/>
  <c r="F429" i="2"/>
  <c r="G63" i="3" s="1"/>
  <c r="E429" i="2"/>
  <c r="D429" i="2"/>
  <c r="G428" i="2"/>
  <c r="F63" i="4" s="1"/>
  <c r="F428" i="2"/>
  <c r="F63" i="3" s="1"/>
  <c r="E428" i="2"/>
  <c r="D428" i="2"/>
  <c r="H427" i="2"/>
  <c r="E63" i="5" s="1"/>
  <c r="G427" i="2"/>
  <c r="E63" i="4" s="1"/>
  <c r="F427" i="2"/>
  <c r="E63" i="3" s="1"/>
  <c r="E427" i="2"/>
  <c r="C426" i="2"/>
  <c r="H426" i="2"/>
  <c r="D63" i="5" s="1"/>
  <c r="G426" i="2"/>
  <c r="D63" i="4" s="1"/>
  <c r="F426" i="2"/>
  <c r="D63" i="3" s="1"/>
  <c r="E426" i="2"/>
  <c r="A426" i="2"/>
  <c r="C425" i="2"/>
  <c r="H425" i="2"/>
  <c r="C63" i="5" s="1"/>
  <c r="G425" i="2"/>
  <c r="C63" i="4" s="1"/>
  <c r="A425" i="2"/>
  <c r="C424" i="2"/>
  <c r="A63" i="20" s="1"/>
  <c r="H424" i="2"/>
  <c r="G424" i="2"/>
  <c r="B63" i="10" s="1"/>
  <c r="A424" i="2"/>
  <c r="C423" i="2"/>
  <c r="H423" i="2"/>
  <c r="H62" i="5" s="1"/>
  <c r="D423" i="2"/>
  <c r="A423" i="2"/>
  <c r="E422" i="2"/>
  <c r="D422" i="2"/>
  <c r="A422" i="2"/>
  <c r="F421" i="2"/>
  <c r="F62" i="3" s="1"/>
  <c r="E421" i="2"/>
  <c r="D421" i="2"/>
  <c r="G420" i="2"/>
  <c r="E62" i="4" s="1"/>
  <c r="F420" i="2"/>
  <c r="E62" i="3" s="1"/>
  <c r="E420" i="2"/>
  <c r="D420" i="2"/>
  <c r="H419" i="2"/>
  <c r="D62" i="5" s="1"/>
  <c r="G419" i="2"/>
  <c r="D62" i="4" s="1"/>
  <c r="F419" i="2"/>
  <c r="D62" i="3" s="1"/>
  <c r="E419" i="2"/>
  <c r="D419" i="2"/>
  <c r="C418" i="2"/>
  <c r="H418" i="2"/>
  <c r="C62" i="5" s="1"/>
  <c r="G418" i="2"/>
  <c r="C62" i="4" s="1"/>
  <c r="F418" i="2"/>
  <c r="C62" i="3" s="1"/>
  <c r="E418" i="2"/>
  <c r="A418" i="2"/>
  <c r="C417" i="2"/>
  <c r="A62" i="20" s="1"/>
  <c r="H417" i="2"/>
  <c r="G417" i="2"/>
  <c r="B62" i="10" s="1"/>
  <c r="A417" i="2"/>
  <c r="C416" i="2"/>
  <c r="H416" i="2"/>
  <c r="H61" i="5" s="1"/>
  <c r="G416" i="2"/>
  <c r="H61" i="4" s="1"/>
  <c r="A416" i="2"/>
  <c r="C415" i="2"/>
  <c r="H415" i="2"/>
  <c r="G61" i="5" s="1"/>
  <c r="D415" i="2"/>
  <c r="A415" i="2"/>
  <c r="C414" i="2"/>
  <c r="E414" i="2"/>
  <c r="D414" i="2"/>
  <c r="A414" i="2"/>
  <c r="F413" i="2"/>
  <c r="E61" i="3" s="1"/>
  <c r="E413" i="2"/>
  <c r="D413" i="2"/>
  <c r="G412" i="2"/>
  <c r="D61" i="4" s="1"/>
  <c r="F412" i="2"/>
  <c r="D61" i="3" s="1"/>
  <c r="E412" i="2"/>
  <c r="D412" i="2"/>
  <c r="H411" i="2"/>
  <c r="C61" i="5" s="1"/>
  <c r="G411" i="2"/>
  <c r="C61" i="4" s="1"/>
  <c r="F411" i="2"/>
  <c r="C61" i="3" s="1"/>
  <c r="E411" i="2"/>
  <c r="D411" i="2"/>
  <c r="C410" i="2"/>
  <c r="A61" i="20" s="1"/>
  <c r="H410" i="2"/>
  <c r="G410" i="2"/>
  <c r="B61" i="10" s="1"/>
  <c r="F410" i="2"/>
  <c r="B61" i="9" s="1"/>
  <c r="E410" i="2"/>
  <c r="A410" i="2"/>
  <c r="C409" i="2"/>
  <c r="H409" i="2"/>
  <c r="H60" i="5" s="1"/>
  <c r="G409" i="2"/>
  <c r="H60" i="4" s="1"/>
  <c r="F409" i="2"/>
  <c r="H60" i="3" s="1"/>
  <c r="A409" i="2"/>
  <c r="C408" i="2"/>
  <c r="H408" i="2"/>
  <c r="G60" i="5" s="1"/>
  <c r="G408" i="2"/>
  <c r="G60" i="4" s="1"/>
  <c r="A408" i="2"/>
  <c r="C407" i="2"/>
  <c r="D407" i="2"/>
  <c r="A407" i="2"/>
  <c r="C406" i="2"/>
  <c r="E406" i="2"/>
  <c r="D406" i="2"/>
  <c r="A406" i="2"/>
  <c r="F405" i="2"/>
  <c r="D60" i="3" s="1"/>
  <c r="E405" i="2"/>
  <c r="D405" i="2"/>
  <c r="G404" i="2"/>
  <c r="C60" i="4" s="1"/>
  <c r="F404" i="2"/>
  <c r="C60" i="3" s="1"/>
  <c r="E404" i="2"/>
  <c r="D404" i="2"/>
  <c r="H403" i="2"/>
  <c r="G403" i="2"/>
  <c r="B60" i="10" s="1"/>
  <c r="F403" i="2"/>
  <c r="B60" i="9" s="1"/>
  <c r="E403" i="2"/>
  <c r="D403" i="2"/>
  <c r="C402" i="2"/>
  <c r="H402" i="2"/>
  <c r="G402" i="2"/>
  <c r="F402" i="2"/>
  <c r="A402" i="2"/>
  <c r="C401" i="2"/>
  <c r="H401" i="2"/>
  <c r="G401" i="2"/>
  <c r="A401" i="2"/>
  <c r="C400" i="2"/>
  <c r="H400" i="2"/>
  <c r="G400" i="2"/>
  <c r="A400" i="2"/>
  <c r="C399" i="2"/>
  <c r="D399" i="2"/>
  <c r="A399" i="2"/>
  <c r="C398" i="2"/>
  <c r="E398" i="2"/>
  <c r="D398" i="2"/>
  <c r="F397" i="2"/>
  <c r="E397" i="2"/>
  <c r="D397" i="2"/>
  <c r="G396" i="2"/>
  <c r="F396" i="2"/>
  <c r="E396" i="2"/>
  <c r="D396" i="2"/>
  <c r="H395" i="2"/>
  <c r="G395" i="2"/>
  <c r="F395" i="2"/>
  <c r="E395" i="2"/>
  <c r="D395" i="2"/>
  <c r="C394" i="2"/>
  <c r="H394" i="2"/>
  <c r="G394" i="2"/>
  <c r="F394" i="2"/>
  <c r="A394" i="2"/>
  <c r="C393" i="2"/>
  <c r="H393" i="2"/>
  <c r="G393" i="2"/>
  <c r="F393" i="2"/>
  <c r="A393" i="2"/>
  <c r="C392" i="2"/>
  <c r="H392" i="2"/>
  <c r="G392" i="2"/>
  <c r="A392" i="2"/>
  <c r="C391" i="2"/>
  <c r="D391" i="2"/>
  <c r="A391" i="2"/>
  <c r="E390" i="2"/>
  <c r="D390" i="2"/>
  <c r="F389" i="2"/>
  <c r="E389" i="2"/>
  <c r="D389" i="2"/>
  <c r="F388" i="2"/>
  <c r="H58" i="3" s="1"/>
  <c r="E388" i="2"/>
  <c r="D388" i="2"/>
  <c r="H387" i="2"/>
  <c r="G58" i="5" s="1"/>
  <c r="G387" i="2"/>
  <c r="G58" i="4" s="1"/>
  <c r="F387" i="2"/>
  <c r="G58" i="3" s="1"/>
  <c r="E387" i="2"/>
  <c r="C386" i="2"/>
  <c r="H386" i="2"/>
  <c r="F58" i="5" s="1"/>
  <c r="G386" i="2"/>
  <c r="F58" i="4" s="1"/>
  <c r="F386" i="2"/>
  <c r="F58" i="3" s="1"/>
  <c r="E386" i="2"/>
  <c r="A386" i="2"/>
  <c r="C385" i="2"/>
  <c r="H385" i="2"/>
  <c r="E58" i="5" s="1"/>
  <c r="A385" i="2"/>
  <c r="C384" i="2"/>
  <c r="H384" i="2"/>
  <c r="D58" i="5" s="1"/>
  <c r="G384" i="2"/>
  <c r="D58" i="4" s="1"/>
  <c r="A384" i="2"/>
  <c r="C383" i="2"/>
  <c r="H383" i="2"/>
  <c r="C58" i="5" s="1"/>
  <c r="D383" i="2"/>
  <c r="A383" i="2"/>
  <c r="C382" i="2"/>
  <c r="A58" i="20" s="1"/>
  <c r="E382" i="2"/>
  <c r="D382" i="2"/>
  <c r="A382" i="2"/>
  <c r="F381" i="2"/>
  <c r="H57" i="3" s="1"/>
  <c r="E381" i="2"/>
  <c r="D381" i="2"/>
  <c r="G380" i="2"/>
  <c r="G57" i="4" s="1"/>
  <c r="F380" i="2"/>
  <c r="G57" i="3" s="1"/>
  <c r="E380" i="2"/>
  <c r="D380" i="2"/>
  <c r="H379" i="2"/>
  <c r="F57" i="5" s="1"/>
  <c r="G379" i="2"/>
  <c r="F57" i="4" s="1"/>
  <c r="F379" i="2"/>
  <c r="F57" i="3" s="1"/>
  <c r="E379" i="2"/>
  <c r="D379" i="2"/>
  <c r="C378" i="2"/>
  <c r="H378" i="2"/>
  <c r="E57" i="5" s="1"/>
  <c r="G378" i="2"/>
  <c r="E57" i="4" s="1"/>
  <c r="F378" i="2"/>
  <c r="E57" i="3" s="1"/>
  <c r="E378" i="2"/>
  <c r="A378" i="2"/>
  <c r="C377" i="2"/>
  <c r="H377" i="2"/>
  <c r="D57" i="5" s="1"/>
  <c r="G377" i="2"/>
  <c r="D57" i="4" s="1"/>
  <c r="A377" i="2"/>
  <c r="C376" i="2"/>
  <c r="H376" i="2"/>
  <c r="C57" i="5" s="1"/>
  <c r="G376" i="2"/>
  <c r="C57" i="4" s="1"/>
  <c r="A376" i="2"/>
  <c r="C375" i="2"/>
  <c r="A57" i="20" s="1"/>
  <c r="H375" i="2"/>
  <c r="D375" i="2"/>
  <c r="A375" i="2"/>
  <c r="C374" i="2"/>
  <c r="E374" i="2"/>
  <c r="D374" i="2"/>
  <c r="A374" i="2"/>
  <c r="F373" i="2"/>
  <c r="G56" i="3" s="1"/>
  <c r="E373" i="2"/>
  <c r="D373" i="2"/>
  <c r="G372" i="2"/>
  <c r="F56" i="4" s="1"/>
  <c r="F372" i="2"/>
  <c r="F56" i="3" s="1"/>
  <c r="E372" i="2"/>
  <c r="D372" i="2"/>
  <c r="H371" i="2"/>
  <c r="E56" i="5" s="1"/>
  <c r="G371" i="2"/>
  <c r="E56" i="4" s="1"/>
  <c r="F371" i="2"/>
  <c r="E56" i="3" s="1"/>
  <c r="E371" i="2"/>
  <c r="D371" i="2"/>
  <c r="C370" i="2"/>
  <c r="H370" i="2"/>
  <c r="D56" i="5" s="1"/>
  <c r="A370" i="2"/>
  <c r="C369" i="2"/>
  <c r="H369" i="2"/>
  <c r="C56" i="5" s="1"/>
  <c r="G369" i="2"/>
  <c r="C56" i="4" s="1"/>
  <c r="F369" i="2"/>
  <c r="C56" i="3" s="1"/>
  <c r="A369" i="2"/>
  <c r="C368" i="2"/>
  <c r="A56" i="20" s="1"/>
  <c r="H368" i="2"/>
  <c r="G368" i="2"/>
  <c r="B56" i="10" s="1"/>
  <c r="A368" i="2"/>
  <c r="C367" i="2"/>
  <c r="H367" i="2"/>
  <c r="H55" i="5" s="1"/>
  <c r="D367" i="2"/>
  <c r="A367" i="2"/>
  <c r="C366" i="2"/>
  <c r="E366" i="2"/>
  <c r="D366" i="2"/>
  <c r="F365" i="2"/>
  <c r="F55" i="3" s="1"/>
  <c r="E365" i="2"/>
  <c r="D365" i="2"/>
  <c r="G364" i="2"/>
  <c r="E55" i="4" s="1"/>
  <c r="F364" i="2"/>
  <c r="E55" i="3" s="1"/>
  <c r="E364" i="2"/>
  <c r="D364" i="2"/>
  <c r="H363" i="2"/>
  <c r="D55" i="5" s="1"/>
  <c r="G363" i="2"/>
  <c r="D55" i="4" s="1"/>
  <c r="F363" i="2"/>
  <c r="D55" i="3" s="1"/>
  <c r="D363" i="2"/>
  <c r="C362" i="2"/>
  <c r="H362" i="2"/>
  <c r="C55" i="5" s="1"/>
  <c r="G362" i="2"/>
  <c r="C55" i="4" s="1"/>
  <c r="F362" i="2"/>
  <c r="C55" i="3" s="1"/>
  <c r="E362" i="2"/>
  <c r="A362" i="2"/>
  <c r="C361" i="2"/>
  <c r="A55" i="20" s="1"/>
  <c r="H361" i="2"/>
  <c r="B55" i="5" s="1"/>
  <c r="G361" i="2"/>
  <c r="B55" i="4" s="1"/>
  <c r="A361" i="2"/>
  <c r="C360" i="2"/>
  <c r="H360" i="2"/>
  <c r="H54" i="5" s="1"/>
  <c r="A360" i="2"/>
  <c r="C359" i="2"/>
  <c r="H359" i="2"/>
  <c r="G54" i="5" s="1"/>
  <c r="D359" i="2"/>
  <c r="C358" i="2"/>
  <c r="E358" i="2"/>
  <c r="D358" i="2"/>
  <c r="F357" i="2"/>
  <c r="E54" i="3" s="1"/>
  <c r="E357" i="2"/>
  <c r="D357" i="2"/>
  <c r="G356" i="2"/>
  <c r="D54" i="4" s="1"/>
  <c r="F356" i="2"/>
  <c r="D54" i="3" s="1"/>
  <c r="E356" i="2"/>
  <c r="D356" i="2"/>
  <c r="H355" i="2"/>
  <c r="C54" i="5" s="1"/>
  <c r="G355" i="2"/>
  <c r="C54" i="4" s="1"/>
  <c r="F355" i="2"/>
  <c r="C54" i="3" s="1"/>
  <c r="E355" i="2"/>
  <c r="D355" i="2"/>
  <c r="C354" i="2"/>
  <c r="A54" i="20" s="1"/>
  <c r="H354" i="2"/>
  <c r="G354" i="2"/>
  <c r="B54" i="10" s="1"/>
  <c r="F354" i="2"/>
  <c r="B54" i="9" s="1"/>
  <c r="E354" i="2"/>
  <c r="A354" i="2"/>
  <c r="C353" i="2"/>
  <c r="H353" i="2"/>
  <c r="H53" i="5" s="1"/>
  <c r="G353" i="2"/>
  <c r="H53" i="4" s="1"/>
  <c r="F353" i="2"/>
  <c r="H53" i="3" s="1"/>
  <c r="A353" i="2"/>
  <c r="C352" i="2"/>
  <c r="H352" i="2"/>
  <c r="G53" i="5" s="1"/>
  <c r="A352" i="2"/>
  <c r="C351" i="2"/>
  <c r="H351" i="2"/>
  <c r="F53" i="5" s="1"/>
  <c r="D351" i="2"/>
  <c r="A351" i="2"/>
  <c r="E350" i="2"/>
  <c r="D350" i="2"/>
  <c r="A350" i="2"/>
  <c r="F349" i="2"/>
  <c r="D53" i="3" s="1"/>
  <c r="E349" i="2"/>
  <c r="D349" i="2"/>
  <c r="G348" i="2"/>
  <c r="C53" i="4" s="1"/>
  <c r="F348" i="2"/>
  <c r="C53" i="3" s="1"/>
  <c r="E348" i="2"/>
  <c r="D348" i="2"/>
  <c r="H347" i="2"/>
  <c r="G347" i="2"/>
  <c r="B53" i="10" s="1"/>
  <c r="F347" i="2"/>
  <c r="B53" i="9" s="1"/>
  <c r="E347" i="2"/>
  <c r="D347" i="2"/>
  <c r="C346" i="2"/>
  <c r="H346" i="2"/>
  <c r="H52" i="5" s="1"/>
  <c r="G346" i="2"/>
  <c r="H52" i="4" s="1"/>
  <c r="F346" i="2"/>
  <c r="H52" i="3" s="1"/>
  <c r="E346" i="2"/>
  <c r="A346" i="2"/>
  <c r="C345" i="2"/>
  <c r="H345" i="2"/>
  <c r="G52" i="5" s="1"/>
  <c r="A345" i="2"/>
  <c r="C344" i="2"/>
  <c r="H344" i="2"/>
  <c r="F52" i="5" s="1"/>
  <c r="G344" i="2"/>
  <c r="F52" i="4" s="1"/>
  <c r="A344" i="2"/>
  <c r="C343" i="2"/>
  <c r="H343" i="2"/>
  <c r="E52" i="5" s="1"/>
  <c r="D343" i="2"/>
  <c r="A343" i="2"/>
  <c r="C342" i="2"/>
  <c r="E342" i="2"/>
  <c r="D342" i="2"/>
  <c r="F341" i="2"/>
  <c r="C52" i="3" s="1"/>
  <c r="E341" i="2"/>
  <c r="D341" i="2"/>
  <c r="G340" i="2"/>
  <c r="B52" i="10" s="1"/>
  <c r="F340" i="2"/>
  <c r="B52" i="9" s="1"/>
  <c r="E340" i="2"/>
  <c r="D340" i="2"/>
  <c r="H339" i="2"/>
  <c r="H51" i="5" s="1"/>
  <c r="G339" i="2"/>
  <c r="H51" i="4" s="1"/>
  <c r="F339" i="2"/>
  <c r="H51" i="3" s="1"/>
  <c r="E339" i="2"/>
  <c r="D339" i="2"/>
  <c r="C338" i="2"/>
  <c r="H338" i="2"/>
  <c r="G51" i="5" s="1"/>
  <c r="G338" i="2"/>
  <c r="G51" i="4" s="1"/>
  <c r="F338" i="2"/>
  <c r="G51" i="3" s="1"/>
  <c r="A338" i="2"/>
  <c r="C337" i="2"/>
  <c r="H337" i="2"/>
  <c r="F51" i="5" s="1"/>
  <c r="G337" i="2"/>
  <c r="F51" i="4" s="1"/>
  <c r="F337" i="2"/>
  <c r="F51" i="3" s="1"/>
  <c r="A337" i="2"/>
  <c r="C336" i="2"/>
  <c r="H336" i="2"/>
  <c r="E51" i="5" s="1"/>
  <c r="G336" i="2"/>
  <c r="E51" i="4" s="1"/>
  <c r="A336" i="2"/>
  <c r="C335" i="2"/>
  <c r="H335" i="2"/>
  <c r="D51" i="5" s="1"/>
  <c r="D335" i="2"/>
  <c r="A335" i="2"/>
  <c r="C334" i="2"/>
  <c r="E334" i="2"/>
  <c r="D334" i="2"/>
  <c r="A334" i="2"/>
  <c r="F333" i="2"/>
  <c r="B51" i="9" s="1"/>
  <c r="E333" i="2"/>
  <c r="D333" i="2"/>
  <c r="G332" i="2"/>
  <c r="H50" i="4" s="1"/>
  <c r="F332" i="2"/>
  <c r="H50" i="3" s="1"/>
  <c r="E332" i="2"/>
  <c r="D332" i="2"/>
  <c r="H331" i="2"/>
  <c r="G50" i="5" s="1"/>
  <c r="G331" i="2"/>
  <c r="G50" i="4" s="1"/>
  <c r="F331" i="2"/>
  <c r="G50" i="3" s="1"/>
  <c r="E331" i="2"/>
  <c r="C330" i="2"/>
  <c r="H330" i="2"/>
  <c r="F50" i="5" s="1"/>
  <c r="G330" i="2"/>
  <c r="F50" i="4" s="1"/>
  <c r="F330" i="2"/>
  <c r="F50" i="3" s="1"/>
  <c r="A330" i="2"/>
  <c r="C329" i="2"/>
  <c r="H329" i="2"/>
  <c r="E50" i="5" s="1"/>
  <c r="G329" i="2"/>
  <c r="E50" i="4" s="1"/>
  <c r="F329" i="2"/>
  <c r="E50" i="3" s="1"/>
  <c r="A329" i="2"/>
  <c r="C328" i="2"/>
  <c r="H328" i="2"/>
  <c r="D50" i="5" s="1"/>
  <c r="G328" i="2"/>
  <c r="D50" i="4" s="1"/>
  <c r="A328" i="2"/>
  <c r="C327" i="2"/>
  <c r="H327" i="2"/>
  <c r="C50" i="5" s="1"/>
  <c r="D327" i="2"/>
  <c r="A327" i="2"/>
  <c r="C326" i="2"/>
  <c r="A50" i="20" s="1"/>
  <c r="E326" i="2"/>
  <c r="D326" i="2"/>
  <c r="A326" i="2"/>
  <c r="F325" i="2"/>
  <c r="H49" i="3" s="1"/>
  <c r="E325" i="2"/>
  <c r="D325" i="2"/>
  <c r="G324" i="2"/>
  <c r="G49" i="4" s="1"/>
  <c r="F324" i="2"/>
  <c r="G49" i="3" s="1"/>
  <c r="E324" i="2"/>
  <c r="D324" i="2"/>
  <c r="H323" i="2"/>
  <c r="F49" i="5" s="1"/>
  <c r="G323" i="2"/>
  <c r="F49" i="4" s="1"/>
  <c r="F323" i="2"/>
  <c r="F49" i="3" s="1"/>
  <c r="E323" i="2"/>
  <c r="D323" i="2"/>
  <c r="C322" i="2"/>
  <c r="H322" i="2"/>
  <c r="E49" i="5" s="1"/>
  <c r="G322" i="2"/>
  <c r="E49" i="4" s="1"/>
  <c r="F322" i="2"/>
  <c r="E49" i="3" s="1"/>
  <c r="A322" i="2"/>
  <c r="C321" i="2"/>
  <c r="H321" i="2"/>
  <c r="D49" i="5" s="1"/>
  <c r="G321" i="2"/>
  <c r="D49" i="4" s="1"/>
  <c r="F321" i="2"/>
  <c r="D49" i="3" s="1"/>
  <c r="A321" i="2"/>
  <c r="C320" i="2"/>
  <c r="H320" i="2"/>
  <c r="C49" i="5" s="1"/>
  <c r="A320" i="2"/>
  <c r="C319" i="2"/>
  <c r="A49" i="20" s="1"/>
  <c r="H319" i="2"/>
  <c r="D319" i="2"/>
  <c r="E318" i="2"/>
  <c r="D318" i="2"/>
  <c r="A318" i="2"/>
  <c r="F317" i="2"/>
  <c r="E317" i="2"/>
  <c r="D317" i="2"/>
  <c r="G316" i="2"/>
  <c r="F316" i="2"/>
  <c r="E316" i="2"/>
  <c r="H315" i="2"/>
  <c r="G315" i="2"/>
  <c r="F315" i="2"/>
  <c r="E315" i="2"/>
  <c r="D315" i="2"/>
  <c r="C314" i="2"/>
  <c r="H314" i="2"/>
  <c r="G314" i="2"/>
  <c r="F314" i="2"/>
  <c r="A314" i="2"/>
  <c r="C313" i="2"/>
  <c r="H313" i="2"/>
  <c r="G313" i="2"/>
  <c r="F313" i="2"/>
  <c r="A313" i="2"/>
  <c r="C312" i="2"/>
  <c r="H312" i="2"/>
  <c r="G312" i="2"/>
  <c r="A312" i="2"/>
  <c r="C311" i="2"/>
  <c r="H311" i="2"/>
  <c r="D311" i="2"/>
  <c r="A311" i="2"/>
  <c r="C310" i="2"/>
  <c r="E310" i="2"/>
  <c r="D310" i="2"/>
  <c r="A310" i="2"/>
  <c r="F309" i="2"/>
  <c r="E309" i="2"/>
  <c r="D309" i="2"/>
  <c r="G308" i="2"/>
  <c r="F308" i="2"/>
  <c r="E308" i="2"/>
  <c r="D308" i="2"/>
  <c r="H307" i="2"/>
  <c r="G307" i="2"/>
  <c r="F307" i="2"/>
  <c r="C306" i="2"/>
  <c r="H306" i="2"/>
  <c r="G306" i="2"/>
  <c r="F306" i="2"/>
  <c r="E306" i="2"/>
  <c r="A306" i="2"/>
  <c r="C305" i="2"/>
  <c r="H305" i="2"/>
  <c r="A305" i="2"/>
  <c r="C304" i="2"/>
  <c r="H304" i="2"/>
  <c r="H47" i="5" s="1"/>
  <c r="A304" i="2"/>
  <c r="C303" i="2"/>
  <c r="D303" i="2"/>
  <c r="A303" i="2"/>
  <c r="C302" i="2"/>
  <c r="E302" i="2"/>
  <c r="D302" i="2"/>
  <c r="F301" i="2"/>
  <c r="E47" i="3" s="1"/>
  <c r="E301" i="2"/>
  <c r="D301" i="2"/>
  <c r="G300" i="2"/>
  <c r="D47" i="4" s="1"/>
  <c r="F300" i="2"/>
  <c r="D47" i="3" s="1"/>
  <c r="E300" i="2"/>
  <c r="D300" i="2"/>
  <c r="H299" i="2"/>
  <c r="C47" i="5" s="1"/>
  <c r="G299" i="2"/>
  <c r="C47" i="4" s="1"/>
  <c r="F299" i="2"/>
  <c r="C47" i="3" s="1"/>
  <c r="E299" i="2"/>
  <c r="D299" i="2"/>
  <c r="C298" i="2"/>
  <c r="A47" i="20" s="1"/>
  <c r="H298" i="2"/>
  <c r="G298" i="2"/>
  <c r="B47" i="10" s="1"/>
  <c r="F298" i="2"/>
  <c r="B47" i="9" s="1"/>
  <c r="E298" i="2"/>
  <c r="A298" i="2"/>
  <c r="C297" i="2"/>
  <c r="H297" i="2"/>
  <c r="H45" i="5" s="1"/>
  <c r="G297" i="2"/>
  <c r="H45" i="4" s="1"/>
  <c r="F297" i="2"/>
  <c r="H45" i="3" s="1"/>
  <c r="A297" i="2"/>
  <c r="C296" i="2"/>
  <c r="H296" i="2"/>
  <c r="G45" i="5" s="1"/>
  <c r="G296" i="2"/>
  <c r="G45" i="4" s="1"/>
  <c r="A296" i="2"/>
  <c r="C295" i="2"/>
  <c r="H295" i="2"/>
  <c r="F45" i="5" s="1"/>
  <c r="D295" i="2"/>
  <c r="A295" i="2"/>
  <c r="E294" i="2"/>
  <c r="D294" i="2"/>
  <c r="A294" i="2"/>
  <c r="F293" i="2"/>
  <c r="D45" i="3" s="1"/>
  <c r="E293" i="2"/>
  <c r="D293" i="2"/>
  <c r="G292" i="2"/>
  <c r="C45" i="4" s="1"/>
  <c r="F292" i="2"/>
  <c r="C45" i="3" s="1"/>
  <c r="E292" i="2"/>
  <c r="D292" i="2"/>
  <c r="H291" i="2"/>
  <c r="G291" i="2"/>
  <c r="B45" i="10" s="1"/>
  <c r="F291" i="2"/>
  <c r="B45" i="9" s="1"/>
  <c r="E291" i="2"/>
  <c r="D291" i="2"/>
  <c r="C290" i="2"/>
  <c r="H290" i="2"/>
  <c r="H43" i="5" s="1"/>
  <c r="G290" i="2"/>
  <c r="H43" i="4" s="1"/>
  <c r="F290" i="2"/>
  <c r="H43" i="3" s="1"/>
  <c r="A290" i="2"/>
  <c r="C289" i="2"/>
  <c r="H289" i="2"/>
  <c r="G43" i="5" s="1"/>
  <c r="G289" i="2"/>
  <c r="G43" i="4" s="1"/>
  <c r="A289" i="2"/>
  <c r="C288" i="2"/>
  <c r="H288" i="2"/>
  <c r="F43" i="5" s="1"/>
  <c r="G288" i="2"/>
  <c r="F43" i="4" s="1"/>
  <c r="A288" i="2"/>
  <c r="C287" i="2"/>
  <c r="D287" i="2"/>
  <c r="A287" i="2"/>
  <c r="E286" i="2"/>
  <c r="D286" i="2"/>
  <c r="F285" i="2"/>
  <c r="C43" i="3" s="1"/>
  <c r="E285" i="2"/>
  <c r="D285" i="2"/>
  <c r="G284" i="2"/>
  <c r="B43" i="10" s="1"/>
  <c r="F284" i="2"/>
  <c r="B43" i="9" s="1"/>
  <c r="E284" i="2"/>
  <c r="D284" i="2"/>
  <c r="H283" i="2"/>
  <c r="H42" i="5" s="1"/>
  <c r="G283" i="2"/>
  <c r="H42" i="4" s="1"/>
  <c r="F283" i="2"/>
  <c r="H42" i="3" s="1"/>
  <c r="C282" i="2"/>
  <c r="H282" i="2"/>
  <c r="G42" i="5" s="1"/>
  <c r="G282" i="2"/>
  <c r="G42" i="4" s="1"/>
  <c r="F282" i="2"/>
  <c r="G42" i="3" s="1"/>
  <c r="E282" i="2"/>
  <c r="A282" i="2"/>
  <c r="C281" i="2"/>
  <c r="H281" i="2"/>
  <c r="F42" i="5" s="1"/>
  <c r="G281" i="2"/>
  <c r="F42" i="4" s="1"/>
  <c r="A281" i="2"/>
  <c r="C280" i="2"/>
  <c r="H280" i="2"/>
  <c r="E42" i="5" s="1"/>
  <c r="G280" i="2"/>
  <c r="E42" i="4" s="1"/>
  <c r="A280" i="2"/>
  <c r="C279" i="2"/>
  <c r="H279" i="2"/>
  <c r="D42" i="5" s="1"/>
  <c r="D279" i="2"/>
  <c r="A279" i="2"/>
  <c r="E278" i="2"/>
  <c r="D278" i="2"/>
  <c r="A278" i="2"/>
  <c r="F277" i="2"/>
  <c r="B42" i="9" s="1"/>
  <c r="E277" i="2"/>
  <c r="D277" i="2"/>
  <c r="G276" i="2"/>
  <c r="H41" i="4" s="1"/>
  <c r="F276" i="2"/>
  <c r="H41" i="3" s="1"/>
  <c r="E276" i="2"/>
  <c r="D276" i="2"/>
  <c r="H275" i="2"/>
  <c r="G41" i="5" s="1"/>
  <c r="G275" i="2"/>
  <c r="G41" i="4" s="1"/>
  <c r="F275" i="2"/>
  <c r="G41" i="3" s="1"/>
  <c r="E275" i="2"/>
  <c r="C274" i="2"/>
  <c r="H274" i="2"/>
  <c r="F41" i="5" s="1"/>
  <c r="G274" i="2"/>
  <c r="F41" i="4" s="1"/>
  <c r="F274" i="2"/>
  <c r="F41" i="3" s="1"/>
  <c r="A274" i="2"/>
  <c r="C273" i="2"/>
  <c r="H273" i="2"/>
  <c r="E41" i="5" s="1"/>
  <c r="A273" i="2"/>
  <c r="C272" i="2"/>
  <c r="H272" i="2"/>
  <c r="D41" i="5" s="1"/>
  <c r="G272" i="2"/>
  <c r="D41" i="4" s="1"/>
  <c r="C271" i="2"/>
  <c r="D271" i="2"/>
  <c r="A271" i="2"/>
  <c r="C270" i="2"/>
  <c r="A41" i="20" s="1"/>
  <c r="E270" i="2"/>
  <c r="D270" i="2"/>
  <c r="F269" i="2"/>
  <c r="H40" i="3" s="1"/>
  <c r="E269" i="2"/>
  <c r="D269" i="2"/>
  <c r="G268" i="2"/>
  <c r="G40" i="4" s="1"/>
  <c r="F268" i="2"/>
  <c r="G40" i="3" s="1"/>
  <c r="E268" i="2"/>
  <c r="D268" i="2"/>
  <c r="H267" i="2"/>
  <c r="F40" i="5" s="1"/>
  <c r="G267" i="2"/>
  <c r="F40" i="4" s="1"/>
  <c r="F267" i="2"/>
  <c r="F40" i="3" s="1"/>
  <c r="E267" i="2"/>
  <c r="C266" i="2"/>
  <c r="H266" i="2"/>
  <c r="E40" i="5" s="1"/>
  <c r="G266" i="2"/>
  <c r="E40" i="4" s="1"/>
  <c r="F266" i="2"/>
  <c r="E40" i="3" s="1"/>
  <c r="E266" i="2"/>
  <c r="A266" i="2"/>
  <c r="C265" i="2"/>
  <c r="H265" i="2"/>
  <c r="D40" i="5" s="1"/>
  <c r="G265" i="2"/>
  <c r="D40" i="4" s="1"/>
  <c r="F265" i="2"/>
  <c r="D40" i="3" s="1"/>
  <c r="A265" i="2"/>
  <c r="C264" i="2"/>
  <c r="H264" i="2"/>
  <c r="C40" i="5" s="1"/>
  <c r="G264" i="2"/>
  <c r="C40" i="4" s="1"/>
  <c r="A264" i="2"/>
  <c r="C263" i="2"/>
  <c r="A40" i="20" s="1"/>
  <c r="H263" i="2"/>
  <c r="D263" i="2"/>
  <c r="A263" i="2"/>
  <c r="E262" i="2"/>
  <c r="D262" i="2"/>
  <c r="A262" i="2"/>
  <c r="F261" i="2"/>
  <c r="G39" i="3" s="1"/>
  <c r="E261" i="2"/>
  <c r="D261" i="2"/>
  <c r="G260" i="2"/>
  <c r="F39" i="4" s="1"/>
  <c r="F260" i="2"/>
  <c r="F39" i="3" s="1"/>
  <c r="E260" i="2"/>
  <c r="D260" i="2"/>
  <c r="H259" i="2"/>
  <c r="E39" i="5" s="1"/>
  <c r="G259" i="2"/>
  <c r="E39" i="4" s="1"/>
  <c r="F259" i="2"/>
  <c r="E39" i="3" s="1"/>
  <c r="E259" i="2"/>
  <c r="D259" i="2"/>
  <c r="C258" i="2"/>
  <c r="H258" i="2"/>
  <c r="D39" i="5" s="1"/>
  <c r="G258" i="2"/>
  <c r="D39" i="4" s="1"/>
  <c r="F258" i="2"/>
  <c r="D39" i="3" s="1"/>
  <c r="A258" i="2"/>
  <c r="C257" i="2"/>
  <c r="H257" i="2"/>
  <c r="C39" i="5" s="1"/>
  <c r="G257" i="2"/>
  <c r="C39" i="4" s="1"/>
  <c r="A257" i="2"/>
  <c r="C256" i="2"/>
  <c r="A39" i="20" s="1"/>
  <c r="H256" i="2"/>
  <c r="G256" i="2"/>
  <c r="B39" i="10" s="1"/>
  <c r="A256" i="2"/>
  <c r="C255" i="2"/>
  <c r="D255" i="2"/>
  <c r="A255" i="2"/>
  <c r="E254" i="2"/>
  <c r="D254" i="2"/>
  <c r="F253" i="2"/>
  <c r="F38" i="3" s="1"/>
  <c r="E253" i="2"/>
  <c r="D253" i="2"/>
  <c r="G252" i="2"/>
  <c r="E38" i="4" s="1"/>
  <c r="F252" i="2"/>
  <c r="E38" i="3" s="1"/>
  <c r="E252" i="2"/>
  <c r="D252" i="2"/>
  <c r="H251" i="2"/>
  <c r="D38" i="5" s="1"/>
  <c r="G251" i="2"/>
  <c r="D38" i="4" s="1"/>
  <c r="F251" i="2"/>
  <c r="D38" i="3" s="1"/>
  <c r="E251" i="2"/>
  <c r="C250" i="2"/>
  <c r="H250" i="2"/>
  <c r="C38" i="5" s="1"/>
  <c r="G250" i="2"/>
  <c r="C38" i="4" s="1"/>
  <c r="F250" i="2"/>
  <c r="C38" i="3" s="1"/>
  <c r="E250" i="2"/>
  <c r="A250" i="2"/>
  <c r="C249" i="2"/>
  <c r="A38" i="20" s="1"/>
  <c r="H249" i="2"/>
  <c r="G249" i="2"/>
  <c r="B38" i="10" s="1"/>
  <c r="A249" i="2"/>
  <c r="A37" i="20" s="1"/>
  <c r="C248" i="2"/>
  <c r="H248" i="2"/>
  <c r="A248" i="2"/>
  <c r="C247" i="2"/>
  <c r="H247" i="2"/>
  <c r="D247" i="2"/>
  <c r="A247" i="2"/>
  <c r="C246" i="2"/>
  <c r="E246" i="2"/>
  <c r="D246" i="2"/>
  <c r="A246" i="2"/>
  <c r="F245" i="2"/>
  <c r="E245" i="2"/>
  <c r="D245" i="2"/>
  <c r="G244" i="2"/>
  <c r="F244" i="2"/>
  <c r="E244" i="2"/>
  <c r="D244" i="2"/>
  <c r="H243" i="2"/>
  <c r="G243" i="2"/>
  <c r="F243" i="2"/>
  <c r="E243" i="2"/>
  <c r="D243" i="2"/>
  <c r="C242" i="2"/>
  <c r="H242" i="2"/>
  <c r="G242" i="2"/>
  <c r="A242" i="2"/>
  <c r="C241" i="2"/>
  <c r="H241" i="2"/>
  <c r="G241" i="2"/>
  <c r="F241" i="2"/>
  <c r="A241" i="2"/>
  <c r="C240" i="2"/>
  <c r="H240" i="2"/>
  <c r="A240" i="2"/>
  <c r="C239" i="2"/>
  <c r="H239" i="2"/>
  <c r="D239" i="2"/>
  <c r="A239" i="2"/>
  <c r="E238" i="2"/>
  <c r="D238" i="2"/>
  <c r="A238" i="2"/>
  <c r="F237" i="2"/>
  <c r="E237" i="2"/>
  <c r="D237" i="2"/>
  <c r="G236" i="2"/>
  <c r="F236" i="2"/>
  <c r="E236" i="2"/>
  <c r="D236" i="2"/>
  <c r="H235" i="2"/>
  <c r="G235" i="2"/>
  <c r="F235" i="2"/>
  <c r="E235" i="2"/>
  <c r="D235" i="2"/>
  <c r="C234" i="2"/>
  <c r="H234" i="2"/>
  <c r="H36" i="5" s="1"/>
  <c r="G234" i="2"/>
  <c r="H36" i="4" s="1"/>
  <c r="F234" i="2"/>
  <c r="H36" i="3" s="1"/>
  <c r="E234" i="2"/>
  <c r="A234" i="2"/>
  <c r="C233" i="2"/>
  <c r="H233" i="2"/>
  <c r="G36" i="5" s="1"/>
  <c r="G233" i="2"/>
  <c r="G36" i="4" s="1"/>
  <c r="F233" i="2"/>
  <c r="G36" i="3" s="1"/>
  <c r="A233" i="2"/>
  <c r="C232" i="2"/>
  <c r="A232" i="2"/>
  <c r="H231" i="2"/>
  <c r="E36" i="5" s="1"/>
  <c r="D231" i="2"/>
  <c r="A231" i="2"/>
  <c r="C230" i="2"/>
  <c r="E230" i="2"/>
  <c r="D230" i="2"/>
  <c r="A230" i="2"/>
  <c r="F229" i="2"/>
  <c r="C36" i="3" s="1"/>
  <c r="E229" i="2"/>
  <c r="D229" i="2"/>
  <c r="G228" i="2"/>
  <c r="B36" i="10" s="1"/>
  <c r="F228" i="2"/>
  <c r="B36" i="9" s="1"/>
  <c r="D228" i="2"/>
  <c r="H227" i="2"/>
  <c r="H35" i="5" s="1"/>
  <c r="G227" i="2"/>
  <c r="H35" i="4" s="1"/>
  <c r="F227" i="2"/>
  <c r="H35" i="3" s="1"/>
  <c r="E227" i="2"/>
  <c r="D227" i="2"/>
  <c r="C226" i="2"/>
  <c r="H226" i="2"/>
  <c r="G35" i="5" s="1"/>
  <c r="G226" i="2"/>
  <c r="G35" i="4" s="1"/>
  <c r="F226" i="2"/>
  <c r="G35" i="3" s="1"/>
  <c r="A226" i="2"/>
  <c r="C225" i="2"/>
  <c r="H225" i="2"/>
  <c r="F35" i="5" s="1"/>
  <c r="G225" i="2"/>
  <c r="F35" i="4" s="1"/>
  <c r="F225" i="2"/>
  <c r="F35" i="3" s="1"/>
  <c r="A225" i="2"/>
  <c r="C224" i="2"/>
  <c r="H224" i="2"/>
  <c r="E35" i="5" s="1"/>
  <c r="A224" i="2"/>
  <c r="C223" i="2"/>
  <c r="H223" i="2"/>
  <c r="D35" i="5" s="1"/>
  <c r="D223" i="2"/>
  <c r="A223" i="2"/>
  <c r="E222" i="2"/>
  <c r="D222" i="2"/>
  <c r="F221" i="2"/>
  <c r="B35" i="9" s="1"/>
  <c r="E221" i="2"/>
  <c r="D221" i="2"/>
  <c r="G220" i="2"/>
  <c r="H34" i="4" s="1"/>
  <c r="F220" i="2"/>
  <c r="H34" i="3" s="1"/>
  <c r="E220" i="2"/>
  <c r="D220" i="2"/>
  <c r="H219" i="2"/>
  <c r="G34" i="5" s="1"/>
  <c r="G219" i="2"/>
  <c r="G34" i="4" s="1"/>
  <c r="F219" i="2"/>
  <c r="G34" i="3" s="1"/>
  <c r="E219" i="2"/>
  <c r="C218" i="2"/>
  <c r="H218" i="2"/>
  <c r="F34" i="5" s="1"/>
  <c r="G218" i="2"/>
  <c r="F34" i="4" s="1"/>
  <c r="F218" i="2"/>
  <c r="F34" i="3" s="1"/>
  <c r="E218" i="2"/>
  <c r="A218" i="2"/>
  <c r="C217" i="2"/>
  <c r="H217" i="2"/>
  <c r="E34" i="5" s="1"/>
  <c r="G217" i="2"/>
  <c r="E34" i="4" s="1"/>
  <c r="A217" i="2"/>
  <c r="C216" i="2"/>
  <c r="H216" i="2"/>
  <c r="D34" i="5" s="1"/>
  <c r="G216" i="2"/>
  <c r="D34" i="4" s="1"/>
  <c r="A216" i="2"/>
  <c r="C215" i="2"/>
  <c r="H215" i="2"/>
  <c r="C34" i="5" s="1"/>
  <c r="D215" i="2"/>
  <c r="A215" i="2"/>
  <c r="C214" i="2"/>
  <c r="A34" i="20" s="1"/>
  <c r="E214" i="2"/>
  <c r="D214" i="2"/>
  <c r="A214" i="2"/>
  <c r="F213" i="2"/>
  <c r="H33" i="3" s="1"/>
  <c r="E213" i="2"/>
  <c r="D213" i="2"/>
  <c r="G212" i="2"/>
  <c r="G33" i="4" s="1"/>
  <c r="F212" i="2"/>
  <c r="G33" i="3" s="1"/>
  <c r="E212" i="2"/>
  <c r="D212" i="2"/>
  <c r="H211" i="2"/>
  <c r="F33" i="5" s="1"/>
  <c r="G211" i="2"/>
  <c r="F33" i="4" s="1"/>
  <c r="F211" i="2"/>
  <c r="F33" i="3" s="1"/>
  <c r="E211" i="2"/>
  <c r="D211" i="2"/>
  <c r="C210" i="2"/>
  <c r="H210" i="2"/>
  <c r="E33" i="5" s="1"/>
  <c r="G210" i="2"/>
  <c r="E33" i="4" s="1"/>
  <c r="F210" i="2"/>
  <c r="E33" i="3" s="1"/>
  <c r="E210" i="2"/>
  <c r="A210" i="2"/>
  <c r="C209" i="2"/>
  <c r="H209" i="2"/>
  <c r="D33" i="5" s="1"/>
  <c r="G209" i="2"/>
  <c r="D33" i="4" s="1"/>
  <c r="A209" i="2"/>
  <c r="C208" i="2"/>
  <c r="H208" i="2"/>
  <c r="C33" i="5" s="1"/>
  <c r="G208" i="2"/>
  <c r="C33" i="4" s="1"/>
  <c r="A208" i="2"/>
  <c r="C207" i="2"/>
  <c r="A33" i="20" s="1"/>
  <c r="D207" i="2"/>
  <c r="A207" i="2"/>
  <c r="E206" i="2"/>
  <c r="D206" i="2"/>
  <c r="F205" i="2"/>
  <c r="G32" i="3" s="1"/>
  <c r="E205" i="2"/>
  <c r="D205" i="2"/>
  <c r="G204" i="2"/>
  <c r="F32" i="4" s="1"/>
  <c r="F204" i="2"/>
  <c r="F32" i="3" s="1"/>
  <c r="E204" i="2"/>
  <c r="D204" i="2"/>
  <c r="H203" i="2"/>
  <c r="E32" i="5" s="1"/>
  <c r="G203" i="2"/>
  <c r="E32" i="4" s="1"/>
  <c r="F203" i="2"/>
  <c r="E32" i="3" s="1"/>
  <c r="C202" i="2"/>
  <c r="H202" i="2"/>
  <c r="D32" i="5" s="1"/>
  <c r="G202" i="2"/>
  <c r="D32" i="4" s="1"/>
  <c r="F202" i="2"/>
  <c r="D32" i="3" s="1"/>
  <c r="E202" i="2"/>
  <c r="A202" i="2"/>
  <c r="C201" i="2"/>
  <c r="H201" i="2"/>
  <c r="C32" i="5" s="1"/>
  <c r="G201" i="2"/>
  <c r="C32" i="4" s="1"/>
  <c r="A201" i="2"/>
  <c r="C200" i="2"/>
  <c r="A32" i="20" s="1"/>
  <c r="H200" i="2"/>
  <c r="G200" i="2"/>
  <c r="B32" i="10" s="1"/>
  <c r="A200" i="2"/>
  <c r="C199" i="2"/>
  <c r="H199" i="2"/>
  <c r="H31" i="5" s="1"/>
  <c r="D199" i="2"/>
  <c r="A199" i="2"/>
  <c r="C198" i="2"/>
  <c r="E198" i="2"/>
  <c r="D198" i="2"/>
  <c r="A198" i="2"/>
  <c r="F197" i="2"/>
  <c r="F31" i="3" s="1"/>
  <c r="E197" i="2"/>
  <c r="D197" i="2"/>
  <c r="G196" i="2"/>
  <c r="E31" i="4" s="1"/>
  <c r="F196" i="2"/>
  <c r="E31" i="3" s="1"/>
  <c r="E196" i="2"/>
  <c r="D196" i="2"/>
  <c r="H195" i="2"/>
  <c r="D31" i="5" s="1"/>
  <c r="G195" i="2"/>
  <c r="D31" i="4" s="1"/>
  <c r="F195" i="2"/>
  <c r="D31" i="3" s="1"/>
  <c r="E195" i="2"/>
  <c r="D195" i="2"/>
  <c r="C194" i="2"/>
  <c r="H194" i="2"/>
  <c r="C31" i="5" s="1"/>
  <c r="G194" i="2"/>
  <c r="C31" i="4" s="1"/>
  <c r="F194" i="2"/>
  <c r="C31" i="3" s="1"/>
  <c r="A194" i="2"/>
  <c r="C193" i="2"/>
  <c r="A31" i="20" s="1"/>
  <c r="H193" i="2"/>
  <c r="G193" i="2"/>
  <c r="B31" i="10" s="1"/>
  <c r="F193" i="2"/>
  <c r="B31" i="9" s="1"/>
  <c r="A193" i="2"/>
  <c r="C192" i="2"/>
  <c r="H192" i="2"/>
  <c r="H30" i="5" s="1"/>
  <c r="G192" i="2"/>
  <c r="H30" i="4" s="1"/>
  <c r="A192" i="2"/>
  <c r="C191" i="2"/>
  <c r="H191" i="2"/>
  <c r="G30" i="5" s="1"/>
  <c r="D191" i="2"/>
  <c r="E190" i="2"/>
  <c r="D190" i="2"/>
  <c r="A190" i="2"/>
  <c r="F189" i="2"/>
  <c r="E30" i="3" s="1"/>
  <c r="E189" i="2"/>
  <c r="D189" i="2"/>
  <c r="G188" i="2"/>
  <c r="D30" i="4" s="1"/>
  <c r="F188" i="2"/>
  <c r="D30" i="3" s="1"/>
  <c r="E188" i="2"/>
  <c r="D188" i="2"/>
  <c r="H187" i="2"/>
  <c r="C30" i="5" s="1"/>
  <c r="G187" i="2"/>
  <c r="C30" i="4" s="1"/>
  <c r="F187" i="2"/>
  <c r="C30" i="3" s="1"/>
  <c r="E187" i="2"/>
  <c r="D187" i="2"/>
  <c r="C186" i="2"/>
  <c r="A30" i="20" s="1"/>
  <c r="H186" i="2"/>
  <c r="G186" i="2"/>
  <c r="B30" i="10" s="1"/>
  <c r="F186" i="2"/>
  <c r="B30" i="9" s="1"/>
  <c r="E186" i="2"/>
  <c r="A186" i="2"/>
  <c r="C185" i="2"/>
  <c r="H185" i="2"/>
  <c r="H29" i="5" s="1"/>
  <c r="G185" i="2"/>
  <c r="H29" i="4" s="1"/>
  <c r="F185" i="2"/>
  <c r="H29" i="3" s="1"/>
  <c r="A185" i="2"/>
  <c r="C184" i="2"/>
  <c r="H184" i="2"/>
  <c r="G29" i="5" s="1"/>
  <c r="A184" i="2"/>
  <c r="H183" i="2"/>
  <c r="F29" i="5" s="1"/>
  <c r="D183" i="2"/>
  <c r="C182" i="2"/>
  <c r="E182" i="2"/>
  <c r="D182" i="2"/>
  <c r="A182" i="2"/>
  <c r="F181" i="2"/>
  <c r="D29" i="3" s="1"/>
  <c r="E181" i="2"/>
  <c r="D181" i="2"/>
  <c r="G180" i="2"/>
  <c r="C29" i="4" s="1"/>
  <c r="F180" i="2"/>
  <c r="C29" i="3" s="1"/>
  <c r="E180" i="2"/>
  <c r="D180" i="2"/>
  <c r="H179" i="2"/>
  <c r="G179" i="2"/>
  <c r="B29" i="10" s="1"/>
  <c r="F179" i="2"/>
  <c r="B29" i="9" s="1"/>
  <c r="E179" i="2"/>
  <c r="D179" i="2"/>
  <c r="C178" i="2"/>
  <c r="H178" i="2"/>
  <c r="H28" i="5" s="1"/>
  <c r="G178" i="2"/>
  <c r="H28" i="4" s="1"/>
  <c r="F178" i="2"/>
  <c r="H28" i="3" s="1"/>
  <c r="A178" i="2"/>
  <c r="C177" i="2"/>
  <c r="H177" i="2"/>
  <c r="G28" i="5" s="1"/>
  <c r="G177" i="2"/>
  <c r="G28" i="4" s="1"/>
  <c r="F177" i="2"/>
  <c r="G28" i="3" s="1"/>
  <c r="A177" i="2"/>
  <c r="C176" i="2"/>
  <c r="H176" i="2"/>
  <c r="F28" i="5" s="1"/>
  <c r="G176" i="2"/>
  <c r="F28" i="4" s="1"/>
  <c r="A176" i="2"/>
  <c r="C175" i="2"/>
  <c r="H175" i="2"/>
  <c r="E28" i="5" s="1"/>
  <c r="D175" i="2"/>
  <c r="A175" i="2"/>
  <c r="C174" i="2"/>
  <c r="E174" i="2"/>
  <c r="D174" i="2"/>
  <c r="A174" i="2"/>
  <c r="F173" i="2"/>
  <c r="C28" i="3" s="1"/>
  <c r="E173" i="2"/>
  <c r="D173" i="2"/>
  <c r="G172" i="2"/>
  <c r="B28" i="10" s="1"/>
  <c r="F172" i="2"/>
  <c r="B28" i="9" s="1"/>
  <c r="E172" i="2"/>
  <c r="D172" i="2"/>
  <c r="H171" i="2"/>
  <c r="H27" i="5" s="1"/>
  <c r="G171" i="2"/>
  <c r="H27" i="4" s="1"/>
  <c r="F171" i="2"/>
  <c r="H27" i="3" s="1"/>
  <c r="E171" i="2"/>
  <c r="D171" i="2"/>
  <c r="C170" i="2"/>
  <c r="H170" i="2"/>
  <c r="G27" i="5" s="1"/>
  <c r="G170" i="2"/>
  <c r="G27" i="4" s="1"/>
  <c r="F170" i="2"/>
  <c r="G27" i="3" s="1"/>
  <c r="A170" i="2"/>
  <c r="C169" i="2"/>
  <c r="H169" i="2"/>
  <c r="F27" i="5" s="1"/>
  <c r="G169" i="2"/>
  <c r="F27" i="4" s="1"/>
  <c r="F169" i="2"/>
  <c r="F27" i="3" s="1"/>
  <c r="A169" i="2"/>
  <c r="C168" i="2"/>
  <c r="H168" i="2"/>
  <c r="E27" i="5" s="1"/>
  <c r="G168" i="2"/>
  <c r="E27" i="4" s="1"/>
  <c r="A168" i="2"/>
  <c r="C167" i="2"/>
  <c r="H167" i="2"/>
  <c r="D27" i="5" s="1"/>
  <c r="D167" i="2"/>
  <c r="A167" i="2"/>
  <c r="E166" i="2"/>
  <c r="D166" i="2"/>
  <c r="A166" i="2"/>
  <c r="F165" i="2"/>
  <c r="B27" i="9" s="1"/>
  <c r="E165" i="2"/>
  <c r="D165" i="2"/>
  <c r="G164" i="2"/>
  <c r="F164" i="2"/>
  <c r="E164" i="2"/>
  <c r="D164" i="2"/>
  <c r="H163" i="2"/>
  <c r="G163" i="2"/>
  <c r="F163" i="2"/>
  <c r="E163" i="2"/>
  <c r="D163" i="2"/>
  <c r="C162" i="2"/>
  <c r="H162" i="2"/>
  <c r="G162" i="2"/>
  <c r="F162" i="2"/>
  <c r="A162" i="2"/>
  <c r="C161" i="2"/>
  <c r="H161" i="2"/>
  <c r="G161" i="2"/>
  <c r="F161" i="2"/>
  <c r="A161" i="2"/>
  <c r="C160" i="2"/>
  <c r="H160" i="2"/>
  <c r="A160" i="2"/>
  <c r="C159" i="2"/>
  <c r="H159" i="2"/>
  <c r="D159" i="2"/>
  <c r="C158" i="2"/>
  <c r="E158" i="2"/>
  <c r="D158" i="2"/>
  <c r="A158" i="2"/>
  <c r="F157" i="2"/>
  <c r="E157" i="2"/>
  <c r="D157" i="2"/>
  <c r="G156" i="2"/>
  <c r="F156" i="2"/>
  <c r="E156" i="2"/>
  <c r="D156" i="2"/>
  <c r="H155" i="2"/>
  <c r="G155" i="2"/>
  <c r="F155" i="2"/>
  <c r="E155" i="2"/>
  <c r="D155" i="2"/>
  <c r="C154" i="2"/>
  <c r="H154" i="2"/>
  <c r="G154" i="2"/>
  <c r="F154" i="2"/>
  <c r="E154" i="2"/>
  <c r="A154" i="2"/>
  <c r="C153" i="2"/>
  <c r="H153" i="2"/>
  <c r="G153" i="2"/>
  <c r="F153" i="2"/>
  <c r="A153" i="2"/>
  <c r="C152" i="2"/>
  <c r="H152" i="2"/>
  <c r="A152" i="2"/>
  <c r="C151" i="2"/>
  <c r="H151" i="2"/>
  <c r="D151" i="2"/>
  <c r="C150" i="2"/>
  <c r="E150" i="2"/>
  <c r="D150" i="2"/>
  <c r="A150" i="2"/>
  <c r="F149" i="2"/>
  <c r="G25" i="3" s="1"/>
  <c r="E149" i="2"/>
  <c r="D149" i="2"/>
  <c r="G148" i="2"/>
  <c r="F25" i="4" s="1"/>
  <c r="F148" i="2"/>
  <c r="F25" i="3" s="1"/>
  <c r="E148" i="2"/>
  <c r="H147" i="2"/>
  <c r="E25" i="5" s="1"/>
  <c r="G147" i="2"/>
  <c r="E25" i="4" s="1"/>
  <c r="F147" i="2"/>
  <c r="E25" i="3" s="1"/>
  <c r="E147" i="2"/>
  <c r="D147" i="2"/>
  <c r="C146" i="2"/>
  <c r="H146" i="2"/>
  <c r="D25" i="5" s="1"/>
  <c r="G146" i="2"/>
  <c r="D25" i="4" s="1"/>
  <c r="F146" i="2"/>
  <c r="D25" i="3" s="1"/>
  <c r="A146" i="2"/>
  <c r="C145" i="2"/>
  <c r="H145" i="2"/>
  <c r="C25" i="5" s="1"/>
  <c r="G145" i="2"/>
  <c r="C25" i="4" s="1"/>
  <c r="F145" i="2"/>
  <c r="C25" i="3" s="1"/>
  <c r="A145" i="2"/>
  <c r="C144" i="2"/>
  <c r="A25" i="20" s="1"/>
  <c r="H144" i="2"/>
  <c r="G144" i="2"/>
  <c r="B25" i="10" s="1"/>
  <c r="A144" i="2"/>
  <c r="C143" i="2"/>
  <c r="H143" i="2"/>
  <c r="H24" i="5" s="1"/>
  <c r="D143" i="2"/>
  <c r="A143" i="2"/>
  <c r="C142" i="2"/>
  <c r="E142" i="2"/>
  <c r="D142" i="2"/>
  <c r="F141" i="2"/>
  <c r="F24" i="3" s="1"/>
  <c r="E141" i="2"/>
  <c r="D141" i="2"/>
  <c r="G140" i="2"/>
  <c r="E24" i="4" s="1"/>
  <c r="F140" i="2"/>
  <c r="E24" i="3" s="1"/>
  <c r="E140" i="2"/>
  <c r="D140" i="2"/>
  <c r="H139" i="2"/>
  <c r="D24" i="5" s="1"/>
  <c r="G139" i="2"/>
  <c r="D24" i="4" s="1"/>
  <c r="F139" i="2"/>
  <c r="D24" i="3" s="1"/>
  <c r="E139" i="2"/>
  <c r="C138" i="2"/>
  <c r="H138" i="2"/>
  <c r="C24" i="5" s="1"/>
  <c r="G138" i="2"/>
  <c r="C24" i="4" s="1"/>
  <c r="F138" i="2"/>
  <c r="C24" i="3" s="1"/>
  <c r="E138" i="2"/>
  <c r="A138" i="2"/>
  <c r="C137" i="2"/>
  <c r="A24" i="20" s="1"/>
  <c r="H137" i="2"/>
  <c r="G137" i="2"/>
  <c r="B24" i="10" s="1"/>
  <c r="A137" i="2"/>
  <c r="C136" i="2"/>
  <c r="H136" i="2"/>
  <c r="A136" i="2"/>
  <c r="C135" i="2"/>
  <c r="H135" i="2"/>
  <c r="D135" i="2"/>
  <c r="C134" i="2"/>
  <c r="E134" i="2"/>
  <c r="D134" i="2"/>
  <c r="A134" i="2"/>
  <c r="F133" i="2"/>
  <c r="E23" i="9" s="1"/>
  <c r="G132" i="2"/>
  <c r="D23" i="10" s="1"/>
  <c r="F132" i="2"/>
  <c r="D23" i="9" s="1"/>
  <c r="E132" i="2"/>
  <c r="D132" i="2"/>
  <c r="H131" i="2"/>
  <c r="G131" i="2"/>
  <c r="C23" i="10" s="1"/>
  <c r="F131" i="2"/>
  <c r="C23" i="9" s="1"/>
  <c r="E131" i="2"/>
  <c r="D131" i="2"/>
  <c r="C130" i="2"/>
  <c r="A23" i="20" s="1"/>
  <c r="H130" i="2"/>
  <c r="G130" i="2"/>
  <c r="F130" i="2"/>
  <c r="E130" i="2"/>
  <c r="A130" i="2"/>
  <c r="C129" i="2"/>
  <c r="H129" i="2"/>
  <c r="G129" i="2"/>
  <c r="F129" i="2"/>
  <c r="A129" i="2"/>
  <c r="C128" i="2"/>
  <c r="H128" i="2"/>
  <c r="A128" i="2"/>
  <c r="C127" i="2"/>
  <c r="H127" i="2"/>
  <c r="D127" i="2"/>
  <c r="A127" i="2"/>
  <c r="C126" i="2"/>
  <c r="E126" i="2"/>
  <c r="D126" i="2"/>
  <c r="A126" i="2"/>
  <c r="F125" i="2"/>
  <c r="D22" i="9" s="1"/>
  <c r="E125" i="2"/>
  <c r="D125" i="2"/>
  <c r="G124" i="2"/>
  <c r="C22" i="10" s="1"/>
  <c r="F124" i="2"/>
  <c r="C22" i="9" s="1"/>
  <c r="E124" i="2"/>
  <c r="H123" i="2"/>
  <c r="G123" i="2"/>
  <c r="F123" i="2"/>
  <c r="E123" i="2"/>
  <c r="D123" i="2"/>
  <c r="C122" i="2"/>
  <c r="H122" i="2"/>
  <c r="H21" i="5" s="1"/>
  <c r="G122" i="2"/>
  <c r="H21" i="4" s="1"/>
  <c r="F122" i="2"/>
  <c r="H21" i="3" s="1"/>
  <c r="A122" i="2"/>
  <c r="C121" i="2"/>
  <c r="H121" i="2"/>
  <c r="G21" i="5" s="1"/>
  <c r="G121" i="2"/>
  <c r="G21" i="4" s="1"/>
  <c r="F121" i="2"/>
  <c r="G21" i="3" s="1"/>
  <c r="A121" i="2"/>
  <c r="C120" i="2"/>
  <c r="H120" i="2"/>
  <c r="F21" i="5" s="1"/>
  <c r="G120" i="2"/>
  <c r="F21" i="4" s="1"/>
  <c r="A120" i="2"/>
  <c r="C119" i="2"/>
  <c r="H119" i="2"/>
  <c r="E21" i="5" s="1"/>
  <c r="D119" i="2"/>
  <c r="A119" i="2"/>
  <c r="C118" i="2"/>
  <c r="E118" i="2"/>
  <c r="D118" i="2"/>
  <c r="A118" i="2"/>
  <c r="F117" i="2"/>
  <c r="C21" i="3" s="1"/>
  <c r="E117" i="2"/>
  <c r="D117" i="2"/>
  <c r="G116" i="2"/>
  <c r="B21" i="10" s="1"/>
  <c r="F116" i="2"/>
  <c r="B21" i="9" s="1"/>
  <c r="E116" i="2"/>
  <c r="D116" i="2"/>
  <c r="H115" i="2"/>
  <c r="H20" i="5" s="1"/>
  <c r="G115" i="2"/>
  <c r="H20" i="4" s="1"/>
  <c r="F115" i="2"/>
  <c r="H20" i="3" s="1"/>
  <c r="E115" i="2"/>
  <c r="D115" i="2"/>
  <c r="C114" i="2"/>
  <c r="H114" i="2"/>
  <c r="G20" i="5" s="1"/>
  <c r="G114" i="2"/>
  <c r="G20" i="4" s="1"/>
  <c r="F114" i="2"/>
  <c r="G20" i="3" s="1"/>
  <c r="A114" i="2"/>
  <c r="C113" i="2"/>
  <c r="H113" i="2"/>
  <c r="F20" i="5" s="1"/>
  <c r="G113" i="2"/>
  <c r="F20" i="4" s="1"/>
  <c r="F113" i="2"/>
  <c r="F20" i="3" s="1"/>
  <c r="A113" i="2"/>
  <c r="C112" i="2"/>
  <c r="H112" i="2"/>
  <c r="E20" i="5" s="1"/>
  <c r="G112" i="2"/>
  <c r="E20" i="4" s="1"/>
  <c r="A112" i="2"/>
  <c r="C111" i="2"/>
  <c r="H111" i="2"/>
  <c r="D20" i="5" s="1"/>
  <c r="D111" i="2"/>
  <c r="A111" i="2"/>
  <c r="C110" i="2"/>
  <c r="E110" i="2"/>
  <c r="D110" i="2"/>
  <c r="A110" i="2"/>
  <c r="F109" i="2"/>
  <c r="B20" i="9" s="1"/>
  <c r="E109" i="2"/>
  <c r="D109" i="2"/>
  <c r="G108" i="2"/>
  <c r="H19" i="4" s="1"/>
  <c r="F108" i="2"/>
  <c r="H19" i="3" s="1"/>
  <c r="E108" i="2"/>
  <c r="D108" i="2"/>
  <c r="H107" i="2"/>
  <c r="G19" i="5" s="1"/>
  <c r="G107" i="2"/>
  <c r="G19" i="4" s="1"/>
  <c r="F107" i="2"/>
  <c r="G19" i="3" s="1"/>
  <c r="E107" i="2"/>
  <c r="D107" i="2"/>
  <c r="C106" i="2"/>
  <c r="H106" i="2"/>
  <c r="F19" i="5" s="1"/>
  <c r="G106" i="2"/>
  <c r="F19" i="4" s="1"/>
  <c r="F106" i="2"/>
  <c r="F19" i="3" s="1"/>
  <c r="A106" i="2"/>
  <c r="C105" i="2"/>
  <c r="H105" i="2"/>
  <c r="E19" i="5" s="1"/>
  <c r="G105" i="2"/>
  <c r="E19" i="4" s="1"/>
  <c r="F105" i="2"/>
  <c r="E19" i="3" s="1"/>
  <c r="A105" i="2"/>
  <c r="C104" i="2"/>
  <c r="H104" i="2"/>
  <c r="D19" i="5" s="1"/>
  <c r="A104" i="2"/>
  <c r="C103" i="2"/>
  <c r="H103" i="2"/>
  <c r="C19" i="5" s="1"/>
  <c r="D103" i="2"/>
  <c r="A103" i="2"/>
  <c r="C102" i="2"/>
  <c r="A19" i="20" s="1"/>
  <c r="E102" i="2"/>
  <c r="D102" i="2"/>
  <c r="A102" i="2"/>
  <c r="F101" i="2"/>
  <c r="H18" i="3" s="1"/>
  <c r="E101" i="2"/>
  <c r="D101" i="2"/>
  <c r="G100" i="2"/>
  <c r="G18" i="4" s="1"/>
  <c r="F100" i="2"/>
  <c r="G18" i="3" s="1"/>
  <c r="E100" i="2"/>
  <c r="D100" i="2"/>
  <c r="H99" i="2"/>
  <c r="F18" i="5" s="1"/>
  <c r="G99" i="2"/>
  <c r="F18" i="4" s="1"/>
  <c r="F99" i="2"/>
  <c r="F18" i="3" s="1"/>
  <c r="E99" i="2"/>
  <c r="D99" i="2"/>
  <c r="C98" i="2"/>
  <c r="H98" i="2"/>
  <c r="E18" i="5" s="1"/>
  <c r="G98" i="2"/>
  <c r="E18" i="4" s="1"/>
  <c r="F98" i="2"/>
  <c r="E18" i="3" s="1"/>
  <c r="E98" i="2"/>
  <c r="A98" i="2"/>
  <c r="C97" i="2"/>
  <c r="H97" i="2"/>
  <c r="D18" i="5" s="1"/>
  <c r="G97" i="2"/>
  <c r="D18" i="4" s="1"/>
  <c r="F97" i="2"/>
  <c r="D18" i="3" s="1"/>
  <c r="A97" i="2"/>
  <c r="C96" i="2"/>
  <c r="H96" i="2"/>
  <c r="C18" i="5" s="1"/>
  <c r="A96" i="2"/>
  <c r="C95" i="2"/>
  <c r="A18" i="20" s="1"/>
  <c r="H95" i="2"/>
  <c r="D95" i="2"/>
  <c r="A95" i="2"/>
  <c r="C94" i="2"/>
  <c r="E94" i="2"/>
  <c r="D94" i="2"/>
  <c r="A94" i="2"/>
  <c r="F93" i="2"/>
  <c r="G17" i="3" s="1"/>
  <c r="E93" i="2"/>
  <c r="D93" i="2"/>
  <c r="G92" i="2"/>
  <c r="F17" i="4" s="1"/>
  <c r="F92" i="2"/>
  <c r="F17" i="3" s="1"/>
  <c r="E92" i="2"/>
  <c r="H91" i="2"/>
  <c r="E17" i="5" s="1"/>
  <c r="G91" i="2"/>
  <c r="E17" i="4" s="1"/>
  <c r="F91" i="2"/>
  <c r="E17" i="3" s="1"/>
  <c r="E91" i="2"/>
  <c r="D91" i="2"/>
  <c r="C90" i="2"/>
  <c r="H90" i="2"/>
  <c r="D17" i="5" s="1"/>
  <c r="G90" i="2"/>
  <c r="D17" i="4" s="1"/>
  <c r="F90" i="2"/>
  <c r="D17" i="3" s="1"/>
  <c r="A90" i="2"/>
  <c r="C89" i="2"/>
  <c r="H89" i="2"/>
  <c r="C17" i="5" s="1"/>
  <c r="G89" i="2"/>
  <c r="C17" i="4" s="1"/>
  <c r="F89" i="2"/>
  <c r="C17" i="3" s="1"/>
  <c r="A89" i="2"/>
  <c r="C88" i="2"/>
  <c r="A17" i="20" s="1"/>
  <c r="H88" i="2"/>
  <c r="G88" i="2"/>
  <c r="B17" i="10" s="1"/>
  <c r="A88" i="2"/>
  <c r="C87" i="2"/>
  <c r="H87" i="2"/>
  <c r="H16" i="5" s="1"/>
  <c r="D87" i="2"/>
  <c r="A87" i="2"/>
  <c r="C86" i="2"/>
  <c r="E86" i="2"/>
  <c r="D86" i="2"/>
  <c r="A86" i="2"/>
  <c r="F85" i="2"/>
  <c r="F16" i="3" s="1"/>
  <c r="E85" i="2"/>
  <c r="D85" i="2"/>
  <c r="G84" i="2"/>
  <c r="E16" i="4" s="1"/>
  <c r="F84" i="2"/>
  <c r="E16" i="3" s="1"/>
  <c r="E84" i="2"/>
  <c r="D84" i="2"/>
  <c r="H83" i="2"/>
  <c r="D16" i="5" s="1"/>
  <c r="G83" i="2"/>
  <c r="D16" i="4" s="1"/>
  <c r="F83" i="2"/>
  <c r="D16" i="3" s="1"/>
  <c r="E83" i="2"/>
  <c r="D83" i="2"/>
  <c r="C82" i="2"/>
  <c r="H82" i="2"/>
  <c r="C16" i="5" s="1"/>
  <c r="G82" i="2"/>
  <c r="C16" i="4" s="1"/>
  <c r="F82" i="2"/>
  <c r="C16" i="3" s="1"/>
  <c r="A82" i="2"/>
  <c r="C81" i="2"/>
  <c r="A16" i="20" s="1"/>
  <c r="H81" i="2"/>
  <c r="G81" i="2"/>
  <c r="B16" i="10" s="1"/>
  <c r="F81" i="2"/>
  <c r="B16" i="9" s="1"/>
  <c r="A81" i="2"/>
  <c r="A15" i="20" s="1"/>
  <c r="C80" i="2"/>
  <c r="H80" i="2"/>
  <c r="G80" i="2"/>
  <c r="A80" i="2"/>
  <c r="C79" i="2"/>
  <c r="H79" i="2"/>
  <c r="D79" i="2"/>
  <c r="A79" i="2"/>
  <c r="C78" i="2"/>
  <c r="E78" i="2"/>
  <c r="D78" i="2"/>
  <c r="A78" i="2"/>
  <c r="F77" i="2"/>
  <c r="E77" i="2"/>
  <c r="D77" i="2"/>
  <c r="G76" i="2"/>
  <c r="F76" i="2"/>
  <c r="E76" i="2"/>
  <c r="D76" i="2"/>
  <c r="H75" i="2"/>
  <c r="G75" i="2"/>
  <c r="F75" i="2"/>
  <c r="E75" i="2"/>
  <c r="D75" i="2"/>
  <c r="C74" i="2"/>
  <c r="H74" i="2"/>
  <c r="G74" i="2"/>
  <c r="F74" i="2"/>
  <c r="E74" i="2"/>
  <c r="A74" i="2"/>
  <c r="C73" i="2"/>
  <c r="H73" i="2"/>
  <c r="G73" i="2"/>
  <c r="F73" i="2"/>
  <c r="A73" i="2"/>
  <c r="C72" i="2"/>
  <c r="H72" i="2"/>
  <c r="A72" i="2"/>
  <c r="C71" i="2"/>
  <c r="H71" i="2"/>
  <c r="D71" i="2"/>
  <c r="A71" i="2"/>
  <c r="E70" i="2"/>
  <c r="D70" i="2"/>
  <c r="A70" i="2"/>
  <c r="F69" i="2"/>
  <c r="E69" i="2"/>
  <c r="D69" i="2"/>
  <c r="G68" i="2"/>
  <c r="F68" i="2"/>
  <c r="E68" i="2"/>
  <c r="H67" i="2"/>
  <c r="G67" i="2"/>
  <c r="F67" i="2"/>
  <c r="E67" i="2"/>
  <c r="D67" i="2"/>
  <c r="C66" i="2"/>
  <c r="H66" i="2"/>
  <c r="H14" i="5" s="1"/>
  <c r="G66" i="2"/>
  <c r="H14" i="4" s="1"/>
  <c r="F66" i="2"/>
  <c r="H14" i="3" s="1"/>
  <c r="A66" i="2"/>
  <c r="C65" i="2"/>
  <c r="H65" i="2"/>
  <c r="G14" i="5" s="1"/>
  <c r="G65" i="2"/>
  <c r="G14" i="4" s="1"/>
  <c r="F65" i="2"/>
  <c r="G14" i="3" s="1"/>
  <c r="A65" i="2"/>
  <c r="C64" i="2"/>
  <c r="H64" i="2"/>
  <c r="F14" i="5" s="1"/>
  <c r="G64" i="2"/>
  <c r="F14" i="4" s="1"/>
  <c r="A64" i="2"/>
  <c r="C63" i="2"/>
  <c r="H63" i="2"/>
  <c r="E14" i="5" s="1"/>
  <c r="D63" i="2"/>
  <c r="A63" i="2"/>
  <c r="C62" i="2"/>
  <c r="E62" i="2"/>
  <c r="D62" i="2"/>
  <c r="A62" i="2"/>
  <c r="F61" i="2"/>
  <c r="C14" i="3" s="1"/>
  <c r="E61" i="2"/>
  <c r="D61" i="2"/>
  <c r="G60" i="2"/>
  <c r="B14" i="10" s="1"/>
  <c r="F60" i="2"/>
  <c r="B14" i="9" s="1"/>
  <c r="E60" i="2"/>
  <c r="D60" i="2"/>
  <c r="H59" i="2"/>
  <c r="H13" i="5" s="1"/>
  <c r="G59" i="2"/>
  <c r="H13" i="4" s="1"/>
  <c r="F59" i="2"/>
  <c r="H13" i="3" s="1"/>
  <c r="E59" i="2"/>
  <c r="D59" i="2"/>
  <c r="C58" i="2"/>
  <c r="H58" i="2"/>
  <c r="G13" i="5" s="1"/>
  <c r="G58" i="2"/>
  <c r="G13" i="4" s="1"/>
  <c r="A58" i="2"/>
  <c r="C57" i="2"/>
  <c r="H57" i="2"/>
  <c r="F13" i="5" s="1"/>
  <c r="G57" i="2"/>
  <c r="F13" i="4" s="1"/>
  <c r="F57" i="2"/>
  <c r="F13" i="3" s="1"/>
  <c r="A57" i="2"/>
  <c r="C56" i="2"/>
  <c r="H56" i="2"/>
  <c r="E13" i="5" s="1"/>
  <c r="A56" i="2"/>
  <c r="C55" i="2"/>
  <c r="H55" i="2"/>
  <c r="D13" i="5" s="1"/>
  <c r="D55" i="2"/>
  <c r="A55" i="2"/>
  <c r="E54" i="2"/>
  <c r="D54" i="2"/>
  <c r="A54" i="2"/>
  <c r="F53" i="2"/>
  <c r="B13" i="9" s="1"/>
  <c r="E53" i="2"/>
  <c r="D53" i="2"/>
  <c r="G52" i="2"/>
  <c r="H12" i="4" s="1"/>
  <c r="F52" i="2"/>
  <c r="H12" i="3" s="1"/>
  <c r="E52" i="2"/>
  <c r="D52" i="2"/>
  <c r="H51" i="2"/>
  <c r="G12" i="5" s="1"/>
  <c r="G51" i="2"/>
  <c r="G12" i="4" s="1"/>
  <c r="F51" i="2"/>
  <c r="G12" i="3" s="1"/>
  <c r="E51" i="2"/>
  <c r="D51" i="2"/>
  <c r="C50" i="2"/>
  <c r="H50" i="2"/>
  <c r="F12" i="5" s="1"/>
  <c r="G50" i="2"/>
  <c r="F12" i="4" s="1"/>
  <c r="F50" i="2"/>
  <c r="F12" i="3" s="1"/>
  <c r="E50" i="2"/>
  <c r="A50" i="2"/>
  <c r="C49" i="2"/>
  <c r="H49" i="2"/>
  <c r="E12" i="5" s="1"/>
  <c r="G49" i="2"/>
  <c r="E12" i="4" s="1"/>
  <c r="F49" i="2"/>
  <c r="E12" i="3" s="1"/>
  <c r="A49" i="2"/>
  <c r="C48" i="2"/>
  <c r="A48" i="2"/>
  <c r="C47" i="2"/>
  <c r="H47" i="2"/>
  <c r="C12" i="5" s="1"/>
  <c r="D47" i="2"/>
  <c r="A47" i="2"/>
  <c r="C46" i="2"/>
  <c r="A12" i="20" s="1"/>
  <c r="A166" i="20" s="1"/>
  <c r="E46" i="2"/>
  <c r="D46" i="2"/>
  <c r="A46" i="2"/>
  <c r="F45" i="2"/>
  <c r="H10" i="3" s="1"/>
  <c r="E45" i="2"/>
  <c r="D45" i="2"/>
  <c r="F44" i="2"/>
  <c r="G10" i="3" s="1"/>
  <c r="E44" i="2"/>
  <c r="H43" i="2"/>
  <c r="F10" i="5" s="1"/>
  <c r="G43" i="2"/>
  <c r="F10" i="4" s="1"/>
  <c r="F43" i="2"/>
  <c r="F10" i="3" s="1"/>
  <c r="E43" i="2"/>
  <c r="D43" i="2"/>
  <c r="C42" i="2"/>
  <c r="H42" i="2"/>
  <c r="E10" i="5" s="1"/>
  <c r="G42" i="2"/>
  <c r="E10" i="4" s="1"/>
  <c r="F42" i="2"/>
  <c r="E10" i="3" s="1"/>
  <c r="A42" i="2"/>
  <c r="C41" i="2"/>
  <c r="H41" i="2"/>
  <c r="D10" i="5" s="1"/>
  <c r="G41" i="2"/>
  <c r="D10" i="4" s="1"/>
  <c r="F41" i="2"/>
  <c r="D10" i="3" s="1"/>
  <c r="A41" i="2"/>
  <c r="C40" i="2"/>
  <c r="H40" i="2"/>
  <c r="C10" i="5" s="1"/>
  <c r="G40" i="2"/>
  <c r="C10" i="4" s="1"/>
  <c r="A40" i="2"/>
  <c r="C39" i="2"/>
  <c r="A10" i="20" s="1"/>
  <c r="A164" i="20" s="1"/>
  <c r="H39" i="2"/>
  <c r="D39" i="2"/>
  <c r="A39" i="2"/>
  <c r="E38" i="2"/>
  <c r="D38" i="2"/>
  <c r="A38" i="2"/>
  <c r="F37" i="2"/>
  <c r="G9" i="3" s="1"/>
  <c r="E37" i="2"/>
  <c r="D37" i="2"/>
  <c r="G36" i="2"/>
  <c r="F9" i="4" s="1"/>
  <c r="F36" i="2"/>
  <c r="F9" i="3" s="1"/>
  <c r="E36" i="2"/>
  <c r="D36" i="2"/>
  <c r="H35" i="2"/>
  <c r="E9" i="5" s="1"/>
  <c r="G35" i="2"/>
  <c r="E9" i="4" s="1"/>
  <c r="F35" i="2"/>
  <c r="E9" i="3" s="1"/>
  <c r="E35" i="2"/>
  <c r="D35" i="2"/>
  <c r="C34" i="2"/>
  <c r="H34" i="2"/>
  <c r="D9" i="5" s="1"/>
  <c r="G34" i="2"/>
  <c r="D9" i="4" s="1"/>
  <c r="A34" i="2"/>
  <c r="C33" i="2"/>
  <c r="H33" i="2"/>
  <c r="C9" i="5" s="1"/>
  <c r="G33" i="2"/>
  <c r="C9" i="4" s="1"/>
  <c r="F33" i="2"/>
  <c r="C9" i="3" s="1"/>
  <c r="A33" i="2"/>
  <c r="C32" i="2"/>
  <c r="A9" i="20" s="1"/>
  <c r="A163" i="20" s="1"/>
  <c r="H32" i="2"/>
  <c r="A32" i="2"/>
  <c r="C31" i="2"/>
  <c r="H31" i="2"/>
  <c r="H8" i="5" s="1"/>
  <c r="D31" i="2"/>
  <c r="A31" i="2"/>
  <c r="C30" i="2"/>
  <c r="E30" i="2"/>
  <c r="D30" i="2"/>
  <c r="A30" i="2"/>
  <c r="F29" i="2"/>
  <c r="F8" i="3" s="1"/>
  <c r="E29" i="2"/>
  <c r="D29" i="2"/>
  <c r="G28" i="2"/>
  <c r="E8" i="4" s="1"/>
  <c r="F28" i="2"/>
  <c r="E8" i="3" s="1"/>
  <c r="E28" i="2"/>
  <c r="D28" i="2"/>
  <c r="H27" i="2"/>
  <c r="D8" i="5" s="1"/>
  <c r="G27" i="2"/>
  <c r="D8" i="4" s="1"/>
  <c r="F27" i="2"/>
  <c r="D8" i="3" s="1"/>
  <c r="E27" i="2"/>
  <c r="D27" i="2"/>
  <c r="C26" i="2"/>
  <c r="H26" i="2"/>
  <c r="C8" i="5" s="1"/>
  <c r="G26" i="2"/>
  <c r="C8" i="4" s="1"/>
  <c r="F26" i="2"/>
  <c r="C8" i="3" s="1"/>
  <c r="E26" i="2"/>
  <c r="A26" i="2"/>
  <c r="C25" i="2"/>
  <c r="A8" i="20" s="1"/>
  <c r="A162" i="20" s="1"/>
  <c r="H25" i="2"/>
  <c r="G25" i="2"/>
  <c r="B8" i="10" s="1"/>
  <c r="F25" i="2"/>
  <c r="B8" i="9" s="1"/>
  <c r="A25" i="2"/>
  <c r="C24" i="2"/>
  <c r="A24" i="2"/>
  <c r="C23" i="2"/>
  <c r="H23" i="2"/>
  <c r="G7" i="5" s="1"/>
  <c r="D23" i="2"/>
  <c r="A23" i="2"/>
  <c r="C22" i="2"/>
  <c r="E22" i="2"/>
  <c r="D22" i="2"/>
  <c r="A22" i="2"/>
  <c r="F21" i="2"/>
  <c r="E7" i="3" s="1"/>
  <c r="E21" i="2"/>
  <c r="D21" i="2"/>
  <c r="G20" i="2"/>
  <c r="D7" i="4" s="1"/>
  <c r="F20" i="2"/>
  <c r="D7" i="3" s="1"/>
  <c r="E20" i="2"/>
  <c r="D20" i="2"/>
  <c r="H19" i="2"/>
  <c r="C7" i="5" s="1"/>
  <c r="G19" i="2"/>
  <c r="C7" i="4" s="1"/>
  <c r="F19" i="2"/>
  <c r="C7" i="3" s="1"/>
  <c r="E19" i="2"/>
  <c r="D19" i="2"/>
  <c r="C18" i="2"/>
  <c r="A7" i="20" s="1"/>
  <c r="A161" i="20" s="1"/>
  <c r="H18" i="2"/>
  <c r="G18" i="2"/>
  <c r="B7" i="10" s="1"/>
  <c r="F18" i="2"/>
  <c r="B7" i="9" s="1"/>
  <c r="E18" i="2"/>
  <c r="A18" i="2"/>
  <c r="C17" i="2"/>
  <c r="H17" i="2"/>
  <c r="H6" i="5" s="1"/>
  <c r="G17" i="2"/>
  <c r="H6" i="4" s="1"/>
  <c r="A17" i="2"/>
  <c r="C16" i="2"/>
  <c r="H16" i="2"/>
  <c r="G6" i="5" s="1"/>
  <c r="G16" i="2"/>
  <c r="G6" i="4" s="1"/>
  <c r="A16" i="2"/>
  <c r="C15" i="2"/>
  <c r="D15" i="2"/>
  <c r="A15" i="2"/>
  <c r="C14" i="2"/>
  <c r="E14" i="2"/>
  <c r="D14" i="2"/>
  <c r="F13" i="2"/>
  <c r="D6" i="3" s="1"/>
  <c r="E13" i="2"/>
  <c r="D13" i="2"/>
  <c r="G12" i="2"/>
  <c r="C6" i="4" s="1"/>
  <c r="F12" i="2"/>
  <c r="C6" i="3" s="1"/>
  <c r="E12" i="2"/>
  <c r="D12" i="2"/>
  <c r="H11" i="2"/>
  <c r="G11" i="2"/>
  <c r="B6" i="10" s="1"/>
  <c r="F11" i="2"/>
  <c r="B6" i="9" s="1"/>
  <c r="E11" i="2"/>
  <c r="C10" i="2"/>
  <c r="H10" i="2"/>
  <c r="H5" i="5" s="1"/>
  <c r="G10" i="2"/>
  <c r="H5" i="4" s="1"/>
  <c r="F10" i="2"/>
  <c r="H5" i="3" s="1"/>
  <c r="E10" i="2"/>
  <c r="A10" i="2"/>
  <c r="C9" i="2"/>
  <c r="H9" i="2"/>
  <c r="G5" i="5" s="1"/>
  <c r="G9" i="2"/>
  <c r="G5" i="4" s="1"/>
  <c r="G3" i="3"/>
  <c r="A9" i="2"/>
  <c r="C8" i="2"/>
  <c r="H8" i="2"/>
  <c r="F5" i="5" s="1"/>
  <c r="G8" i="2"/>
  <c r="F5" i="4" s="1"/>
  <c r="F3" i="3"/>
  <c r="A8" i="2"/>
  <c r="C7" i="2"/>
  <c r="H7" i="2"/>
  <c r="E5" i="5" s="1"/>
  <c r="D7" i="2"/>
  <c r="E3" i="3"/>
  <c r="A7" i="2"/>
  <c r="C6" i="2"/>
  <c r="E6" i="2"/>
  <c r="D6" i="2"/>
  <c r="D3" i="3"/>
  <c r="A6" i="2"/>
  <c r="F5" i="2"/>
  <c r="C5" i="3" s="1"/>
  <c r="E5" i="2"/>
  <c r="D5" i="2"/>
  <c r="G4" i="2"/>
  <c r="B5" i="10" s="1"/>
  <c r="F4" i="2"/>
  <c r="B5" i="9" s="1"/>
  <c r="E4" i="2"/>
  <c r="D4" i="2"/>
  <c r="C1074" i="2"/>
  <c r="H1074" i="2"/>
  <c r="G1074" i="2"/>
  <c r="D1074" i="2"/>
  <c r="F1073" i="2"/>
  <c r="E1073" i="2"/>
  <c r="F1072" i="2"/>
  <c r="G1071" i="2"/>
  <c r="C1070" i="2"/>
  <c r="H1070" i="2"/>
  <c r="A1070" i="2"/>
  <c r="C1069" i="2"/>
  <c r="H1067" i="2"/>
  <c r="D1066" i="2"/>
  <c r="F1065" i="2"/>
  <c r="E1065" i="2"/>
  <c r="F1064" i="2"/>
  <c r="G1063" i="2"/>
  <c r="A1061" i="2"/>
  <c r="E1057" i="2"/>
  <c r="G1056" i="2"/>
  <c r="D157" i="4" s="1"/>
  <c r="F1056" i="2"/>
  <c r="D157" i="3" s="1"/>
  <c r="H1055" i="2"/>
  <c r="C157" i="5" s="1"/>
  <c r="G1055" i="2"/>
  <c r="C157" i="4" s="1"/>
  <c r="C1053" i="2"/>
  <c r="A1053" i="2"/>
  <c r="G1052" i="2"/>
  <c r="G155" i="4" s="1"/>
  <c r="D1051" i="2"/>
  <c r="E1050" i="2"/>
  <c r="D1050" i="2"/>
  <c r="E1049" i="2"/>
  <c r="F1048" i="2"/>
  <c r="C155" i="3" s="1"/>
  <c r="H1047" i="2"/>
  <c r="G1047" i="2"/>
  <c r="B155" i="10" s="1"/>
  <c r="C1046" i="2"/>
  <c r="C1045" i="2"/>
  <c r="A1045" i="2"/>
  <c r="D1042" i="2"/>
  <c r="F1041" i="2"/>
  <c r="C153" i="3" s="1"/>
  <c r="E1041" i="2"/>
  <c r="G1040" i="2"/>
  <c r="B153" i="10" s="1"/>
  <c r="F1040" i="2"/>
  <c r="B153" i="9" s="1"/>
  <c r="G1039" i="2"/>
  <c r="H152" i="4" s="1"/>
  <c r="H1038" i="2"/>
  <c r="G152" i="5" s="1"/>
  <c r="C1037" i="2"/>
  <c r="E1034" i="2"/>
  <c r="D1034" i="2"/>
  <c r="E1033" i="2"/>
  <c r="F1032" i="2"/>
  <c r="H151" i="3" s="1"/>
  <c r="G1031" i="2"/>
  <c r="G151" i="4" s="1"/>
  <c r="A1030" i="2"/>
  <c r="D1027" i="2"/>
  <c r="E1026" i="2"/>
  <c r="D1026" i="2"/>
  <c r="E1025" i="2"/>
  <c r="F1024" i="2"/>
  <c r="G150" i="3" s="1"/>
  <c r="G1023" i="2"/>
  <c r="F150" i="4" s="1"/>
  <c r="C1022" i="2"/>
  <c r="H1022" i="2"/>
  <c r="E150" i="5" s="1"/>
  <c r="C1021" i="2"/>
  <c r="A1021" i="2"/>
  <c r="E1018" i="2"/>
  <c r="F1017" i="2"/>
  <c r="G149" i="3" s="1"/>
  <c r="E1017" i="2"/>
  <c r="G1016" i="2"/>
  <c r="F149" i="4" s="1"/>
  <c r="F1016" i="2"/>
  <c r="F149" i="3" s="1"/>
  <c r="G1015" i="2"/>
  <c r="E149" i="4" s="1"/>
  <c r="H1014" i="2"/>
  <c r="D149" i="5" s="1"/>
  <c r="C1013" i="2"/>
  <c r="A1013" i="2"/>
  <c r="D1010" i="2"/>
  <c r="F1008" i="2"/>
  <c r="E148" i="3" s="1"/>
  <c r="H1007" i="2"/>
  <c r="D148" i="5" s="1"/>
  <c r="G1007" i="2"/>
  <c r="D148" i="4" s="1"/>
  <c r="H1006" i="2"/>
  <c r="C148" i="5" s="1"/>
  <c r="C1005" i="2"/>
  <c r="A148" i="20" s="1"/>
  <c r="D1002" i="2"/>
  <c r="F1001" i="2"/>
  <c r="E1001" i="2"/>
  <c r="F1000" i="2"/>
  <c r="H999" i="2"/>
  <c r="G999" i="2"/>
  <c r="H998" i="2"/>
  <c r="C997" i="2"/>
  <c r="A997" i="2"/>
  <c r="E994" i="2"/>
  <c r="D994" i="2"/>
  <c r="F993" i="2"/>
  <c r="E993" i="2"/>
  <c r="F992" i="2"/>
  <c r="G991" i="2"/>
  <c r="C990" i="2"/>
  <c r="A990" i="2"/>
  <c r="C989" i="2"/>
  <c r="A989" i="2"/>
  <c r="D986" i="2"/>
  <c r="F985" i="2"/>
  <c r="C146" i="3" s="1"/>
  <c r="E985" i="2"/>
  <c r="G984" i="2"/>
  <c r="B146" i="10" s="1"/>
  <c r="F984" i="2"/>
  <c r="B146" i="9" s="1"/>
  <c r="G983" i="2"/>
  <c r="H144" i="4" s="1"/>
  <c r="C981" i="2"/>
  <c r="A981" i="2"/>
  <c r="D979" i="2"/>
  <c r="E978" i="2"/>
  <c r="D978" i="2"/>
  <c r="E977" i="2"/>
  <c r="F976" i="2"/>
  <c r="H142" i="3" s="1"/>
  <c r="G975" i="2"/>
  <c r="G142" i="4" s="1"/>
  <c r="H974" i="2"/>
  <c r="F142" i="5" s="1"/>
  <c r="A974" i="2"/>
  <c r="C973" i="2"/>
  <c r="A973" i="2"/>
  <c r="D970" i="2"/>
  <c r="F969" i="2"/>
  <c r="H141" i="3" s="1"/>
  <c r="F968" i="2"/>
  <c r="G141" i="3" s="1"/>
  <c r="G967" i="2"/>
  <c r="F141" i="4" s="1"/>
  <c r="A966" i="2"/>
  <c r="A965" i="2"/>
  <c r="E961" i="2"/>
  <c r="G960" i="2"/>
  <c r="F140" i="4" s="1"/>
  <c r="F960" i="2"/>
  <c r="F140" i="3" s="1"/>
  <c r="H959" i="2"/>
  <c r="E140" i="5" s="1"/>
  <c r="G959" i="2"/>
  <c r="E140" i="4" s="1"/>
  <c r="H958" i="2"/>
  <c r="D140" i="5" s="1"/>
  <c r="C957" i="2"/>
  <c r="A957" i="2"/>
  <c r="D955" i="2"/>
  <c r="F953" i="2"/>
  <c r="F139" i="3" s="1"/>
  <c r="E953" i="2"/>
  <c r="G952" i="2"/>
  <c r="E139" i="4" s="1"/>
  <c r="F952" i="2"/>
  <c r="E139" i="3" s="1"/>
  <c r="G951" i="2"/>
  <c r="D139" i="4" s="1"/>
  <c r="H950" i="2"/>
  <c r="C139" i="5" s="1"/>
  <c r="A949" i="2"/>
  <c r="F944" i="2"/>
  <c r="D138" i="3" s="1"/>
  <c r="G943" i="2"/>
  <c r="C138" i="4" s="1"/>
  <c r="H942" i="2"/>
  <c r="C941" i="2"/>
  <c r="A941" i="2"/>
  <c r="D939" i="2"/>
  <c r="D938" i="2"/>
  <c r="F937" i="2"/>
  <c r="D137" i="3" s="1"/>
  <c r="F936" i="2"/>
  <c r="C137" i="3" s="1"/>
  <c r="G935" i="2"/>
  <c r="B137" i="10" s="1"/>
  <c r="H934" i="2"/>
  <c r="C933" i="2"/>
  <c r="A933" i="2"/>
  <c r="F928" i="2"/>
  <c r="G927" i="2"/>
  <c r="C926" i="2"/>
  <c r="H926" i="2"/>
  <c r="A925" i="2"/>
  <c r="D922" i="2"/>
  <c r="E921" i="2"/>
  <c r="G920" i="2"/>
  <c r="H135" i="4" s="1"/>
  <c r="F920" i="2"/>
  <c r="H135" i="3" s="1"/>
  <c r="G919" i="2"/>
  <c r="G135" i="4" s="1"/>
  <c r="H918" i="2"/>
  <c r="F135" i="5" s="1"/>
  <c r="C917" i="2"/>
  <c r="A917" i="2"/>
  <c r="D914" i="2"/>
  <c r="F913" i="2"/>
  <c r="G912" i="2"/>
  <c r="G133" i="10" s="1"/>
  <c r="G133" i="16" s="1"/>
  <c r="F912" i="2"/>
  <c r="G133" i="9" s="1"/>
  <c r="G133" i="18" s="1"/>
  <c r="G911" i="2"/>
  <c r="F133" i="10" s="1"/>
  <c r="F133" i="16" s="1"/>
  <c r="H910" i="2"/>
  <c r="C909" i="2"/>
  <c r="D907" i="2"/>
  <c r="D906" i="2"/>
  <c r="E905" i="2"/>
  <c r="G904" i="2"/>
  <c r="F132" i="10" s="1"/>
  <c r="F904" i="2"/>
  <c r="F132" i="9" s="1"/>
  <c r="F132" i="18" s="1"/>
  <c r="H903" i="2"/>
  <c r="G903" i="2"/>
  <c r="E132" i="10" s="1"/>
  <c r="C902" i="2"/>
  <c r="C901" i="2"/>
  <c r="A901" i="2"/>
  <c r="E898" i="2"/>
  <c r="D898" i="2"/>
  <c r="F897" i="2"/>
  <c r="F131" i="3" s="1"/>
  <c r="E897" i="2"/>
  <c r="F896" i="2"/>
  <c r="E131" i="3" s="1"/>
  <c r="G895" i="2"/>
  <c r="D131" i="4" s="1"/>
  <c r="C893" i="2"/>
  <c r="A131" i="20" s="1"/>
  <c r="E889" i="2"/>
  <c r="G888" i="2"/>
  <c r="D130" i="4" s="1"/>
  <c r="F888" i="2"/>
  <c r="D130" i="3" s="1"/>
  <c r="G887" i="2"/>
  <c r="C130" i="4" s="1"/>
  <c r="H886" i="2"/>
  <c r="C885" i="2"/>
  <c r="A885" i="2"/>
  <c r="G884" i="2"/>
  <c r="G129" i="4" s="1"/>
  <c r="D882" i="2"/>
  <c r="E881" i="2"/>
  <c r="G879" i="2"/>
  <c r="B129" i="10" s="1"/>
  <c r="H878" i="2"/>
  <c r="H128" i="5" s="1"/>
  <c r="C877" i="2"/>
  <c r="A877" i="2"/>
  <c r="F872" i="2"/>
  <c r="B128" i="9" s="1"/>
  <c r="H871" i="2"/>
  <c r="H127" i="5" s="1"/>
  <c r="G871" i="2"/>
  <c r="H127" i="4" s="1"/>
  <c r="H870" i="2"/>
  <c r="G127" i="5" s="1"/>
  <c r="C869" i="2"/>
  <c r="A869" i="2"/>
  <c r="D866" i="2"/>
  <c r="E865" i="2"/>
  <c r="G863" i="2"/>
  <c r="G126" i="4" s="1"/>
  <c r="C862" i="2"/>
  <c r="A862" i="2"/>
  <c r="C861" i="2"/>
  <c r="A861" i="2"/>
  <c r="E858" i="2"/>
  <c r="D858" i="2"/>
  <c r="F857" i="2"/>
  <c r="G856" i="2"/>
  <c r="G855" i="2"/>
  <c r="H854" i="2"/>
  <c r="A853" i="2"/>
  <c r="D851" i="2"/>
  <c r="D850" i="2"/>
  <c r="E849" i="2"/>
  <c r="F848" i="2"/>
  <c r="G847" i="2"/>
  <c r="C846" i="2"/>
  <c r="H846" i="2"/>
  <c r="A846" i="2"/>
  <c r="A845" i="2"/>
  <c r="D842" i="2"/>
  <c r="F841" i="2"/>
  <c r="F124" i="3" s="1"/>
  <c r="G840" i="2"/>
  <c r="E124" i="4" s="1"/>
  <c r="F840" i="2"/>
  <c r="E124" i="3" s="1"/>
  <c r="A838" i="2"/>
  <c r="C837" i="2"/>
  <c r="A124" i="20" s="1"/>
  <c r="D834" i="2"/>
  <c r="E833" i="2"/>
  <c r="G832" i="2"/>
  <c r="D122" i="4" s="1"/>
  <c r="H831" i="2"/>
  <c r="C122" i="5" s="1"/>
  <c r="G831" i="2"/>
  <c r="C122" i="4" s="1"/>
  <c r="C829" i="2"/>
  <c r="A829" i="2"/>
  <c r="D827" i="2"/>
  <c r="E826" i="2"/>
  <c r="D826" i="2"/>
  <c r="E825" i="2"/>
  <c r="G823" i="2"/>
  <c r="B120" i="10" s="1"/>
  <c r="A821" i="2"/>
  <c r="E817" i="2"/>
  <c r="G816" i="2"/>
  <c r="B119" i="10" s="1"/>
  <c r="F816" i="2"/>
  <c r="B119" i="9" s="1"/>
  <c r="G815" i="2"/>
  <c r="H118" i="4" s="1"/>
  <c r="H814" i="2"/>
  <c r="G118" i="5" s="1"/>
  <c r="A813" i="2"/>
  <c r="E810" i="2"/>
  <c r="E809" i="2"/>
  <c r="G807" i="2"/>
  <c r="G117" i="4" s="1"/>
  <c r="C806" i="2"/>
  <c r="H806" i="2"/>
  <c r="F117" i="5" s="1"/>
  <c r="A806" i="2"/>
  <c r="C805" i="2"/>
  <c r="E801" i="2"/>
  <c r="G800" i="2"/>
  <c r="G116" i="4" s="1"/>
  <c r="F800" i="2"/>
  <c r="G116" i="3" s="1"/>
  <c r="G799" i="2"/>
  <c r="F116" i="4" s="1"/>
  <c r="H798" i="2"/>
  <c r="E116" i="5" s="1"/>
  <c r="C797" i="2"/>
  <c r="A797" i="2"/>
  <c r="D795" i="2"/>
  <c r="D794" i="2"/>
  <c r="E793" i="2"/>
  <c r="G792" i="2"/>
  <c r="F115" i="4" s="1"/>
  <c r="H791" i="2"/>
  <c r="E115" i="5" s="1"/>
  <c r="G791" i="2"/>
  <c r="E115" i="4" s="1"/>
  <c r="H790" i="2"/>
  <c r="D115" i="5" s="1"/>
  <c r="C789" i="2"/>
  <c r="D787" i="2"/>
  <c r="E786" i="2"/>
  <c r="D786" i="2"/>
  <c r="F784" i="2"/>
  <c r="H782" i="2"/>
  <c r="A782" i="2"/>
  <c r="D779" i="2"/>
  <c r="D778" i="2"/>
  <c r="E777" i="2"/>
  <c r="F776" i="2"/>
  <c r="H775" i="2"/>
  <c r="C774" i="2"/>
  <c r="H774" i="2"/>
  <c r="C773" i="2"/>
  <c r="A773" i="2"/>
  <c r="E770" i="2"/>
  <c r="E769" i="2"/>
  <c r="F768" i="2"/>
  <c r="C113" i="3" s="1"/>
  <c r="H767" i="2"/>
  <c r="C766" i="2"/>
  <c r="A765" i="2"/>
  <c r="D762" i="2"/>
  <c r="F761" i="2"/>
  <c r="C111" i="3" s="1"/>
  <c r="E761" i="2"/>
  <c r="G760" i="2"/>
  <c r="B111" i="10" s="1"/>
  <c r="H758" i="2"/>
  <c r="G110" i="5" s="1"/>
  <c r="A757" i="2"/>
  <c r="G754" i="2"/>
  <c r="C110" i="4" s="1"/>
  <c r="E754" i="2"/>
  <c r="D754" i="2"/>
  <c r="E753" i="2"/>
  <c r="G751" i="2"/>
  <c r="G109" i="4" s="1"/>
  <c r="C749" i="2"/>
  <c r="A749" i="2"/>
  <c r="E745" i="2"/>
  <c r="G743" i="2"/>
  <c r="F108" i="4" s="1"/>
  <c r="C741" i="2"/>
  <c r="A741" i="2"/>
  <c r="E738" i="2"/>
  <c r="F737" i="2"/>
  <c r="G107" i="3" s="1"/>
  <c r="E737" i="2"/>
  <c r="F736" i="2"/>
  <c r="F107" i="3" s="1"/>
  <c r="H734" i="2"/>
  <c r="D107" i="5" s="1"/>
  <c r="C733" i="2"/>
  <c r="A733" i="2"/>
  <c r="D731" i="2"/>
  <c r="E729" i="2"/>
  <c r="C726" i="2"/>
  <c r="H726" i="2"/>
  <c r="C106" i="5" s="1"/>
  <c r="A726" i="2"/>
  <c r="A725" i="2"/>
  <c r="D722" i="2"/>
  <c r="E721" i="2"/>
  <c r="F720" i="2"/>
  <c r="D105" i="3" s="1"/>
  <c r="A718" i="2"/>
  <c r="A717" i="2"/>
  <c r="E713" i="2"/>
  <c r="F712" i="2"/>
  <c r="C104" i="3" s="1"/>
  <c r="G711" i="2"/>
  <c r="B104" i="10" s="1"/>
  <c r="C710" i="2"/>
  <c r="A710" i="2"/>
  <c r="C709" i="2"/>
  <c r="A709" i="2"/>
  <c r="F705" i="2"/>
  <c r="E705" i="2"/>
  <c r="G704" i="2"/>
  <c r="F704" i="2"/>
  <c r="A701" i="2"/>
  <c r="D699" i="2"/>
  <c r="E698" i="2"/>
  <c r="D698" i="2"/>
  <c r="E697" i="2"/>
  <c r="F696" i="2"/>
  <c r="H102" i="3" s="1"/>
  <c r="G695" i="2"/>
  <c r="G102" i="4" s="1"/>
  <c r="H694" i="2"/>
  <c r="F102" i="5" s="1"/>
  <c r="A694" i="2"/>
  <c r="A693" i="2"/>
  <c r="E689" i="2"/>
  <c r="G688" i="2"/>
  <c r="G101" i="4" s="1"/>
  <c r="F688" i="2"/>
  <c r="G101" i="3" s="1"/>
  <c r="C685" i="2"/>
  <c r="A685" i="2"/>
  <c r="E682" i="2"/>
  <c r="F681" i="2"/>
  <c r="G100" i="9" s="1"/>
  <c r="E681" i="2"/>
  <c r="G679" i="2"/>
  <c r="E100" i="10" s="1"/>
  <c r="A677" i="2"/>
  <c r="E674" i="2"/>
  <c r="D674" i="2"/>
  <c r="E673" i="2"/>
  <c r="G672" i="2"/>
  <c r="E99" i="10" s="1"/>
  <c r="F672" i="2"/>
  <c r="E99" i="9" s="1"/>
  <c r="A669" i="2"/>
  <c r="D667" i="2"/>
  <c r="E666" i="2"/>
  <c r="D666" i="2"/>
  <c r="F665" i="2"/>
  <c r="E98" i="3" s="1"/>
  <c r="E665" i="2"/>
  <c r="G663" i="2"/>
  <c r="C98" i="4" s="1"/>
  <c r="H662" i="2"/>
  <c r="A662" i="2"/>
  <c r="A661" i="2"/>
  <c r="E657" i="2"/>
  <c r="G656" i="2"/>
  <c r="C97" i="4" s="1"/>
  <c r="F656" i="2"/>
  <c r="C97" i="3" s="1"/>
  <c r="G655" i="2"/>
  <c r="B97" i="10" s="1"/>
  <c r="H654" i="2"/>
  <c r="H96" i="5" s="1"/>
  <c r="C653" i="2"/>
  <c r="A653" i="2"/>
  <c r="D651" i="2"/>
  <c r="D650" i="2"/>
  <c r="E649" i="2"/>
  <c r="F648" i="2"/>
  <c r="B96" i="9" s="1"/>
  <c r="G647" i="2"/>
  <c r="H95" i="4" s="1"/>
  <c r="C646" i="2"/>
  <c r="A646" i="2"/>
  <c r="A645" i="2"/>
  <c r="E641" i="2"/>
  <c r="F640" i="2"/>
  <c r="H94" i="3" s="1"/>
  <c r="G639" i="2"/>
  <c r="G94" i="4" s="1"/>
  <c r="A638" i="2"/>
  <c r="A637" i="2"/>
  <c r="E633" i="2"/>
  <c r="F632" i="2"/>
  <c r="G93" i="3" s="1"/>
  <c r="C629" i="2"/>
  <c r="A629" i="2"/>
  <c r="E626" i="2"/>
  <c r="D626" i="2"/>
  <c r="E625" i="2"/>
  <c r="G623" i="2"/>
  <c r="H622" i="2"/>
  <c r="A621" i="2"/>
  <c r="D619" i="2"/>
  <c r="E618" i="2"/>
  <c r="D618" i="2"/>
  <c r="E617" i="2"/>
  <c r="F616" i="2"/>
  <c r="G615" i="2"/>
  <c r="C614" i="2"/>
  <c r="A614" i="2"/>
  <c r="A613" i="2"/>
  <c r="D611" i="2"/>
  <c r="E609" i="2"/>
  <c r="F608" i="2"/>
  <c r="D91" i="3" s="1"/>
  <c r="G607" i="2"/>
  <c r="C91" i="4" s="1"/>
  <c r="H606" i="2"/>
  <c r="A606" i="2"/>
  <c r="C605" i="2"/>
  <c r="E601" i="2"/>
  <c r="G599" i="2"/>
  <c r="B90" i="10" s="1"/>
  <c r="C597" i="2"/>
  <c r="A597" i="2"/>
  <c r="E593" i="2"/>
  <c r="F592" i="2"/>
  <c r="B89" i="9" s="1"/>
  <c r="H591" i="2"/>
  <c r="H87" i="5" s="1"/>
  <c r="C590" i="2"/>
  <c r="H590" i="2"/>
  <c r="G87" i="5" s="1"/>
  <c r="C589" i="2"/>
  <c r="E586" i="2"/>
  <c r="D586" i="2"/>
  <c r="F585" i="2"/>
  <c r="B87" i="9" s="1"/>
  <c r="E585" i="2"/>
  <c r="G584" i="2"/>
  <c r="H86" i="4" s="1"/>
  <c r="G583" i="2"/>
  <c r="G86" i="4" s="1"/>
  <c r="H582" i="2"/>
  <c r="F86" i="5" s="1"/>
  <c r="A581" i="2"/>
  <c r="D579" i="2"/>
  <c r="E578" i="2"/>
  <c r="D578" i="2"/>
  <c r="E577" i="2"/>
  <c r="F576" i="2"/>
  <c r="G85" i="3" s="1"/>
  <c r="A573" i="2"/>
  <c r="D571" i="2"/>
  <c r="E570" i="2"/>
  <c r="F569" i="2"/>
  <c r="G84" i="3" s="1"/>
  <c r="E569" i="2"/>
  <c r="F568" i="2"/>
  <c r="F84" i="3" s="1"/>
  <c r="C565" i="2"/>
  <c r="D563" i="2"/>
  <c r="E562" i="2"/>
  <c r="E561" i="2"/>
  <c r="C558" i="2"/>
  <c r="H558" i="2"/>
  <c r="C83" i="5" s="1"/>
  <c r="D554" i="2"/>
  <c r="E553" i="2"/>
  <c r="G552" i="2"/>
  <c r="D82" i="4" s="1"/>
  <c r="F552" i="2"/>
  <c r="D82" i="3" s="1"/>
  <c r="G551" i="2"/>
  <c r="C82" i="4" s="1"/>
  <c r="A549" i="2"/>
  <c r="E546" i="2"/>
  <c r="H545" i="2"/>
  <c r="F545" i="2"/>
  <c r="E545" i="2"/>
  <c r="G544" i="2"/>
  <c r="F544" i="2"/>
  <c r="G543" i="2"/>
  <c r="A541" i="2"/>
  <c r="D539" i="2"/>
  <c r="E538" i="2"/>
  <c r="D538" i="2"/>
  <c r="E537" i="2"/>
  <c r="A534" i="2"/>
  <c r="C533" i="2"/>
  <c r="E529" i="2"/>
  <c r="F528" i="2"/>
  <c r="H78" i="3" s="1"/>
  <c r="H526" i="2"/>
  <c r="F78" i="5" s="1"/>
  <c r="C525" i="2"/>
  <c r="D522" i="2"/>
  <c r="F521" i="2"/>
  <c r="H77" i="3" s="1"/>
  <c r="E521" i="2"/>
  <c r="G519" i="2"/>
  <c r="F77" i="4" s="1"/>
  <c r="H518" i="2"/>
  <c r="E77" i="5" s="1"/>
  <c r="C517" i="2"/>
  <c r="A517" i="2"/>
  <c r="D515" i="2"/>
  <c r="E514" i="2"/>
  <c r="D514" i="2"/>
  <c r="E513" i="2"/>
  <c r="F512" i="2"/>
  <c r="F76" i="3" s="1"/>
  <c r="A510" i="2"/>
  <c r="A509" i="2"/>
  <c r="D507" i="2"/>
  <c r="E506" i="2"/>
  <c r="F505" i="2"/>
  <c r="F75" i="3" s="1"/>
  <c r="E505" i="2"/>
  <c r="F504" i="2"/>
  <c r="E75" i="3" s="1"/>
  <c r="C501" i="2"/>
  <c r="A75" i="20" s="1"/>
  <c r="E498" i="2"/>
  <c r="E497" i="2"/>
  <c r="F496" i="2"/>
  <c r="D74" i="3" s="1"/>
  <c r="C494" i="2"/>
  <c r="A74" i="20" s="1"/>
  <c r="H494" i="2"/>
  <c r="E490" i="2"/>
  <c r="D490" i="2"/>
  <c r="E489" i="2"/>
  <c r="G487" i="2"/>
  <c r="B73" i="10" s="1"/>
  <c r="C486" i="2"/>
  <c r="A485" i="2"/>
  <c r="E482" i="2"/>
  <c r="E481" i="2"/>
  <c r="G480" i="2"/>
  <c r="B72" i="10" s="1"/>
  <c r="F480" i="2"/>
  <c r="B72" i="9" s="1"/>
  <c r="H479" i="2"/>
  <c r="H71" i="5" s="1"/>
  <c r="G479" i="2"/>
  <c r="H71" i="4" s="1"/>
  <c r="G471" i="2"/>
  <c r="D467" i="2"/>
  <c r="D466" i="2"/>
  <c r="E465" i="2"/>
  <c r="A461" i="2"/>
  <c r="F456" i="2"/>
  <c r="F69" i="3" s="1"/>
  <c r="H446" i="2"/>
  <c r="C67" i="5" s="1"/>
  <c r="F441" i="2"/>
  <c r="E65" i="3" s="1"/>
  <c r="E441" i="2"/>
  <c r="C438" i="2"/>
  <c r="A65" i="20" s="1"/>
  <c r="C437" i="2"/>
  <c r="A437" i="2"/>
  <c r="G431" i="2"/>
  <c r="B64" i="10" s="1"/>
  <c r="D427" i="2"/>
  <c r="D426" i="2"/>
  <c r="H422" i="2"/>
  <c r="G62" i="5" s="1"/>
  <c r="F417" i="2"/>
  <c r="B62" i="9" s="1"/>
  <c r="F416" i="2"/>
  <c r="H61" i="3" s="1"/>
  <c r="C413" i="2"/>
  <c r="H407" i="2"/>
  <c r="F60" i="5" s="1"/>
  <c r="G407" i="2"/>
  <c r="F60" i="4" s="1"/>
  <c r="E402" i="2"/>
  <c r="D402" i="2"/>
  <c r="E401" i="2"/>
  <c r="A398" i="2"/>
  <c r="A397" i="2"/>
  <c r="F392" i="2"/>
  <c r="G388" i="2"/>
  <c r="H58" i="4" s="1"/>
  <c r="H382" i="2"/>
  <c r="F377" i="2"/>
  <c r="D57" i="3" s="1"/>
  <c r="E377" i="2"/>
  <c r="C373" i="2"/>
  <c r="A373" i="2"/>
  <c r="G367" i="2"/>
  <c r="H55" i="4" s="1"/>
  <c r="D362" i="2"/>
  <c r="H358" i="2"/>
  <c r="F54" i="5" s="1"/>
  <c r="A358" i="2"/>
  <c r="F352" i="2"/>
  <c r="G53" i="3" s="1"/>
  <c r="C350" i="2"/>
  <c r="C349" i="2"/>
  <c r="G343" i="2"/>
  <c r="E52" i="4" s="1"/>
  <c r="E338" i="2"/>
  <c r="D338" i="2"/>
  <c r="E337" i="2"/>
  <c r="A333" i="2"/>
  <c r="F328" i="2"/>
  <c r="D50" i="3" s="1"/>
  <c r="H318" i="2"/>
  <c r="E314" i="2"/>
  <c r="E313" i="2"/>
  <c r="C309" i="2"/>
  <c r="A309" i="2"/>
  <c r="G304" i="2"/>
  <c r="H47" i="4" s="1"/>
  <c r="G303" i="2"/>
  <c r="G47" i="4" s="1"/>
  <c r="D298" i="2"/>
  <c r="H294" i="2"/>
  <c r="E45" i="5" s="1"/>
  <c r="F289" i="2"/>
  <c r="G43" i="3" s="1"/>
  <c r="F288" i="2"/>
  <c r="F43" i="3" s="1"/>
  <c r="C286" i="2"/>
  <c r="C285" i="2"/>
  <c r="G279" i="2"/>
  <c r="D42" i="4" s="1"/>
  <c r="D275" i="2"/>
  <c r="E274" i="2"/>
  <c r="D274" i="2"/>
  <c r="E273" i="2"/>
  <c r="C269" i="2"/>
  <c r="C262" i="2"/>
  <c r="C261" i="2"/>
  <c r="C254" i="2"/>
  <c r="C253" i="2"/>
  <c r="C245" i="2"/>
  <c r="C238" i="2"/>
  <c r="C237" i="2"/>
  <c r="C229" i="2"/>
  <c r="E228" i="2"/>
  <c r="C222" i="2"/>
  <c r="C221" i="2"/>
  <c r="C213" i="2"/>
  <c r="C206" i="2"/>
  <c r="C205" i="2"/>
  <c r="C197" i="2"/>
  <c r="C190" i="2"/>
  <c r="C189" i="2"/>
  <c r="C181" i="2"/>
  <c r="C173" i="2"/>
  <c r="C166" i="2"/>
  <c r="C165" i="2"/>
  <c r="A27" i="20" s="1"/>
  <c r="C157" i="2"/>
  <c r="C149" i="2"/>
  <c r="C141" i="2"/>
  <c r="C133" i="2"/>
  <c r="E133" i="2"/>
  <c r="D133" i="2"/>
  <c r="C125" i="2"/>
  <c r="C117" i="2"/>
  <c r="C109" i="2"/>
  <c r="A20" i="20" s="1"/>
  <c r="C101" i="2"/>
  <c r="C93" i="2"/>
  <c r="C85" i="2"/>
  <c r="C77" i="2"/>
  <c r="C70" i="2"/>
  <c r="C69" i="2"/>
  <c r="C61" i="2"/>
  <c r="C54" i="2"/>
  <c r="C53" i="2"/>
  <c r="A13" i="20" s="1"/>
  <c r="A167" i="20" s="1"/>
  <c r="C45" i="2"/>
  <c r="G44" i="2"/>
  <c r="G10" i="4" s="1"/>
  <c r="C38" i="2"/>
  <c r="C37" i="2"/>
  <c r="C29" i="2"/>
  <c r="C21" i="2"/>
  <c r="C13" i="2"/>
  <c r="C5" i="2"/>
  <c r="C3" i="3"/>
  <c r="B3" i="3"/>
  <c r="A48" i="4"/>
  <c r="A4" i="2"/>
  <c r="A4" i="20" s="1"/>
  <c r="E1074" i="2"/>
  <c r="D1073" i="2"/>
  <c r="E1072" i="2"/>
  <c r="D1072" i="2"/>
  <c r="F1071" i="2"/>
  <c r="E1071" i="2"/>
  <c r="G1070" i="2"/>
  <c r="F1070" i="2"/>
  <c r="H1069" i="2"/>
  <c r="G1069" i="2"/>
  <c r="A1069" i="2"/>
  <c r="H1068" i="2"/>
  <c r="C1068" i="2"/>
  <c r="A1068" i="2"/>
  <c r="D1067" i="2"/>
  <c r="C1067" i="2"/>
  <c r="A1067" i="2"/>
  <c r="D1065" i="2"/>
  <c r="E1064" i="2"/>
  <c r="D1064" i="2"/>
  <c r="F1063" i="2"/>
  <c r="E1063" i="2"/>
  <c r="H1062" i="2"/>
  <c r="G1062" i="2"/>
  <c r="F1062" i="2"/>
  <c r="H1061" i="2"/>
  <c r="G1061" i="2"/>
  <c r="C1061" i="2"/>
  <c r="H1060" i="2"/>
  <c r="H157" i="5" s="1"/>
  <c r="C1060" i="2"/>
  <c r="A1060" i="2"/>
  <c r="C1059" i="2"/>
  <c r="A1059" i="2"/>
  <c r="D1058" i="2"/>
  <c r="D1057" i="2"/>
  <c r="E1056" i="2"/>
  <c r="D1056" i="2"/>
  <c r="F1055" i="2"/>
  <c r="C157" i="3" s="1"/>
  <c r="E1055" i="2"/>
  <c r="H1054" i="2"/>
  <c r="G1054" i="2"/>
  <c r="B157" i="10" s="1"/>
  <c r="F1054" i="2"/>
  <c r="B157" i="9" s="1"/>
  <c r="A1054" i="2"/>
  <c r="H1053" i="2"/>
  <c r="H155" i="5" s="1"/>
  <c r="G1053" i="2"/>
  <c r="H155" i="4" s="1"/>
  <c r="H1052" i="2"/>
  <c r="G155" i="5" s="1"/>
  <c r="C1052" i="2"/>
  <c r="A1052" i="2"/>
  <c r="C1051" i="2"/>
  <c r="A1051" i="2"/>
  <c r="D1049" i="2"/>
  <c r="E1048" i="2"/>
  <c r="D1048" i="2"/>
  <c r="F1047" i="2"/>
  <c r="B155" i="9" s="1"/>
  <c r="E1047" i="2"/>
  <c r="H1046" i="2"/>
  <c r="H153" i="5" s="1"/>
  <c r="G1046" i="2"/>
  <c r="H153" i="4" s="1"/>
  <c r="F1046" i="2"/>
  <c r="H153" i="3" s="1"/>
  <c r="H1045" i="2"/>
  <c r="G153" i="5" s="1"/>
  <c r="G1045" i="2"/>
  <c r="G153" i="4" s="1"/>
  <c r="H1044" i="2"/>
  <c r="F153" i="5" s="1"/>
  <c r="C1044" i="2"/>
  <c r="A1044" i="2"/>
  <c r="C1043" i="2"/>
  <c r="A1043" i="2"/>
  <c r="D1041" i="2"/>
  <c r="E1040" i="2"/>
  <c r="D1040" i="2"/>
  <c r="H1039" i="2"/>
  <c r="H152" i="5" s="1"/>
  <c r="F1039" i="2"/>
  <c r="H152" i="3" s="1"/>
  <c r="E1039" i="2"/>
  <c r="G1038" i="2"/>
  <c r="G152" i="4" s="1"/>
  <c r="F1038" i="2"/>
  <c r="G152" i="3" s="1"/>
  <c r="H1037" i="2"/>
  <c r="F152" i="5" s="1"/>
  <c r="G1037" i="2"/>
  <c r="F152" i="4" s="1"/>
  <c r="A1037" i="2"/>
  <c r="H1036" i="2"/>
  <c r="E152" i="5" s="1"/>
  <c r="C1036" i="2"/>
  <c r="A1036" i="2"/>
  <c r="C1035" i="2"/>
  <c r="A1035" i="2"/>
  <c r="D1033" i="2"/>
  <c r="E1032" i="2"/>
  <c r="D1032" i="2"/>
  <c r="F1031" i="2"/>
  <c r="G151" i="3" s="1"/>
  <c r="E1031" i="2"/>
  <c r="H1030" i="2"/>
  <c r="F151" i="5" s="1"/>
  <c r="G1030" i="2"/>
  <c r="F151" i="4" s="1"/>
  <c r="F1030" i="2"/>
  <c r="F151" i="3" s="1"/>
  <c r="H1029" i="2"/>
  <c r="E151" i="5" s="1"/>
  <c r="G1029" i="2"/>
  <c r="E151" i="4" s="1"/>
  <c r="C1029" i="2"/>
  <c r="A1029" i="2"/>
  <c r="H1028" i="2"/>
  <c r="D151" i="5" s="1"/>
  <c r="C1028" i="2"/>
  <c r="A1028" i="2"/>
  <c r="C1027" i="2"/>
  <c r="A1027" i="2"/>
  <c r="D1025" i="2"/>
  <c r="E1024" i="2"/>
  <c r="D1024" i="2"/>
  <c r="F1023" i="2"/>
  <c r="F150" i="3" s="1"/>
  <c r="E1023" i="2"/>
  <c r="G1022" i="2"/>
  <c r="E150" i="4" s="1"/>
  <c r="F1022" i="2"/>
  <c r="E150" i="3" s="1"/>
  <c r="H1021" i="2"/>
  <c r="D150" i="5" s="1"/>
  <c r="G1021" i="2"/>
  <c r="D150" i="4" s="1"/>
  <c r="H1020" i="2"/>
  <c r="C150" i="5" s="1"/>
  <c r="C1020" i="2"/>
  <c r="A1020" i="2"/>
  <c r="C1019" i="2"/>
  <c r="A150" i="20" s="1"/>
  <c r="A1019" i="2"/>
  <c r="D1018" i="2"/>
  <c r="D1017" i="2"/>
  <c r="E1016" i="2"/>
  <c r="D1016" i="2"/>
  <c r="F1015" i="2"/>
  <c r="E149" i="3" s="1"/>
  <c r="E1015" i="2"/>
  <c r="G1014" i="2"/>
  <c r="D149" i="4" s="1"/>
  <c r="F1014" i="2"/>
  <c r="D149" i="3" s="1"/>
  <c r="H1013" i="2"/>
  <c r="C149" i="5" s="1"/>
  <c r="G1013" i="2"/>
  <c r="C149" i="4" s="1"/>
  <c r="H1012" i="2"/>
  <c r="C1012" i="2"/>
  <c r="A149" i="20" s="1"/>
  <c r="A1012" i="2"/>
  <c r="C1011" i="2"/>
  <c r="A1011" i="2"/>
  <c r="E1009" i="2"/>
  <c r="D1009" i="2"/>
  <c r="E1008" i="2"/>
  <c r="D1008" i="2"/>
  <c r="F1007" i="2"/>
  <c r="D148" i="3" s="1"/>
  <c r="E1007" i="2"/>
  <c r="G1006" i="2"/>
  <c r="C148" i="4" s="1"/>
  <c r="F1006" i="2"/>
  <c r="C148" i="3" s="1"/>
  <c r="H1005" i="2"/>
  <c r="G1005" i="2"/>
  <c r="B148" i="10" s="1"/>
  <c r="A1005" i="2"/>
  <c r="A147" i="20" s="1"/>
  <c r="H1004" i="2"/>
  <c r="C1004" i="2"/>
  <c r="A1004" i="2"/>
  <c r="C1003" i="2"/>
  <c r="A1003" i="2"/>
  <c r="D1001" i="2"/>
  <c r="E1000" i="2"/>
  <c r="D1000" i="2"/>
  <c r="F999" i="2"/>
  <c r="E999" i="2"/>
  <c r="G998" i="2"/>
  <c r="F998" i="2"/>
  <c r="C998" i="2"/>
  <c r="H997" i="2"/>
  <c r="G997" i="2"/>
  <c r="H996" i="2"/>
  <c r="C996" i="2"/>
  <c r="A996" i="2"/>
  <c r="C995" i="2"/>
  <c r="A995" i="2"/>
  <c r="F994" i="2"/>
  <c r="D993" i="2"/>
  <c r="E992" i="2"/>
  <c r="D992" i="2"/>
  <c r="F991" i="2"/>
  <c r="E991" i="2"/>
  <c r="H990" i="2"/>
  <c r="H146" i="5" s="1"/>
  <c r="G990" i="2"/>
  <c r="H146" i="4" s="1"/>
  <c r="F990" i="2"/>
  <c r="H146" i="3" s="1"/>
  <c r="H989" i="2"/>
  <c r="G146" i="5" s="1"/>
  <c r="G989" i="2"/>
  <c r="G146" i="4" s="1"/>
  <c r="H988" i="2"/>
  <c r="F146" i="5" s="1"/>
  <c r="C988" i="2"/>
  <c r="A988" i="2"/>
  <c r="E987" i="2"/>
  <c r="C987" i="2"/>
  <c r="A987" i="2"/>
  <c r="D985" i="2"/>
  <c r="E984" i="2"/>
  <c r="D984" i="2"/>
  <c r="F983" i="2"/>
  <c r="H144" i="3" s="1"/>
  <c r="E983" i="2"/>
  <c r="H982" i="2"/>
  <c r="G144" i="5" s="1"/>
  <c r="G982" i="2"/>
  <c r="G144" i="4" s="1"/>
  <c r="F982" i="2"/>
  <c r="G144" i="3" s="1"/>
  <c r="H981" i="2"/>
  <c r="F144" i="5" s="1"/>
  <c r="G981" i="2"/>
  <c r="F144" i="4" s="1"/>
  <c r="H980" i="2"/>
  <c r="E144" i="5" s="1"/>
  <c r="C980" i="2"/>
  <c r="A980" i="2"/>
  <c r="C979" i="2"/>
  <c r="A979" i="2"/>
  <c r="D977" i="2"/>
  <c r="E976" i="2"/>
  <c r="D976" i="2"/>
  <c r="H975" i="2"/>
  <c r="G142" i="5" s="1"/>
  <c r="F975" i="2"/>
  <c r="G142" i="3" s="1"/>
  <c r="E975" i="2"/>
  <c r="G974" i="2"/>
  <c r="F142" i="4" s="1"/>
  <c r="F974" i="2"/>
  <c r="F142" i="3" s="1"/>
  <c r="C974" i="2"/>
  <c r="H973" i="2"/>
  <c r="E142" i="5" s="1"/>
  <c r="G973" i="2"/>
  <c r="E142" i="4" s="1"/>
  <c r="H972" i="2"/>
  <c r="D142" i="5" s="1"/>
  <c r="C972" i="2"/>
  <c r="A972" i="2"/>
  <c r="C971" i="2"/>
  <c r="A971" i="2"/>
  <c r="E969" i="2"/>
  <c r="D969" i="2"/>
  <c r="E968" i="2"/>
  <c r="D968" i="2"/>
  <c r="F967" i="2"/>
  <c r="F141" i="3" s="1"/>
  <c r="E967" i="2"/>
  <c r="H966" i="2"/>
  <c r="E141" i="5" s="1"/>
  <c r="G966" i="2"/>
  <c r="E141" i="4" s="1"/>
  <c r="F966" i="2"/>
  <c r="E141" i="3" s="1"/>
  <c r="H965" i="2"/>
  <c r="D141" i="5" s="1"/>
  <c r="G965" i="2"/>
  <c r="D141" i="4" s="1"/>
  <c r="C965" i="2"/>
  <c r="H964" i="2"/>
  <c r="C141" i="5" s="1"/>
  <c r="C964" i="2"/>
  <c r="A964" i="2"/>
  <c r="C963" i="2"/>
  <c r="A141" i="20" s="1"/>
  <c r="A963" i="2"/>
  <c r="D962" i="2"/>
  <c r="D961" i="2"/>
  <c r="E960" i="2"/>
  <c r="D960" i="2"/>
  <c r="F959" i="2"/>
  <c r="E140" i="3" s="1"/>
  <c r="E959" i="2"/>
  <c r="G958" i="2"/>
  <c r="D140" i="4" s="1"/>
  <c r="F958" i="2"/>
  <c r="D140" i="3" s="1"/>
  <c r="H957" i="2"/>
  <c r="C140" i="5" s="1"/>
  <c r="G957" i="2"/>
  <c r="C140" i="4" s="1"/>
  <c r="H956" i="2"/>
  <c r="C956" i="2"/>
  <c r="A140" i="20" s="1"/>
  <c r="A956" i="2"/>
  <c r="C955" i="2"/>
  <c r="A955" i="2"/>
  <c r="E954" i="2"/>
  <c r="D954" i="2"/>
  <c r="D953" i="2"/>
  <c r="E952" i="2"/>
  <c r="D952" i="2"/>
  <c r="F951" i="2"/>
  <c r="D139" i="3" s="1"/>
  <c r="E951" i="2"/>
  <c r="C951" i="2"/>
  <c r="G950" i="2"/>
  <c r="C139" i="4" s="1"/>
  <c r="F950" i="2"/>
  <c r="C139" i="3" s="1"/>
  <c r="H949" i="2"/>
  <c r="G949" i="2"/>
  <c r="B139" i="10" s="1"/>
  <c r="C949" i="2"/>
  <c r="A139" i="20" s="1"/>
  <c r="H948" i="2"/>
  <c r="H138" i="5" s="1"/>
  <c r="C948" i="2"/>
  <c r="A948" i="2"/>
  <c r="C947" i="2"/>
  <c r="A947" i="2"/>
  <c r="D946" i="2"/>
  <c r="E945" i="2"/>
  <c r="D945" i="2"/>
  <c r="E944" i="2"/>
  <c r="D944" i="2"/>
  <c r="F943" i="2"/>
  <c r="C138" i="3" s="1"/>
  <c r="E943" i="2"/>
  <c r="G942" i="2"/>
  <c r="B138" i="10" s="1"/>
  <c r="F942" i="2"/>
  <c r="B138" i="9" s="1"/>
  <c r="H941" i="2"/>
  <c r="H137" i="5" s="1"/>
  <c r="G941" i="2"/>
  <c r="H137" i="4" s="1"/>
  <c r="H940" i="2"/>
  <c r="G137" i="5" s="1"/>
  <c r="C940" i="2"/>
  <c r="A940" i="2"/>
  <c r="C939" i="2"/>
  <c r="A939" i="2"/>
  <c r="E937" i="2"/>
  <c r="D937" i="2"/>
  <c r="E936" i="2"/>
  <c r="D936" i="2"/>
  <c r="F935" i="2"/>
  <c r="B137" i="9" s="1"/>
  <c r="E935" i="2"/>
  <c r="G934" i="2"/>
  <c r="F934" i="2"/>
  <c r="C934" i="2"/>
  <c r="H933" i="2"/>
  <c r="G933" i="2"/>
  <c r="H932" i="2"/>
  <c r="C932" i="2"/>
  <c r="A932" i="2"/>
  <c r="C931" i="2"/>
  <c r="A931" i="2"/>
  <c r="D930" i="2"/>
  <c r="E929" i="2"/>
  <c r="D929" i="2"/>
  <c r="E928" i="2"/>
  <c r="D928" i="2"/>
  <c r="F927" i="2"/>
  <c r="E927" i="2"/>
  <c r="G926" i="2"/>
  <c r="F926" i="2"/>
  <c r="H925" i="2"/>
  <c r="G925" i="2"/>
  <c r="C925" i="2"/>
  <c r="H924" i="2"/>
  <c r="C924" i="2"/>
  <c r="A924" i="2"/>
  <c r="C923" i="2"/>
  <c r="A923" i="2"/>
  <c r="E922" i="2"/>
  <c r="D921" i="2"/>
  <c r="E920" i="2"/>
  <c r="D920" i="2"/>
  <c r="F919" i="2"/>
  <c r="G135" i="3" s="1"/>
  <c r="E919" i="2"/>
  <c r="G918" i="2"/>
  <c r="F135" i="4" s="1"/>
  <c r="F918" i="2"/>
  <c r="F135" i="3" s="1"/>
  <c r="H917" i="2"/>
  <c r="E135" i="5" s="1"/>
  <c r="G917" i="2"/>
  <c r="E135" i="4" s="1"/>
  <c r="H916" i="2"/>
  <c r="D135" i="5" s="1"/>
  <c r="C916" i="2"/>
  <c r="A916" i="2"/>
  <c r="C915" i="2"/>
  <c r="A915" i="2"/>
  <c r="F914" i="2"/>
  <c r="E913" i="2"/>
  <c r="D913" i="2"/>
  <c r="E912" i="2"/>
  <c r="D912" i="2"/>
  <c r="F911" i="2"/>
  <c r="F133" i="9" s="1"/>
  <c r="F133" i="18" s="1"/>
  <c r="E911" i="2"/>
  <c r="G910" i="2"/>
  <c r="E133" i="10" s="1"/>
  <c r="E133" i="16" s="1"/>
  <c r="F910" i="2"/>
  <c r="E133" i="9" s="1"/>
  <c r="E133" i="18" s="1"/>
  <c r="A910" i="2"/>
  <c r="H909" i="2"/>
  <c r="G909" i="2"/>
  <c r="D133" i="10" s="1"/>
  <c r="D133" i="16" s="1"/>
  <c r="A909" i="2"/>
  <c r="H908" i="2"/>
  <c r="C908" i="2"/>
  <c r="A908" i="2"/>
  <c r="C907" i="2"/>
  <c r="A133" i="20" s="1"/>
  <c r="A907" i="2"/>
  <c r="D905" i="2"/>
  <c r="E904" i="2"/>
  <c r="D904" i="2"/>
  <c r="F903" i="2"/>
  <c r="E132" i="9" s="1"/>
  <c r="E132" i="18" s="1"/>
  <c r="E903" i="2"/>
  <c r="H902" i="2"/>
  <c r="G902" i="2"/>
  <c r="D132" i="10" s="1"/>
  <c r="F902" i="2"/>
  <c r="D132" i="9" s="1"/>
  <c r="D132" i="18" s="1"/>
  <c r="H901" i="2"/>
  <c r="G901" i="2"/>
  <c r="C132" i="10" s="1"/>
  <c r="H900" i="2"/>
  <c r="C900" i="2"/>
  <c r="A900" i="2"/>
  <c r="C899" i="2"/>
  <c r="A899" i="2"/>
  <c r="D897" i="2"/>
  <c r="E896" i="2"/>
  <c r="D896" i="2"/>
  <c r="F895" i="2"/>
  <c r="D131" i="3" s="1"/>
  <c r="E895" i="2"/>
  <c r="H894" i="2"/>
  <c r="C131" i="5" s="1"/>
  <c r="G894" i="2"/>
  <c r="C131" i="4" s="1"/>
  <c r="F894" i="2"/>
  <c r="C131" i="3" s="1"/>
  <c r="H893" i="2"/>
  <c r="G893" i="2"/>
  <c r="B131" i="10" s="1"/>
  <c r="A893" i="2"/>
  <c r="H892" i="2"/>
  <c r="H130" i="5" s="1"/>
  <c r="C892" i="2"/>
  <c r="A892" i="2"/>
  <c r="C891" i="2"/>
  <c r="A891" i="2"/>
  <c r="E890" i="2"/>
  <c r="D890" i="2"/>
  <c r="D889" i="2"/>
  <c r="E888" i="2"/>
  <c r="D888" i="2"/>
  <c r="F887" i="2"/>
  <c r="C130" i="3" s="1"/>
  <c r="E887" i="2"/>
  <c r="G886" i="2"/>
  <c r="B130" i="10" s="1"/>
  <c r="F886" i="2"/>
  <c r="B130" i="9" s="1"/>
  <c r="H885" i="2"/>
  <c r="H129" i="5" s="1"/>
  <c r="G885" i="2"/>
  <c r="H129" i="4" s="1"/>
  <c r="H884" i="2"/>
  <c r="G129" i="5" s="1"/>
  <c r="D884" i="2"/>
  <c r="C884" i="2"/>
  <c r="A884" i="2"/>
  <c r="C883" i="2"/>
  <c r="A883" i="2"/>
  <c r="F881" i="2"/>
  <c r="D129" i="3" s="1"/>
  <c r="D881" i="2"/>
  <c r="F880" i="2"/>
  <c r="C129" i="3" s="1"/>
  <c r="E880" i="2"/>
  <c r="D880" i="2"/>
  <c r="F879" i="2"/>
  <c r="B129" i="9" s="1"/>
  <c r="E879" i="2"/>
  <c r="G878" i="2"/>
  <c r="H128" i="4" s="1"/>
  <c r="F878" i="2"/>
  <c r="H128" i="3" s="1"/>
  <c r="C878" i="2"/>
  <c r="H877" i="2"/>
  <c r="G128" i="5" s="1"/>
  <c r="G877" i="2"/>
  <c r="G128" i="4" s="1"/>
  <c r="H876" i="2"/>
  <c r="F128" i="5" s="1"/>
  <c r="C876" i="2"/>
  <c r="A876" i="2"/>
  <c r="C875" i="2"/>
  <c r="A875" i="2"/>
  <c r="D874" i="2"/>
  <c r="E873" i="2"/>
  <c r="D873" i="2"/>
  <c r="E872" i="2"/>
  <c r="D872" i="2"/>
  <c r="F871" i="2"/>
  <c r="H127" i="3" s="1"/>
  <c r="E871" i="2"/>
  <c r="G870" i="2"/>
  <c r="G127" i="4" s="1"/>
  <c r="F870" i="2"/>
  <c r="G127" i="3" s="1"/>
  <c r="H869" i="2"/>
  <c r="F127" i="5" s="1"/>
  <c r="G869" i="2"/>
  <c r="F127" i="4" s="1"/>
  <c r="H868" i="2"/>
  <c r="E127" i="5" s="1"/>
  <c r="C868" i="2"/>
  <c r="A868" i="2"/>
  <c r="C867" i="2"/>
  <c r="A867" i="2"/>
  <c r="D865" i="2"/>
  <c r="H864" i="2"/>
  <c r="H126" i="5" s="1"/>
  <c r="F864" i="2"/>
  <c r="H126" i="3" s="1"/>
  <c r="E864" i="2"/>
  <c r="D864" i="2"/>
  <c r="F863" i="2"/>
  <c r="G126" i="3" s="1"/>
  <c r="E863" i="2"/>
  <c r="C863" i="2"/>
  <c r="A863" i="2"/>
  <c r="H862" i="2"/>
  <c r="F126" i="5" s="1"/>
  <c r="G862" i="2"/>
  <c r="F126" i="4" s="1"/>
  <c r="F862" i="2"/>
  <c r="F126" i="3" s="1"/>
  <c r="H861" i="2"/>
  <c r="E126" i="5" s="1"/>
  <c r="G861" i="2"/>
  <c r="E126" i="4" s="1"/>
  <c r="H860" i="2"/>
  <c r="D126" i="5" s="1"/>
  <c r="C860" i="2"/>
  <c r="A860" i="2"/>
  <c r="C859" i="2"/>
  <c r="A859" i="2"/>
  <c r="E857" i="2"/>
  <c r="D857" i="2"/>
  <c r="H856" i="2"/>
  <c r="F856" i="2"/>
  <c r="E856" i="2"/>
  <c r="D856" i="2"/>
  <c r="F855" i="2"/>
  <c r="E855" i="2"/>
  <c r="G854" i="2"/>
  <c r="F854" i="2"/>
  <c r="H853" i="2"/>
  <c r="G853" i="2"/>
  <c r="C853" i="2"/>
  <c r="H852" i="2"/>
  <c r="C852" i="2"/>
  <c r="A852" i="2"/>
  <c r="C851" i="2"/>
  <c r="A851" i="2"/>
  <c r="D849" i="2"/>
  <c r="G848" i="2"/>
  <c r="E848" i="2"/>
  <c r="D848" i="2"/>
  <c r="F847" i="2"/>
  <c r="E847" i="2"/>
  <c r="G846" i="2"/>
  <c r="F846" i="2"/>
  <c r="H845" i="2"/>
  <c r="G845" i="2"/>
  <c r="C845" i="2"/>
  <c r="H844" i="2"/>
  <c r="C844" i="2"/>
  <c r="A844" i="2"/>
  <c r="C843" i="2"/>
  <c r="A843" i="2"/>
  <c r="E841" i="2"/>
  <c r="D841" i="2"/>
  <c r="E840" i="2"/>
  <c r="D840" i="2"/>
  <c r="G839" i="2"/>
  <c r="D124" i="4" s="1"/>
  <c r="F839" i="2"/>
  <c r="D124" i="3" s="1"/>
  <c r="E839" i="2"/>
  <c r="H838" i="2"/>
  <c r="C124" i="5" s="1"/>
  <c r="G838" i="2"/>
  <c r="C124" i="4" s="1"/>
  <c r="F838" i="2"/>
  <c r="C124" i="3" s="1"/>
  <c r="H837" i="2"/>
  <c r="G837" i="2"/>
  <c r="B124" i="10" s="1"/>
  <c r="A837" i="2"/>
  <c r="H836" i="2"/>
  <c r="H122" i="5" s="1"/>
  <c r="C836" i="2"/>
  <c r="A836" i="2"/>
  <c r="C835" i="2"/>
  <c r="A835" i="2"/>
  <c r="D833" i="2"/>
  <c r="F832" i="2"/>
  <c r="D122" i="3" s="1"/>
  <c r="E832" i="2"/>
  <c r="D832" i="2"/>
  <c r="F831" i="2"/>
  <c r="C122" i="3" s="1"/>
  <c r="E831" i="2"/>
  <c r="H830" i="2"/>
  <c r="G830" i="2"/>
  <c r="B122" i="10" s="1"/>
  <c r="F830" i="2"/>
  <c r="B122" i="9" s="1"/>
  <c r="H829" i="2"/>
  <c r="H120" i="5" s="1"/>
  <c r="G829" i="2"/>
  <c r="H120" i="4" s="1"/>
  <c r="H828" i="2"/>
  <c r="G120" i="5" s="1"/>
  <c r="C828" i="2"/>
  <c r="A828" i="2"/>
  <c r="C827" i="2"/>
  <c r="A827" i="2"/>
  <c r="D825" i="2"/>
  <c r="F824" i="2"/>
  <c r="C120" i="3" s="1"/>
  <c r="E824" i="2"/>
  <c r="D824" i="2"/>
  <c r="F823" i="2"/>
  <c r="B120" i="9" s="1"/>
  <c r="E823" i="2"/>
  <c r="H822" i="2"/>
  <c r="H119" i="5" s="1"/>
  <c r="G822" i="2"/>
  <c r="H119" i="4" s="1"/>
  <c r="F822" i="2"/>
  <c r="H119" i="3" s="1"/>
  <c r="H821" i="2"/>
  <c r="G119" i="5" s="1"/>
  <c r="G821" i="2"/>
  <c r="G119" i="4" s="1"/>
  <c r="C821" i="2"/>
  <c r="H820" i="2"/>
  <c r="F119" i="5" s="1"/>
  <c r="C820" i="2"/>
  <c r="A820" i="2"/>
  <c r="C819" i="2"/>
  <c r="A819" i="2"/>
  <c r="D818" i="2"/>
  <c r="D817" i="2"/>
  <c r="E816" i="2"/>
  <c r="D816" i="2"/>
  <c r="F815" i="2"/>
  <c r="H118" i="3" s="1"/>
  <c r="E815" i="2"/>
  <c r="G814" i="2"/>
  <c r="G118" i="4" s="1"/>
  <c r="F814" i="2"/>
  <c r="G118" i="3" s="1"/>
  <c r="H813" i="2"/>
  <c r="F118" i="5" s="1"/>
  <c r="G813" i="2"/>
  <c r="F118" i="4" s="1"/>
  <c r="C813" i="2"/>
  <c r="H812" i="2"/>
  <c r="E118" i="5" s="1"/>
  <c r="C812" i="2"/>
  <c r="A812" i="2"/>
  <c r="C811" i="2"/>
  <c r="A811" i="2"/>
  <c r="D810" i="2"/>
  <c r="D809" i="2"/>
  <c r="G808" i="2"/>
  <c r="H117" i="4" s="1"/>
  <c r="F808" i="2"/>
  <c r="H117" i="3" s="1"/>
  <c r="E808" i="2"/>
  <c r="D808" i="2"/>
  <c r="F807" i="2"/>
  <c r="G117" i="3" s="1"/>
  <c r="E807" i="2"/>
  <c r="G806" i="2"/>
  <c r="F117" i="4" s="1"/>
  <c r="F806" i="2"/>
  <c r="F117" i="3" s="1"/>
  <c r="H805" i="2"/>
  <c r="E117" i="5" s="1"/>
  <c r="G805" i="2"/>
  <c r="E117" i="4" s="1"/>
  <c r="A805" i="2"/>
  <c r="H804" i="2"/>
  <c r="D117" i="5" s="1"/>
  <c r="C804" i="2"/>
  <c r="A804" i="2"/>
  <c r="C803" i="2"/>
  <c r="A803" i="2"/>
  <c r="D802" i="2"/>
  <c r="D801" i="2"/>
  <c r="E800" i="2"/>
  <c r="D800" i="2"/>
  <c r="H799" i="2"/>
  <c r="F116" i="5" s="1"/>
  <c r="F799" i="2"/>
  <c r="F116" i="3" s="1"/>
  <c r="E799" i="2"/>
  <c r="G798" i="2"/>
  <c r="E116" i="4" s="1"/>
  <c r="F798" i="2"/>
  <c r="E116" i="3" s="1"/>
  <c r="H797" i="2"/>
  <c r="D116" i="5" s="1"/>
  <c r="G797" i="2"/>
  <c r="D116" i="4" s="1"/>
  <c r="H796" i="2"/>
  <c r="C116" i="5" s="1"/>
  <c r="C796" i="2"/>
  <c r="A796" i="2"/>
  <c r="C795" i="2"/>
  <c r="A116" i="20" s="1"/>
  <c r="A795" i="2"/>
  <c r="D793" i="2"/>
  <c r="F792" i="2"/>
  <c r="F115" i="3" s="1"/>
  <c r="E792" i="2"/>
  <c r="D792" i="2"/>
  <c r="F791" i="2"/>
  <c r="E115" i="3" s="1"/>
  <c r="E791" i="2"/>
  <c r="G790" i="2"/>
  <c r="D115" i="4" s="1"/>
  <c r="F790" i="2"/>
  <c r="D115" i="3" s="1"/>
  <c r="H789" i="2"/>
  <c r="C115" i="5" s="1"/>
  <c r="G789" i="2"/>
  <c r="C115" i="4" s="1"/>
  <c r="A789" i="2"/>
  <c r="H788" i="2"/>
  <c r="C788" i="2"/>
  <c r="A115" i="20" s="1"/>
  <c r="A788" i="2"/>
  <c r="A114" i="20" s="1"/>
  <c r="C787" i="2"/>
  <c r="A787" i="2"/>
  <c r="F785" i="2"/>
  <c r="E785" i="2"/>
  <c r="D785" i="2"/>
  <c r="E784" i="2"/>
  <c r="D784" i="2"/>
  <c r="H783" i="2"/>
  <c r="G783" i="2"/>
  <c r="F783" i="2"/>
  <c r="E783" i="2"/>
  <c r="G782" i="2"/>
  <c r="F782" i="2"/>
  <c r="H781" i="2"/>
  <c r="G781" i="2"/>
  <c r="C781" i="2"/>
  <c r="A781" i="2"/>
  <c r="H780" i="2"/>
  <c r="C780" i="2"/>
  <c r="A780" i="2"/>
  <c r="C779" i="2"/>
  <c r="A779" i="2"/>
  <c r="D777" i="2"/>
  <c r="E776" i="2"/>
  <c r="D776" i="2"/>
  <c r="G775" i="2"/>
  <c r="F775" i="2"/>
  <c r="E775" i="2"/>
  <c r="G774" i="2"/>
  <c r="F774" i="2"/>
  <c r="H773" i="2"/>
  <c r="H113" i="5" s="1"/>
  <c r="G773" i="2"/>
  <c r="H113" i="4" s="1"/>
  <c r="H772" i="2"/>
  <c r="G113" i="5" s="1"/>
  <c r="C772" i="2"/>
  <c r="A772" i="2"/>
  <c r="C771" i="2"/>
  <c r="A771" i="2"/>
  <c r="D770" i="2"/>
  <c r="F769" i="2"/>
  <c r="D113" i="3" s="1"/>
  <c r="D769" i="2"/>
  <c r="E768" i="2"/>
  <c r="D768" i="2"/>
  <c r="G767" i="2"/>
  <c r="B113" i="10" s="1"/>
  <c r="F767" i="2"/>
  <c r="B113" i="9" s="1"/>
  <c r="E767" i="2"/>
  <c r="C767" i="2"/>
  <c r="A113" i="20" s="1"/>
  <c r="H766" i="2"/>
  <c r="H111" i="5" s="1"/>
  <c r="G766" i="2"/>
  <c r="H111" i="4" s="1"/>
  <c r="F766" i="2"/>
  <c r="H111" i="3" s="1"/>
  <c r="H765" i="2"/>
  <c r="G111" i="5" s="1"/>
  <c r="G765" i="2"/>
  <c r="G111" i="4" s="1"/>
  <c r="C765" i="2"/>
  <c r="H764" i="2"/>
  <c r="F111" i="5" s="1"/>
  <c r="C764" i="2"/>
  <c r="A764" i="2"/>
  <c r="C763" i="2"/>
  <c r="A763" i="2"/>
  <c r="D761" i="2"/>
  <c r="F760" i="2"/>
  <c r="B111" i="9" s="1"/>
  <c r="E760" i="2"/>
  <c r="D760" i="2"/>
  <c r="G759" i="2"/>
  <c r="H110" i="4" s="1"/>
  <c r="F759" i="2"/>
  <c r="H110" i="3" s="1"/>
  <c r="E759" i="2"/>
  <c r="G758" i="2"/>
  <c r="G110" i="4" s="1"/>
  <c r="F758" i="2"/>
  <c r="G110" i="3" s="1"/>
  <c r="H757" i="2"/>
  <c r="F110" i="5" s="1"/>
  <c r="G757" i="2"/>
  <c r="F110" i="4" s="1"/>
  <c r="C757" i="2"/>
  <c r="H756" i="2"/>
  <c r="E110" i="5" s="1"/>
  <c r="C756" i="2"/>
  <c r="A756" i="2"/>
  <c r="C755" i="2"/>
  <c r="A755" i="2"/>
  <c r="D753" i="2"/>
  <c r="F752" i="2"/>
  <c r="H109" i="3" s="1"/>
  <c r="E752" i="2"/>
  <c r="D752" i="2"/>
  <c r="H751" i="2"/>
  <c r="G109" i="5" s="1"/>
  <c r="F751" i="2"/>
  <c r="G109" i="3" s="1"/>
  <c r="E751" i="2"/>
  <c r="H750" i="2"/>
  <c r="F109" i="5" s="1"/>
  <c r="G750" i="2"/>
  <c r="F109" i="4" s="1"/>
  <c r="F750" i="2"/>
  <c r="F109" i="3" s="1"/>
  <c r="H749" i="2"/>
  <c r="E109" i="5" s="1"/>
  <c r="G749" i="2"/>
  <c r="E109" i="4" s="1"/>
  <c r="H748" i="2"/>
  <c r="D109" i="5" s="1"/>
  <c r="C748" i="2"/>
  <c r="A748" i="2"/>
  <c r="C747" i="2"/>
  <c r="A747" i="2"/>
  <c r="D746" i="2"/>
  <c r="D745" i="2"/>
  <c r="F744" i="2"/>
  <c r="G108" i="3" s="1"/>
  <c r="E744" i="2"/>
  <c r="D744" i="2"/>
  <c r="F743" i="2"/>
  <c r="F108" i="3" s="1"/>
  <c r="E743" i="2"/>
  <c r="H742" i="2"/>
  <c r="E108" i="5" s="1"/>
  <c r="G742" i="2"/>
  <c r="E108" i="4" s="1"/>
  <c r="F742" i="2"/>
  <c r="E108" i="3" s="1"/>
  <c r="H741" i="2"/>
  <c r="D108" i="5" s="1"/>
  <c r="G741" i="2"/>
  <c r="D108" i="4" s="1"/>
  <c r="H740" i="2"/>
  <c r="C108" i="5" s="1"/>
  <c r="C740" i="2"/>
  <c r="A740" i="2"/>
  <c r="C739" i="2"/>
  <c r="A108" i="20" s="1"/>
  <c r="A739" i="2"/>
  <c r="D738" i="2"/>
  <c r="D737" i="2"/>
  <c r="E736" i="2"/>
  <c r="D736" i="2"/>
  <c r="G735" i="2"/>
  <c r="E107" i="4" s="1"/>
  <c r="F735" i="2"/>
  <c r="E107" i="3" s="1"/>
  <c r="E735" i="2"/>
  <c r="G734" i="2"/>
  <c r="D107" i="4" s="1"/>
  <c r="F734" i="2"/>
  <c r="D107" i="3" s="1"/>
  <c r="H733" i="2"/>
  <c r="C107" i="5" s="1"/>
  <c r="G733" i="2"/>
  <c r="C107" i="4" s="1"/>
  <c r="H732" i="2"/>
  <c r="C732" i="2"/>
  <c r="A107" i="20" s="1"/>
  <c r="A732" i="2"/>
  <c r="C731" i="2"/>
  <c r="A731" i="2"/>
  <c r="D730" i="2"/>
  <c r="G729" i="2"/>
  <c r="F106" i="4" s="1"/>
  <c r="D729" i="2"/>
  <c r="F728" i="2"/>
  <c r="E106" i="3" s="1"/>
  <c r="E728" i="2"/>
  <c r="D728" i="2"/>
  <c r="G727" i="2"/>
  <c r="D106" i="4" s="1"/>
  <c r="F727" i="2"/>
  <c r="D106" i="3" s="1"/>
  <c r="E727" i="2"/>
  <c r="G726" i="2"/>
  <c r="C106" i="4" s="1"/>
  <c r="F726" i="2"/>
  <c r="C106" i="3" s="1"/>
  <c r="H725" i="2"/>
  <c r="G725" i="2"/>
  <c r="B106" i="10" s="1"/>
  <c r="C725" i="2"/>
  <c r="A106" i="20" s="1"/>
  <c r="H724" i="2"/>
  <c r="H105" i="5" s="1"/>
  <c r="C724" i="2"/>
  <c r="A724" i="2"/>
  <c r="C723" i="2"/>
  <c r="A723" i="2"/>
  <c r="D721" i="2"/>
  <c r="E720" i="2"/>
  <c r="D720" i="2"/>
  <c r="H719" i="2"/>
  <c r="C105" i="5" s="1"/>
  <c r="G719" i="2"/>
  <c r="C105" i="4" s="1"/>
  <c r="F719" i="2"/>
  <c r="C105" i="3" s="1"/>
  <c r="E719" i="2"/>
  <c r="H718" i="2"/>
  <c r="G718" i="2"/>
  <c r="B105" i="10" s="1"/>
  <c r="F718" i="2"/>
  <c r="B105" i="9" s="1"/>
  <c r="C718" i="2"/>
  <c r="A105" i="20" s="1"/>
  <c r="H717" i="2"/>
  <c r="H104" i="5" s="1"/>
  <c r="G717" i="2"/>
  <c r="H104" i="4" s="1"/>
  <c r="C717" i="2"/>
  <c r="H716" i="2"/>
  <c r="G104" i="5" s="1"/>
  <c r="C716" i="2"/>
  <c r="A716" i="2"/>
  <c r="D715" i="2"/>
  <c r="C715" i="2"/>
  <c r="A715" i="2"/>
  <c r="D714" i="2"/>
  <c r="D713" i="2"/>
  <c r="G712" i="2"/>
  <c r="C104" i="4" s="1"/>
  <c r="E712" i="2"/>
  <c r="D712" i="2"/>
  <c r="F711" i="2"/>
  <c r="B104" i="9" s="1"/>
  <c r="E711" i="2"/>
  <c r="H710" i="2"/>
  <c r="G710" i="2"/>
  <c r="F710" i="2"/>
  <c r="H709" i="2"/>
  <c r="G709" i="2"/>
  <c r="H708" i="2"/>
  <c r="C708" i="2"/>
  <c r="A708" i="2"/>
  <c r="C707" i="2"/>
  <c r="A707" i="2"/>
  <c r="D706" i="2"/>
  <c r="D705" i="2"/>
  <c r="E704" i="2"/>
  <c r="D704" i="2"/>
  <c r="G703" i="2"/>
  <c r="F703" i="2"/>
  <c r="E703" i="2"/>
  <c r="H702" i="2"/>
  <c r="G702" i="2"/>
  <c r="F702" i="2"/>
  <c r="H701" i="2"/>
  <c r="G701" i="2"/>
  <c r="C701" i="2"/>
  <c r="H700" i="2"/>
  <c r="C700" i="2"/>
  <c r="A700" i="2"/>
  <c r="C699" i="2"/>
  <c r="A699" i="2"/>
  <c r="D697" i="2"/>
  <c r="E696" i="2"/>
  <c r="D696" i="2"/>
  <c r="F695" i="2"/>
  <c r="G102" i="3" s="1"/>
  <c r="E695" i="2"/>
  <c r="G694" i="2"/>
  <c r="F102" i="4" s="1"/>
  <c r="F694" i="2"/>
  <c r="F102" i="3" s="1"/>
  <c r="H693" i="2"/>
  <c r="E102" i="5" s="1"/>
  <c r="G693" i="2"/>
  <c r="E102" i="4" s="1"/>
  <c r="C693" i="2"/>
  <c r="H692" i="2"/>
  <c r="D102" i="5" s="1"/>
  <c r="C692" i="2"/>
  <c r="A692" i="2"/>
  <c r="C691" i="2"/>
  <c r="A691" i="2"/>
  <c r="D690" i="2"/>
  <c r="D689" i="2"/>
  <c r="E688" i="2"/>
  <c r="D688" i="2"/>
  <c r="G687" i="2"/>
  <c r="F101" i="4" s="1"/>
  <c r="F687" i="2"/>
  <c r="F101" i="3" s="1"/>
  <c r="E687" i="2"/>
  <c r="H686" i="2"/>
  <c r="E101" i="5" s="1"/>
  <c r="G686" i="2"/>
  <c r="E101" i="4" s="1"/>
  <c r="F686" i="2"/>
  <c r="E101" i="3" s="1"/>
  <c r="H685" i="2"/>
  <c r="D101" i="5" s="1"/>
  <c r="G685" i="2"/>
  <c r="D101" i="4" s="1"/>
  <c r="H684" i="2"/>
  <c r="C101" i="5" s="1"/>
  <c r="C684" i="2"/>
  <c r="A684" i="2"/>
  <c r="C683" i="2"/>
  <c r="A683" i="2"/>
  <c r="D682" i="2"/>
  <c r="D681" i="2"/>
  <c r="G680" i="2"/>
  <c r="F100" i="10" s="1"/>
  <c r="F680" i="2"/>
  <c r="F100" i="9" s="1"/>
  <c r="E680" i="2"/>
  <c r="D680" i="2"/>
  <c r="F679" i="2"/>
  <c r="E100" i="9" s="1"/>
  <c r="E679" i="2"/>
  <c r="H678" i="2"/>
  <c r="G678" i="2"/>
  <c r="D100" i="10" s="1"/>
  <c r="F678" i="2"/>
  <c r="D100" i="9" s="1"/>
  <c r="H677" i="2"/>
  <c r="G677" i="2"/>
  <c r="C100" i="10" s="1"/>
  <c r="C677" i="2"/>
  <c r="H676" i="2"/>
  <c r="C676" i="2"/>
  <c r="A100" i="20" s="1"/>
  <c r="A676" i="2"/>
  <c r="D675" i="2"/>
  <c r="C675" i="2"/>
  <c r="A675" i="2"/>
  <c r="C674" i="2"/>
  <c r="D673" i="2"/>
  <c r="E672" i="2"/>
  <c r="D672" i="2"/>
  <c r="H671" i="2"/>
  <c r="G671" i="2"/>
  <c r="D99" i="10" s="1"/>
  <c r="F671" i="2"/>
  <c r="D99" i="9" s="1"/>
  <c r="E671" i="2"/>
  <c r="H670" i="2"/>
  <c r="G670" i="2"/>
  <c r="C99" i="10" s="1"/>
  <c r="F670" i="2"/>
  <c r="C99" i="9" s="1"/>
  <c r="C670" i="2"/>
  <c r="H669" i="2"/>
  <c r="G669" i="2"/>
  <c r="C669" i="2"/>
  <c r="A99" i="20" s="1"/>
  <c r="H668" i="2"/>
  <c r="H98" i="5" s="1"/>
  <c r="C668" i="2"/>
  <c r="A668" i="2"/>
  <c r="E667" i="2"/>
  <c r="C667" i="2"/>
  <c r="A667" i="2"/>
  <c r="D665" i="2"/>
  <c r="F664" i="2"/>
  <c r="D98" i="3" s="1"/>
  <c r="E664" i="2"/>
  <c r="D664" i="2"/>
  <c r="F663" i="2"/>
  <c r="C98" i="3" s="1"/>
  <c r="E663" i="2"/>
  <c r="G662" i="2"/>
  <c r="B98" i="10" s="1"/>
  <c r="F662" i="2"/>
  <c r="B98" i="9" s="1"/>
  <c r="H661" i="2"/>
  <c r="H97" i="5" s="1"/>
  <c r="G661" i="2"/>
  <c r="H97" i="4" s="1"/>
  <c r="C661" i="2"/>
  <c r="H660" i="2"/>
  <c r="G97" i="5" s="1"/>
  <c r="C660" i="2"/>
  <c r="A660" i="2"/>
  <c r="C659" i="2"/>
  <c r="A659" i="2"/>
  <c r="D658" i="2"/>
  <c r="D657" i="2"/>
  <c r="E656" i="2"/>
  <c r="D656" i="2"/>
  <c r="F655" i="2"/>
  <c r="B97" i="9" s="1"/>
  <c r="E655" i="2"/>
  <c r="G654" i="2"/>
  <c r="H96" i="4" s="1"/>
  <c r="F654" i="2"/>
  <c r="H96" i="3" s="1"/>
  <c r="C654" i="2"/>
  <c r="H653" i="2"/>
  <c r="G96" i="5" s="1"/>
  <c r="G653" i="2"/>
  <c r="G96" i="4" s="1"/>
  <c r="H652" i="2"/>
  <c r="F96" i="5" s="1"/>
  <c r="C652" i="2"/>
  <c r="A652" i="2"/>
  <c r="C651" i="2"/>
  <c r="A651" i="2"/>
  <c r="D649" i="2"/>
  <c r="E648" i="2"/>
  <c r="D648" i="2"/>
  <c r="H647" i="2"/>
  <c r="H95" i="5" s="1"/>
  <c r="F647" i="2"/>
  <c r="H95" i="3" s="1"/>
  <c r="E647" i="2"/>
  <c r="H646" i="2"/>
  <c r="G95" i="5" s="1"/>
  <c r="G646" i="2"/>
  <c r="G95" i="4" s="1"/>
  <c r="F646" i="2"/>
  <c r="G95" i="3" s="1"/>
  <c r="H645" i="2"/>
  <c r="F95" i="5" s="1"/>
  <c r="G645" i="2"/>
  <c r="F95" i="4" s="1"/>
  <c r="C645" i="2"/>
  <c r="H644" i="2"/>
  <c r="E95" i="5" s="1"/>
  <c r="C644" i="2"/>
  <c r="A644" i="2"/>
  <c r="C643" i="2"/>
  <c r="A643" i="2"/>
  <c r="D642" i="2"/>
  <c r="D641" i="2"/>
  <c r="E640" i="2"/>
  <c r="D640" i="2"/>
  <c r="H639" i="2"/>
  <c r="G94" i="5" s="1"/>
  <c r="F639" i="2"/>
  <c r="G94" i="3" s="1"/>
  <c r="E639" i="2"/>
  <c r="H638" i="2"/>
  <c r="F94" i="5" s="1"/>
  <c r="G638" i="2"/>
  <c r="F94" i="4" s="1"/>
  <c r="F638" i="2"/>
  <c r="F94" i="3" s="1"/>
  <c r="H637" i="2"/>
  <c r="E94" i="5" s="1"/>
  <c r="G637" i="2"/>
  <c r="E94" i="4" s="1"/>
  <c r="C637" i="2"/>
  <c r="H636" i="2"/>
  <c r="D94" i="5" s="1"/>
  <c r="C636" i="2"/>
  <c r="A636" i="2"/>
  <c r="C635" i="2"/>
  <c r="A635" i="2"/>
  <c r="D634" i="2"/>
  <c r="D633" i="2"/>
  <c r="E632" i="2"/>
  <c r="D632" i="2"/>
  <c r="G631" i="2"/>
  <c r="F93" i="4" s="1"/>
  <c r="F631" i="2"/>
  <c r="F93" i="3" s="1"/>
  <c r="E631" i="2"/>
  <c r="H630" i="2"/>
  <c r="E93" i="5" s="1"/>
  <c r="G630" i="2"/>
  <c r="E93" i="4" s="1"/>
  <c r="F630" i="2"/>
  <c r="E93" i="3" s="1"/>
  <c r="H629" i="2"/>
  <c r="D93" i="5" s="1"/>
  <c r="G629" i="2"/>
  <c r="D93" i="4" s="1"/>
  <c r="H628" i="2"/>
  <c r="C93" i="5" s="1"/>
  <c r="C628" i="2"/>
  <c r="A628" i="2"/>
  <c r="C627" i="2"/>
  <c r="A93" i="20" s="1"/>
  <c r="A627" i="2"/>
  <c r="A92" i="20" s="1"/>
  <c r="D625" i="2"/>
  <c r="G624" i="2"/>
  <c r="F624" i="2"/>
  <c r="E624" i="2"/>
  <c r="D624" i="2"/>
  <c r="F623" i="2"/>
  <c r="E623" i="2"/>
  <c r="G622" i="2"/>
  <c r="F622" i="2"/>
  <c r="A622" i="2"/>
  <c r="H621" i="2"/>
  <c r="G621" i="2"/>
  <c r="C621" i="2"/>
  <c r="H620" i="2"/>
  <c r="C620" i="2"/>
  <c r="A620" i="2"/>
  <c r="E619" i="2"/>
  <c r="C619" i="2"/>
  <c r="A619" i="2"/>
  <c r="D617" i="2"/>
  <c r="E616" i="2"/>
  <c r="D616" i="2"/>
  <c r="H615" i="2"/>
  <c r="F615" i="2"/>
  <c r="E615" i="2"/>
  <c r="H614" i="2"/>
  <c r="G614" i="2"/>
  <c r="F614" i="2"/>
  <c r="H613" i="2"/>
  <c r="G613" i="2"/>
  <c r="C613" i="2"/>
  <c r="H612" i="2"/>
  <c r="H91" i="5" s="1"/>
  <c r="C612" i="2"/>
  <c r="A612" i="2"/>
  <c r="C611" i="2"/>
  <c r="A611" i="2"/>
  <c r="D610" i="2"/>
  <c r="D609" i="2"/>
  <c r="E608" i="2"/>
  <c r="D608" i="2"/>
  <c r="F607" i="2"/>
  <c r="C91" i="3" s="1"/>
  <c r="E607" i="2"/>
  <c r="G606" i="2"/>
  <c r="B91" i="10" s="1"/>
  <c r="F606" i="2"/>
  <c r="B91" i="9" s="1"/>
  <c r="H605" i="2"/>
  <c r="H90" i="5" s="1"/>
  <c r="G605" i="2"/>
  <c r="H90" i="4" s="1"/>
  <c r="A605" i="2"/>
  <c r="H604" i="2"/>
  <c r="G90" i="5" s="1"/>
  <c r="C604" i="2"/>
  <c r="A604" i="2"/>
  <c r="C603" i="2"/>
  <c r="A603" i="2"/>
  <c r="D602" i="2"/>
  <c r="D601" i="2"/>
  <c r="F600" i="2"/>
  <c r="C90" i="3" s="1"/>
  <c r="E600" i="2"/>
  <c r="D600" i="2"/>
  <c r="H599" i="2"/>
  <c r="F599" i="2"/>
  <c r="B90" i="9" s="1"/>
  <c r="E599" i="2"/>
  <c r="H598" i="2"/>
  <c r="H89" i="5" s="1"/>
  <c r="G598" i="2"/>
  <c r="H89" i="4" s="1"/>
  <c r="F598" i="2"/>
  <c r="H89" i="3" s="1"/>
  <c r="H597" i="2"/>
  <c r="G89" i="5" s="1"/>
  <c r="G597" i="2"/>
  <c r="G89" i="4" s="1"/>
  <c r="H596" i="2"/>
  <c r="F89" i="5" s="1"/>
  <c r="C596" i="2"/>
  <c r="A596" i="2"/>
  <c r="C595" i="2"/>
  <c r="A595" i="2"/>
  <c r="D594" i="2"/>
  <c r="D593" i="2"/>
  <c r="E592" i="2"/>
  <c r="D592" i="2"/>
  <c r="G591" i="2"/>
  <c r="H87" i="4" s="1"/>
  <c r="F591" i="2"/>
  <c r="H87" i="3" s="1"/>
  <c r="E591" i="2"/>
  <c r="C591" i="2"/>
  <c r="G590" i="2"/>
  <c r="G87" i="4" s="1"/>
  <c r="F590" i="2"/>
  <c r="G87" i="3" s="1"/>
  <c r="H589" i="2"/>
  <c r="F87" i="5" s="1"/>
  <c r="G589" i="2"/>
  <c r="F87" i="4" s="1"/>
  <c r="A589" i="2"/>
  <c r="H588" i="2"/>
  <c r="E87" i="5" s="1"/>
  <c r="C588" i="2"/>
  <c r="A588" i="2"/>
  <c r="D587" i="2"/>
  <c r="C587" i="2"/>
  <c r="A587" i="2"/>
  <c r="D585" i="2"/>
  <c r="F584" i="2"/>
  <c r="H86" i="3" s="1"/>
  <c r="E584" i="2"/>
  <c r="D584" i="2"/>
  <c r="F583" i="2"/>
  <c r="G86" i="3" s="1"/>
  <c r="E583" i="2"/>
  <c r="G582" i="2"/>
  <c r="F86" i="4" s="1"/>
  <c r="F582" i="2"/>
  <c r="F86" i="3" s="1"/>
  <c r="C582" i="2"/>
  <c r="A582" i="2"/>
  <c r="H581" i="2"/>
  <c r="E86" i="5" s="1"/>
  <c r="G581" i="2"/>
  <c r="E86" i="4" s="1"/>
  <c r="C581" i="2"/>
  <c r="H580" i="2"/>
  <c r="D86" i="5" s="1"/>
  <c r="C580" i="2"/>
  <c r="A580" i="2"/>
  <c r="C579" i="2"/>
  <c r="A579" i="2"/>
  <c r="D577" i="2"/>
  <c r="E576" i="2"/>
  <c r="D576" i="2"/>
  <c r="H575" i="2"/>
  <c r="F85" i="5" s="1"/>
  <c r="G575" i="2"/>
  <c r="F85" i="4" s="1"/>
  <c r="F575" i="2"/>
  <c r="F85" i="3" s="1"/>
  <c r="E575" i="2"/>
  <c r="H574" i="2"/>
  <c r="E85" i="5" s="1"/>
  <c r="G574" i="2"/>
  <c r="E85" i="4" s="1"/>
  <c r="F574" i="2"/>
  <c r="E85" i="3" s="1"/>
  <c r="H573" i="2"/>
  <c r="D85" i="5" s="1"/>
  <c r="G573" i="2"/>
  <c r="D85" i="4" s="1"/>
  <c r="C573" i="2"/>
  <c r="H572" i="2"/>
  <c r="C85" i="5" s="1"/>
  <c r="C572" i="2"/>
  <c r="A572" i="2"/>
  <c r="C571" i="2"/>
  <c r="A85" i="20" s="1"/>
  <c r="A571" i="2"/>
  <c r="D570" i="2"/>
  <c r="D569" i="2"/>
  <c r="E568" i="2"/>
  <c r="D568" i="2"/>
  <c r="G567" i="2"/>
  <c r="E84" i="4" s="1"/>
  <c r="F567" i="2"/>
  <c r="E84" i="3" s="1"/>
  <c r="E567" i="2"/>
  <c r="C567" i="2"/>
  <c r="H566" i="2"/>
  <c r="D84" i="5" s="1"/>
  <c r="G566" i="2"/>
  <c r="D84" i="4" s="1"/>
  <c r="F566" i="2"/>
  <c r="D84" i="3" s="1"/>
  <c r="H565" i="2"/>
  <c r="C84" i="5" s="1"/>
  <c r="G565" i="2"/>
  <c r="C84" i="4" s="1"/>
  <c r="A565" i="2"/>
  <c r="H564" i="2"/>
  <c r="C564" i="2"/>
  <c r="A84" i="20" s="1"/>
  <c r="A564" i="2"/>
  <c r="C563" i="2"/>
  <c r="A563" i="2"/>
  <c r="D562" i="2"/>
  <c r="F561" i="2"/>
  <c r="F83" i="3" s="1"/>
  <c r="D561" i="2"/>
  <c r="F560" i="2"/>
  <c r="E83" i="3" s="1"/>
  <c r="E560" i="2"/>
  <c r="D560" i="2"/>
  <c r="G559" i="2"/>
  <c r="D83" i="4" s="1"/>
  <c r="F559" i="2"/>
  <c r="D83" i="3" s="1"/>
  <c r="E559" i="2"/>
  <c r="G558" i="2"/>
  <c r="C83" i="4" s="1"/>
  <c r="F558" i="2"/>
  <c r="C83" i="3" s="1"/>
  <c r="H557" i="2"/>
  <c r="G557" i="2"/>
  <c r="B83" i="10" s="1"/>
  <c r="C557" i="2"/>
  <c r="A83" i="20" s="1"/>
  <c r="A557" i="2"/>
  <c r="H556" i="2"/>
  <c r="H82" i="5" s="1"/>
  <c r="C556" i="2"/>
  <c r="A556" i="2"/>
  <c r="C555" i="2"/>
  <c r="A555" i="2"/>
  <c r="G554" i="2"/>
  <c r="F82" i="4" s="1"/>
  <c r="G553" i="2"/>
  <c r="E82" i="4" s="1"/>
  <c r="F553" i="2"/>
  <c r="E82" i="3" s="1"/>
  <c r="D553" i="2"/>
  <c r="E552" i="2"/>
  <c r="D552" i="2"/>
  <c r="H551" i="2"/>
  <c r="C82" i="5" s="1"/>
  <c r="F551" i="2"/>
  <c r="C82" i="3" s="1"/>
  <c r="E551" i="2"/>
  <c r="C551" i="2"/>
  <c r="H550" i="2"/>
  <c r="G550" i="2"/>
  <c r="B82" i="10" s="1"/>
  <c r="F550" i="2"/>
  <c r="B82" i="9" s="1"/>
  <c r="H549" i="2"/>
  <c r="G549" i="2"/>
  <c r="C549" i="2"/>
  <c r="H548" i="2"/>
  <c r="C548" i="2"/>
  <c r="A548" i="2"/>
  <c r="C547" i="2"/>
  <c r="A547" i="2"/>
  <c r="D546" i="2"/>
  <c r="D545" i="2"/>
  <c r="E544" i="2"/>
  <c r="D544" i="2"/>
  <c r="F543" i="2"/>
  <c r="E543" i="2"/>
  <c r="H542" i="2"/>
  <c r="G542" i="2"/>
  <c r="F542" i="2"/>
  <c r="C542" i="2"/>
  <c r="H541" i="2"/>
  <c r="G541" i="2"/>
  <c r="C541" i="2"/>
  <c r="H540" i="2"/>
  <c r="C540" i="2"/>
  <c r="A540" i="2"/>
  <c r="C539" i="2"/>
  <c r="A539" i="2"/>
  <c r="D537" i="2"/>
  <c r="F536" i="2"/>
  <c r="E536" i="2"/>
  <c r="D536" i="2"/>
  <c r="H535" i="2"/>
  <c r="H80" i="5" s="1"/>
  <c r="G535" i="2"/>
  <c r="H80" i="4" s="1"/>
  <c r="F535" i="2"/>
  <c r="H80" i="3" s="1"/>
  <c r="E535" i="2"/>
  <c r="H534" i="2"/>
  <c r="G80" i="5" s="1"/>
  <c r="G534" i="2"/>
  <c r="G80" i="4" s="1"/>
  <c r="F534" i="2"/>
  <c r="G80" i="3" s="1"/>
  <c r="H533" i="2"/>
  <c r="F80" i="5" s="1"/>
  <c r="G533" i="2"/>
  <c r="F80" i="4" s="1"/>
  <c r="A533" i="2"/>
  <c r="H532" i="2"/>
  <c r="E80" i="5" s="1"/>
  <c r="C532" i="2"/>
  <c r="A532" i="2"/>
  <c r="D531" i="2"/>
  <c r="C531" i="2"/>
  <c r="A531" i="2"/>
  <c r="D530" i="2"/>
  <c r="D529" i="2"/>
  <c r="G528" i="2"/>
  <c r="H78" i="4" s="1"/>
  <c r="E528" i="2"/>
  <c r="D528" i="2"/>
  <c r="G527" i="2"/>
  <c r="G78" i="4" s="1"/>
  <c r="F527" i="2"/>
  <c r="G78" i="3" s="1"/>
  <c r="E527" i="2"/>
  <c r="G526" i="2"/>
  <c r="F78" i="4" s="1"/>
  <c r="F526" i="2"/>
  <c r="F78" i="3" s="1"/>
  <c r="A526" i="2"/>
  <c r="H525" i="2"/>
  <c r="E78" i="5" s="1"/>
  <c r="G525" i="2"/>
  <c r="E78" i="4" s="1"/>
  <c r="A525" i="2"/>
  <c r="H524" i="2"/>
  <c r="D78" i="5" s="1"/>
  <c r="C524" i="2"/>
  <c r="A524" i="2"/>
  <c r="C523" i="2"/>
  <c r="A523" i="2"/>
  <c r="D521" i="2"/>
  <c r="F520" i="2"/>
  <c r="G77" i="3" s="1"/>
  <c r="E520" i="2"/>
  <c r="D520" i="2"/>
  <c r="F519" i="2"/>
  <c r="F77" i="3" s="1"/>
  <c r="E519" i="2"/>
  <c r="G518" i="2"/>
  <c r="E77" i="4" s="1"/>
  <c r="F518" i="2"/>
  <c r="E77" i="3" s="1"/>
  <c r="H517" i="2"/>
  <c r="D77" i="5" s="1"/>
  <c r="G517" i="2"/>
  <c r="D77" i="4" s="1"/>
  <c r="H516" i="2"/>
  <c r="C77" i="5" s="1"/>
  <c r="C516" i="2"/>
  <c r="A516" i="2"/>
  <c r="C515" i="2"/>
  <c r="A515" i="2"/>
  <c r="F513" i="2"/>
  <c r="G76" i="3" s="1"/>
  <c r="D513" i="2"/>
  <c r="H512" i="2"/>
  <c r="F76" i="5" s="1"/>
  <c r="E512" i="2"/>
  <c r="D512" i="2"/>
  <c r="G511" i="2"/>
  <c r="E76" i="4" s="1"/>
  <c r="F511" i="2"/>
  <c r="E76" i="3" s="1"/>
  <c r="E511" i="2"/>
  <c r="C511" i="2"/>
  <c r="A511" i="2"/>
  <c r="H510" i="2"/>
  <c r="D76" i="5" s="1"/>
  <c r="G510" i="2"/>
  <c r="D76" i="4" s="1"/>
  <c r="F510" i="2"/>
  <c r="D76" i="3" s="1"/>
  <c r="H509" i="2"/>
  <c r="C76" i="5" s="1"/>
  <c r="G509" i="2"/>
  <c r="C76" i="4" s="1"/>
  <c r="C509" i="2"/>
  <c r="H508" i="2"/>
  <c r="C508" i="2"/>
  <c r="A76" i="20" s="1"/>
  <c r="A508" i="2"/>
  <c r="C507" i="2"/>
  <c r="A507" i="2"/>
  <c r="F506" i="2"/>
  <c r="G75" i="3" s="1"/>
  <c r="D506" i="2"/>
  <c r="D505" i="2"/>
  <c r="E504" i="2"/>
  <c r="D504" i="2"/>
  <c r="G503" i="2"/>
  <c r="D75" i="4" s="1"/>
  <c r="F503" i="2"/>
  <c r="D75" i="3" s="1"/>
  <c r="E503" i="2"/>
  <c r="H502" i="2"/>
  <c r="C75" i="5" s="1"/>
  <c r="G502" i="2"/>
  <c r="C75" i="4" s="1"/>
  <c r="F502" i="2"/>
  <c r="C75" i="3" s="1"/>
  <c r="H501" i="2"/>
  <c r="G501" i="2"/>
  <c r="B75" i="10" s="1"/>
  <c r="A501" i="2"/>
  <c r="H500" i="2"/>
  <c r="H74" i="5" s="1"/>
  <c r="C500" i="2"/>
  <c r="A500" i="2"/>
  <c r="C499" i="2"/>
  <c r="A499" i="2"/>
  <c r="D498" i="2"/>
  <c r="D497" i="2"/>
  <c r="E496" i="2"/>
  <c r="D496" i="2"/>
  <c r="G495" i="2"/>
  <c r="C74" i="4" s="1"/>
  <c r="F495" i="2"/>
  <c r="C74" i="3" s="1"/>
  <c r="E495" i="2"/>
  <c r="G494" i="2"/>
  <c r="B74" i="10" s="1"/>
  <c r="F494" i="2"/>
  <c r="B74" i="9" s="1"/>
  <c r="H493" i="2"/>
  <c r="H73" i="5" s="1"/>
  <c r="G493" i="2"/>
  <c r="H73" i="4" s="1"/>
  <c r="C493" i="2"/>
  <c r="A493" i="2"/>
  <c r="H492" i="2"/>
  <c r="G73" i="5" s="1"/>
  <c r="C492" i="2"/>
  <c r="A492" i="2"/>
  <c r="C491" i="2"/>
  <c r="A491" i="2"/>
  <c r="F490" i="2"/>
  <c r="E73" i="3" s="1"/>
  <c r="D489" i="2"/>
  <c r="F488" i="2"/>
  <c r="C73" i="3" s="1"/>
  <c r="E488" i="2"/>
  <c r="D488" i="2"/>
  <c r="H487" i="2"/>
  <c r="F487" i="2"/>
  <c r="B73" i="9" s="1"/>
  <c r="E487" i="2"/>
  <c r="H486" i="2"/>
  <c r="H72" i="5" s="1"/>
  <c r="G486" i="2"/>
  <c r="H72" i="4" s="1"/>
  <c r="F486" i="2"/>
  <c r="H72" i="3" s="1"/>
  <c r="H485" i="2"/>
  <c r="G72" i="5" s="1"/>
  <c r="G485" i="2"/>
  <c r="G72" i="4" s="1"/>
  <c r="C485" i="2"/>
  <c r="H484" i="2"/>
  <c r="F72" i="5" s="1"/>
  <c r="C484" i="2"/>
  <c r="A484" i="2"/>
  <c r="C483" i="2"/>
  <c r="A483" i="2"/>
  <c r="D482" i="2"/>
  <c r="D481" i="2"/>
  <c r="E480" i="2"/>
  <c r="D480" i="2"/>
  <c r="F479" i="2"/>
  <c r="H71" i="3" s="1"/>
  <c r="E479" i="2"/>
  <c r="H478" i="2"/>
  <c r="G71" i="5" s="1"/>
  <c r="G478" i="2"/>
  <c r="G71" i="4" s="1"/>
  <c r="F478" i="2"/>
  <c r="G71" i="3" s="1"/>
  <c r="C478" i="2"/>
  <c r="A478" i="2"/>
  <c r="H477" i="2"/>
  <c r="F71" i="5" s="1"/>
  <c r="G477" i="2"/>
  <c r="F71" i="4" s="1"/>
  <c r="C477" i="2"/>
  <c r="A477" i="2"/>
  <c r="H476" i="2"/>
  <c r="E71" i="5" s="1"/>
  <c r="C476" i="2"/>
  <c r="A476" i="2"/>
  <c r="C475" i="2"/>
  <c r="A475" i="2"/>
  <c r="D474" i="2"/>
  <c r="G473" i="2"/>
  <c r="B71" i="10" s="1"/>
  <c r="F473" i="2"/>
  <c r="B71" i="9" s="1"/>
  <c r="E473" i="2"/>
  <c r="D473" i="2"/>
  <c r="F472" i="2"/>
  <c r="E472" i="2"/>
  <c r="D472" i="2"/>
  <c r="F471" i="2"/>
  <c r="E471" i="2"/>
  <c r="H470" i="2"/>
  <c r="G470" i="2"/>
  <c r="F470" i="2"/>
  <c r="H469" i="2"/>
  <c r="G469" i="2"/>
  <c r="C469" i="2"/>
  <c r="A469" i="2"/>
  <c r="H468" i="2"/>
  <c r="C468" i="2"/>
  <c r="A468" i="2"/>
  <c r="C467" i="2"/>
  <c r="A467" i="2"/>
  <c r="F466" i="2"/>
  <c r="D465" i="2"/>
  <c r="F464" i="2"/>
  <c r="E464" i="2"/>
  <c r="D464" i="2"/>
  <c r="G463" i="2"/>
  <c r="F463" i="2"/>
  <c r="E463" i="2"/>
  <c r="H462" i="2"/>
  <c r="G462" i="2"/>
  <c r="F462" i="2"/>
  <c r="H461" i="2"/>
  <c r="G461" i="2"/>
  <c r="C461" i="2"/>
  <c r="H460" i="2"/>
  <c r="C460" i="2"/>
  <c r="A460" i="2"/>
  <c r="C459" i="2"/>
  <c r="A459" i="2"/>
  <c r="E458" i="2"/>
  <c r="D458" i="2"/>
  <c r="E457" i="2"/>
  <c r="D457" i="2"/>
  <c r="E456" i="2"/>
  <c r="D456" i="2"/>
  <c r="G455" i="2"/>
  <c r="E69" i="4" s="1"/>
  <c r="F455" i="2"/>
  <c r="E69" i="3" s="1"/>
  <c r="E455" i="2"/>
  <c r="H454" i="2"/>
  <c r="D69" i="5" s="1"/>
  <c r="G454" i="2"/>
  <c r="D69" i="4" s="1"/>
  <c r="F454" i="2"/>
  <c r="D69" i="3" s="1"/>
  <c r="C454" i="2"/>
  <c r="H453" i="2"/>
  <c r="C69" i="5" s="1"/>
  <c r="G453" i="2"/>
  <c r="C69" i="4" s="1"/>
  <c r="C453" i="2"/>
  <c r="A453" i="2"/>
  <c r="H452" i="2"/>
  <c r="D452" i="2"/>
  <c r="C452" i="2"/>
  <c r="A69" i="20" s="1"/>
  <c r="A452" i="2"/>
  <c r="C451" i="2"/>
  <c r="A451" i="2"/>
  <c r="E450" i="2"/>
  <c r="D450" i="2"/>
  <c r="E449" i="2"/>
  <c r="D449" i="2"/>
  <c r="F448" i="2"/>
  <c r="E67" i="3" s="1"/>
  <c r="E448" i="2"/>
  <c r="D448" i="2"/>
  <c r="G447" i="2"/>
  <c r="D67" i="4" s="1"/>
  <c r="F447" i="2"/>
  <c r="D67" i="3" s="1"/>
  <c r="E447" i="2"/>
  <c r="G446" i="2"/>
  <c r="C67" i="4" s="1"/>
  <c r="F446" i="2"/>
  <c r="C67" i="3" s="1"/>
  <c r="C446" i="2"/>
  <c r="A446" i="2"/>
  <c r="H445" i="2"/>
  <c r="G445" i="2"/>
  <c r="B67" i="10" s="1"/>
  <c r="C445" i="2"/>
  <c r="A67" i="20" s="1"/>
  <c r="A445" i="2"/>
  <c r="H444" i="2"/>
  <c r="H65" i="5" s="1"/>
  <c r="D444" i="2"/>
  <c r="C444" i="2"/>
  <c r="A444" i="2"/>
  <c r="C443" i="2"/>
  <c r="A443" i="2"/>
  <c r="D442" i="2"/>
  <c r="D441" i="2"/>
  <c r="F440" i="2"/>
  <c r="D65" i="3" s="1"/>
  <c r="E440" i="2"/>
  <c r="D440" i="2"/>
  <c r="G439" i="2"/>
  <c r="C65" i="4" s="1"/>
  <c r="F439" i="2"/>
  <c r="C65" i="3" s="1"/>
  <c r="E439" i="2"/>
  <c r="H438" i="2"/>
  <c r="G438" i="2"/>
  <c r="B65" i="10" s="1"/>
  <c r="F438" i="2"/>
  <c r="B65" i="9" s="1"/>
  <c r="H437" i="2"/>
  <c r="H64" i="5" s="1"/>
  <c r="G437" i="2"/>
  <c r="H64" i="4" s="1"/>
  <c r="H436" i="2"/>
  <c r="G64" i="5" s="1"/>
  <c r="C436" i="2"/>
  <c r="A436" i="2"/>
  <c r="C435" i="2"/>
  <c r="A435" i="2"/>
  <c r="D434" i="2"/>
  <c r="E433" i="2"/>
  <c r="D433" i="2"/>
  <c r="F432" i="2"/>
  <c r="C64" i="3" s="1"/>
  <c r="E432" i="2"/>
  <c r="D432" i="2"/>
  <c r="F431" i="2"/>
  <c r="B64" i="9" s="1"/>
  <c r="E431" i="2"/>
  <c r="H430" i="2"/>
  <c r="H63" i="5" s="1"/>
  <c r="G430" i="2"/>
  <c r="H63" i="4" s="1"/>
  <c r="F430" i="2"/>
  <c r="H63" i="3" s="1"/>
  <c r="C430" i="2"/>
  <c r="H429" i="2"/>
  <c r="G63" i="5" s="1"/>
  <c r="G429" i="2"/>
  <c r="G63" i="4" s="1"/>
  <c r="C429" i="2"/>
  <c r="A429" i="2"/>
  <c r="H428" i="2"/>
  <c r="F63" i="5" s="1"/>
  <c r="C428" i="2"/>
  <c r="A428" i="2"/>
  <c r="C427" i="2"/>
  <c r="A427" i="2"/>
  <c r="F425" i="2"/>
  <c r="C63" i="3" s="1"/>
  <c r="E425" i="2"/>
  <c r="D425" i="2"/>
  <c r="F424" i="2"/>
  <c r="B63" i="9" s="1"/>
  <c r="E424" i="2"/>
  <c r="D424" i="2"/>
  <c r="G423" i="2"/>
  <c r="H62" i="4" s="1"/>
  <c r="F423" i="2"/>
  <c r="H62" i="3" s="1"/>
  <c r="E423" i="2"/>
  <c r="G422" i="2"/>
  <c r="G62" i="4" s="1"/>
  <c r="F422" i="2"/>
  <c r="G62" i="3" s="1"/>
  <c r="C422" i="2"/>
  <c r="H421" i="2"/>
  <c r="F62" i="5" s="1"/>
  <c r="G421" i="2"/>
  <c r="F62" i="4" s="1"/>
  <c r="C421" i="2"/>
  <c r="A421" i="2"/>
  <c r="H420" i="2"/>
  <c r="E62" i="5" s="1"/>
  <c r="C420" i="2"/>
  <c r="A420" i="2"/>
  <c r="C419" i="2"/>
  <c r="A419" i="2"/>
  <c r="D418" i="2"/>
  <c r="E417" i="2"/>
  <c r="D417" i="2"/>
  <c r="E416" i="2"/>
  <c r="D416" i="2"/>
  <c r="G415" i="2"/>
  <c r="G61" i="4" s="1"/>
  <c r="F415" i="2"/>
  <c r="G61" i="3" s="1"/>
  <c r="E415" i="2"/>
  <c r="H414" i="2"/>
  <c r="F61" i="5" s="1"/>
  <c r="G414" i="2"/>
  <c r="F61" i="4" s="1"/>
  <c r="F414" i="2"/>
  <c r="F61" i="3" s="1"/>
  <c r="H413" i="2"/>
  <c r="E61" i="5" s="1"/>
  <c r="G413" i="2"/>
  <c r="E61" i="4" s="1"/>
  <c r="A413" i="2"/>
  <c r="H412" i="2"/>
  <c r="D61" i="5" s="1"/>
  <c r="C412" i="2"/>
  <c r="A412" i="2"/>
  <c r="C411" i="2"/>
  <c r="A411" i="2"/>
  <c r="D410" i="2"/>
  <c r="E409" i="2"/>
  <c r="D409" i="2"/>
  <c r="F408" i="2"/>
  <c r="G60" i="3" s="1"/>
  <c r="E408" i="2"/>
  <c r="D408" i="2"/>
  <c r="F407" i="2"/>
  <c r="F60" i="3" s="1"/>
  <c r="E407" i="2"/>
  <c r="H406" i="2"/>
  <c r="E60" i="5" s="1"/>
  <c r="G406" i="2"/>
  <c r="E60" i="4" s="1"/>
  <c r="F406" i="2"/>
  <c r="E60" i="3" s="1"/>
  <c r="H405" i="2"/>
  <c r="D60" i="5" s="1"/>
  <c r="G405" i="2"/>
  <c r="D60" i="4" s="1"/>
  <c r="C405" i="2"/>
  <c r="A405" i="2"/>
  <c r="H404" i="2"/>
  <c r="C60" i="5" s="1"/>
  <c r="C404" i="2"/>
  <c r="A404" i="2"/>
  <c r="C403" i="2"/>
  <c r="A60" i="20" s="1"/>
  <c r="A403" i="2"/>
  <c r="A59" i="20" s="1"/>
  <c r="F401" i="2"/>
  <c r="D401" i="2"/>
  <c r="F400" i="2"/>
  <c r="E400" i="2"/>
  <c r="D400" i="2"/>
  <c r="H399" i="2"/>
  <c r="G399" i="2"/>
  <c r="F399" i="2"/>
  <c r="E399" i="2"/>
  <c r="H398" i="2"/>
  <c r="G398" i="2"/>
  <c r="F398" i="2"/>
  <c r="H397" i="2"/>
  <c r="G397" i="2"/>
  <c r="C397" i="2"/>
  <c r="H396" i="2"/>
  <c r="C396" i="2"/>
  <c r="A396" i="2"/>
  <c r="C395" i="2"/>
  <c r="A395" i="2"/>
  <c r="E394" i="2"/>
  <c r="D394" i="2"/>
  <c r="E393" i="2"/>
  <c r="D393" i="2"/>
  <c r="E392" i="2"/>
  <c r="D392" i="2"/>
  <c r="H391" i="2"/>
  <c r="G391" i="2"/>
  <c r="F391" i="2"/>
  <c r="E391" i="2"/>
  <c r="H390" i="2"/>
  <c r="G390" i="2"/>
  <c r="F390" i="2"/>
  <c r="C390" i="2"/>
  <c r="A390" i="2"/>
  <c r="H389" i="2"/>
  <c r="G389" i="2"/>
  <c r="C389" i="2"/>
  <c r="A389" i="2"/>
  <c r="H388" i="2"/>
  <c r="H58" i="5" s="1"/>
  <c r="C388" i="2"/>
  <c r="A388" i="2"/>
  <c r="D387" i="2"/>
  <c r="C387" i="2"/>
  <c r="A387" i="2"/>
  <c r="D386" i="2"/>
  <c r="G385" i="2"/>
  <c r="E58" i="4" s="1"/>
  <c r="F385" i="2"/>
  <c r="E58" i="3" s="1"/>
  <c r="E385" i="2"/>
  <c r="D385" i="2"/>
  <c r="F384" i="2"/>
  <c r="D58" i="3" s="1"/>
  <c r="E384" i="2"/>
  <c r="D384" i="2"/>
  <c r="G383" i="2"/>
  <c r="C58" i="4" s="1"/>
  <c r="F383" i="2"/>
  <c r="C58" i="3" s="1"/>
  <c r="E383" i="2"/>
  <c r="G382" i="2"/>
  <c r="B58" i="10" s="1"/>
  <c r="F382" i="2"/>
  <c r="B58" i="9" s="1"/>
  <c r="H381" i="2"/>
  <c r="H57" i="5" s="1"/>
  <c r="G381" i="2"/>
  <c r="H57" i="4" s="1"/>
  <c r="C381" i="2"/>
  <c r="A381" i="2"/>
  <c r="H380" i="2"/>
  <c r="G57" i="5" s="1"/>
  <c r="C380" i="2"/>
  <c r="A380" i="2"/>
  <c r="C379" i="2"/>
  <c r="A379" i="2"/>
  <c r="D378" i="2"/>
  <c r="D377" i="2"/>
  <c r="F376" i="2"/>
  <c r="C57" i="3" s="1"/>
  <c r="E376" i="2"/>
  <c r="D376" i="2"/>
  <c r="G375" i="2"/>
  <c r="B57" i="10" s="1"/>
  <c r="F375" i="2"/>
  <c r="B57" i="9" s="1"/>
  <c r="E375" i="2"/>
  <c r="H374" i="2"/>
  <c r="H56" i="5" s="1"/>
  <c r="G374" i="2"/>
  <c r="H56" i="4" s="1"/>
  <c r="F374" i="2"/>
  <c r="H56" i="3" s="1"/>
  <c r="H373" i="2"/>
  <c r="G56" i="5" s="1"/>
  <c r="G373" i="2"/>
  <c r="G56" i="4" s="1"/>
  <c r="H372" i="2"/>
  <c r="F56" i="5" s="1"/>
  <c r="C372" i="2"/>
  <c r="A372" i="2"/>
  <c r="C371" i="2"/>
  <c r="A371" i="2"/>
  <c r="G370" i="2"/>
  <c r="D56" i="4" s="1"/>
  <c r="F370" i="2"/>
  <c r="D56" i="3" s="1"/>
  <c r="E370" i="2"/>
  <c r="D370" i="2"/>
  <c r="E369" i="2"/>
  <c r="D369" i="2"/>
  <c r="F368" i="2"/>
  <c r="B56" i="9" s="1"/>
  <c r="E368" i="2"/>
  <c r="D368" i="2"/>
  <c r="F367" i="2"/>
  <c r="H55" i="3" s="1"/>
  <c r="E367" i="2"/>
  <c r="H366" i="2"/>
  <c r="G55" i="5" s="1"/>
  <c r="G366" i="2"/>
  <c r="G55" i="4" s="1"/>
  <c r="F366" i="2"/>
  <c r="G55" i="3" s="1"/>
  <c r="A366" i="2"/>
  <c r="H365" i="2"/>
  <c r="F55" i="5" s="1"/>
  <c r="G365" i="2"/>
  <c r="F55" i="4" s="1"/>
  <c r="C365" i="2"/>
  <c r="A365" i="2"/>
  <c r="H364" i="2"/>
  <c r="E55" i="5" s="1"/>
  <c r="C364" i="2"/>
  <c r="A364" i="2"/>
  <c r="E363" i="2"/>
  <c r="C363" i="2"/>
  <c r="A363" i="2"/>
  <c r="F361" i="2"/>
  <c r="B55" i="3" s="1"/>
  <c r="E361" i="2"/>
  <c r="D361" i="2"/>
  <c r="G360" i="2"/>
  <c r="H54" i="4" s="1"/>
  <c r="F360" i="2"/>
  <c r="H54" i="3" s="1"/>
  <c r="E360" i="2"/>
  <c r="D360" i="2"/>
  <c r="G359" i="2"/>
  <c r="G54" i="4" s="1"/>
  <c r="F359" i="2"/>
  <c r="G54" i="3" s="1"/>
  <c r="E359" i="2"/>
  <c r="A359" i="2"/>
  <c r="G358" i="2"/>
  <c r="F54" i="4" s="1"/>
  <c r="F358" i="2"/>
  <c r="F54" i="3" s="1"/>
  <c r="H357" i="2"/>
  <c r="E54" i="5" s="1"/>
  <c r="G357" i="2"/>
  <c r="E54" i="4" s="1"/>
  <c r="C357" i="2"/>
  <c r="A357" i="2"/>
  <c r="H356" i="2"/>
  <c r="D54" i="5" s="1"/>
  <c r="C356" i="2"/>
  <c r="A356" i="2"/>
  <c r="C355" i="2"/>
  <c r="A355" i="2"/>
  <c r="D354" i="2"/>
  <c r="E353" i="2"/>
  <c r="D353" i="2"/>
  <c r="G352" i="2"/>
  <c r="G53" i="4" s="1"/>
  <c r="E352" i="2"/>
  <c r="D352" i="2"/>
  <c r="G351" i="2"/>
  <c r="F53" i="4" s="1"/>
  <c r="F351" i="2"/>
  <c r="F53" i="3" s="1"/>
  <c r="E351" i="2"/>
  <c r="H350" i="2"/>
  <c r="E53" i="5" s="1"/>
  <c r="G350" i="2"/>
  <c r="E53" i="4" s="1"/>
  <c r="F350" i="2"/>
  <c r="E53" i="3" s="1"/>
  <c r="H349" i="2"/>
  <c r="D53" i="5" s="1"/>
  <c r="G349" i="2"/>
  <c r="D53" i="4" s="1"/>
  <c r="A349" i="2"/>
  <c r="H348" i="2"/>
  <c r="C53" i="5" s="1"/>
  <c r="C348" i="2"/>
  <c r="A348" i="2"/>
  <c r="C347" i="2"/>
  <c r="A53" i="20" s="1"/>
  <c r="A347" i="2"/>
  <c r="D346" i="2"/>
  <c r="G345" i="2"/>
  <c r="G52" i="4" s="1"/>
  <c r="F345" i="2"/>
  <c r="G52" i="3" s="1"/>
  <c r="E345" i="2"/>
  <c r="D345" i="2"/>
  <c r="F344" i="2"/>
  <c r="F52" i="3" s="1"/>
  <c r="E344" i="2"/>
  <c r="D344" i="2"/>
  <c r="F343" i="2"/>
  <c r="E52" i="3" s="1"/>
  <c r="E343" i="2"/>
  <c r="H342" i="2"/>
  <c r="D52" i="5" s="1"/>
  <c r="G342" i="2"/>
  <c r="D52" i="4" s="1"/>
  <c r="F342" i="2"/>
  <c r="D52" i="3" s="1"/>
  <c r="A342" i="2"/>
  <c r="H341" i="2"/>
  <c r="C52" i="5" s="1"/>
  <c r="G341" i="2"/>
  <c r="C52" i="4" s="1"/>
  <c r="C341" i="2"/>
  <c r="A341" i="2"/>
  <c r="H340" i="2"/>
  <c r="C340" i="2"/>
  <c r="A52" i="20" s="1"/>
  <c r="A340" i="2"/>
  <c r="C339" i="2"/>
  <c r="A339" i="2"/>
  <c r="D337" i="2"/>
  <c r="F336" i="2"/>
  <c r="E51" i="3" s="1"/>
  <c r="E336" i="2"/>
  <c r="D336" i="2"/>
  <c r="G335" i="2"/>
  <c r="D51" i="4" s="1"/>
  <c r="F335" i="2"/>
  <c r="D51" i="3" s="1"/>
  <c r="E335" i="2"/>
  <c r="H334" i="2"/>
  <c r="C51" i="5" s="1"/>
  <c r="G334" i="2"/>
  <c r="C51" i="4" s="1"/>
  <c r="F334" i="2"/>
  <c r="C51" i="3" s="1"/>
  <c r="H333" i="2"/>
  <c r="G333" i="2"/>
  <c r="B51" i="10" s="1"/>
  <c r="C333" i="2"/>
  <c r="A51" i="20" s="1"/>
  <c r="H332" i="2"/>
  <c r="H50" i="5" s="1"/>
  <c r="C332" i="2"/>
  <c r="A332" i="2"/>
  <c r="D331" i="2"/>
  <c r="C331" i="2"/>
  <c r="A331" i="2"/>
  <c r="E330" i="2"/>
  <c r="D330" i="2"/>
  <c r="E329" i="2"/>
  <c r="D329" i="2"/>
  <c r="E328" i="2"/>
  <c r="D328" i="2"/>
  <c r="G327" i="2"/>
  <c r="C50" i="4" s="1"/>
  <c r="F327" i="2"/>
  <c r="C50" i="3" s="1"/>
  <c r="E327" i="2"/>
  <c r="H326" i="2"/>
  <c r="G326" i="2"/>
  <c r="B50" i="10" s="1"/>
  <c r="F326" i="2"/>
  <c r="B50" i="9" s="1"/>
  <c r="H325" i="2"/>
  <c r="H49" i="5" s="1"/>
  <c r="G325" i="2"/>
  <c r="H49" i="4" s="1"/>
  <c r="C325" i="2"/>
  <c r="A325" i="2"/>
  <c r="H324" i="2"/>
  <c r="G49" i="5" s="1"/>
  <c r="C324" i="2"/>
  <c r="A324" i="2"/>
  <c r="C323" i="2"/>
  <c r="A323" i="2"/>
  <c r="E322" i="2"/>
  <c r="D322" i="2"/>
  <c r="E321" i="2"/>
  <c r="D321" i="2"/>
  <c r="G320" i="2"/>
  <c r="C49" i="4" s="1"/>
  <c r="F320" i="2"/>
  <c r="C49" i="3" s="1"/>
  <c r="E320" i="2"/>
  <c r="D320" i="2"/>
  <c r="G319" i="2"/>
  <c r="B49" i="10" s="1"/>
  <c r="F319" i="2"/>
  <c r="B49" i="9" s="1"/>
  <c r="E319" i="2"/>
  <c r="A48" i="5"/>
  <c r="G318" i="2"/>
  <c r="F318" i="2"/>
  <c r="C318" i="2"/>
  <c r="H317" i="2"/>
  <c r="G317" i="2"/>
  <c r="C317" i="2"/>
  <c r="A317" i="2"/>
  <c r="H316" i="2"/>
  <c r="D316" i="2"/>
  <c r="C316" i="2"/>
  <c r="A316" i="2"/>
  <c r="C315" i="2"/>
  <c r="A315" i="2"/>
  <c r="D314" i="2"/>
  <c r="D313" i="2"/>
  <c r="F312" i="2"/>
  <c r="E312" i="2"/>
  <c r="D312" i="2"/>
  <c r="G311" i="2"/>
  <c r="F311" i="2"/>
  <c r="E311" i="2"/>
  <c r="H310" i="2"/>
  <c r="G310" i="2"/>
  <c r="F310" i="2"/>
  <c r="H309" i="2"/>
  <c r="G309" i="2"/>
  <c r="H308" i="2"/>
  <c r="C308" i="2"/>
  <c r="A308" i="2"/>
  <c r="E307" i="2"/>
  <c r="D307" i="2"/>
  <c r="C307" i="2"/>
  <c r="A307" i="2"/>
  <c r="D306" i="2"/>
  <c r="G305" i="2"/>
  <c r="F305" i="2"/>
  <c r="E305" i="2"/>
  <c r="D305" i="2"/>
  <c r="F304" i="2"/>
  <c r="H47" i="3" s="1"/>
  <c r="E304" i="2"/>
  <c r="D304" i="2"/>
  <c r="H303" i="2"/>
  <c r="G47" i="5" s="1"/>
  <c r="F303" i="2"/>
  <c r="G47" i="3" s="1"/>
  <c r="E303" i="2"/>
  <c r="H302" i="2"/>
  <c r="F47" i="5" s="1"/>
  <c r="G302" i="2"/>
  <c r="F47" i="4" s="1"/>
  <c r="F302" i="2"/>
  <c r="F47" i="3" s="1"/>
  <c r="A302" i="2"/>
  <c r="H301" i="2"/>
  <c r="E47" i="5" s="1"/>
  <c r="G301" i="2"/>
  <c r="E47" i="4" s="1"/>
  <c r="C301" i="2"/>
  <c r="A301" i="2"/>
  <c r="H300" i="2"/>
  <c r="D47" i="5" s="1"/>
  <c r="C300" i="2"/>
  <c r="A300" i="2"/>
  <c r="C299" i="2"/>
  <c r="A299" i="2"/>
  <c r="E297" i="2"/>
  <c r="D297" i="2"/>
  <c r="F296" i="2"/>
  <c r="G45" i="3" s="1"/>
  <c r="E296" i="2"/>
  <c r="D296" i="2"/>
  <c r="G295" i="2"/>
  <c r="F45" i="4" s="1"/>
  <c r="F295" i="2"/>
  <c r="F45" i="3" s="1"/>
  <c r="E295" i="2"/>
  <c r="G294" i="2"/>
  <c r="E45" i="4" s="1"/>
  <c r="F294" i="2"/>
  <c r="E45" i="3" s="1"/>
  <c r="C294" i="2"/>
  <c r="H293" i="2"/>
  <c r="D45" i="5" s="1"/>
  <c r="G293" i="2"/>
  <c r="D45" i="4" s="1"/>
  <c r="C293" i="2"/>
  <c r="A293" i="2"/>
  <c r="H292" i="2"/>
  <c r="C45" i="5" s="1"/>
  <c r="C292" i="2"/>
  <c r="A292" i="2"/>
  <c r="C291" i="2"/>
  <c r="A45" i="20" s="1"/>
  <c r="A291" i="2"/>
  <c r="E290" i="2"/>
  <c r="D290" i="2"/>
  <c r="E289" i="2"/>
  <c r="D289" i="2"/>
  <c r="E288" i="2"/>
  <c r="D288" i="2"/>
  <c r="H287" i="2"/>
  <c r="E43" i="5" s="1"/>
  <c r="G287" i="2"/>
  <c r="E43" i="4" s="1"/>
  <c r="F287" i="2"/>
  <c r="E43" i="3" s="1"/>
  <c r="E287" i="2"/>
  <c r="H286" i="2"/>
  <c r="D43" i="5" s="1"/>
  <c r="G286" i="2"/>
  <c r="D43" i="4" s="1"/>
  <c r="F286" i="2"/>
  <c r="D43" i="3" s="1"/>
  <c r="A286" i="2"/>
  <c r="H285" i="2"/>
  <c r="C43" i="5" s="1"/>
  <c r="G285" i="2"/>
  <c r="C43" i="4" s="1"/>
  <c r="A285" i="2"/>
  <c r="H284" i="2"/>
  <c r="C284" i="2"/>
  <c r="A43" i="20" s="1"/>
  <c r="A284" i="2"/>
  <c r="E283" i="2"/>
  <c r="D283" i="2"/>
  <c r="C283" i="2"/>
  <c r="A283" i="2"/>
  <c r="D282" i="2"/>
  <c r="F281" i="2"/>
  <c r="F42" i="3" s="1"/>
  <c r="E281" i="2"/>
  <c r="D281" i="2"/>
  <c r="F280" i="2"/>
  <c r="E42" i="3" s="1"/>
  <c r="E280" i="2"/>
  <c r="D280" i="2"/>
  <c r="F279" i="2"/>
  <c r="D42" i="3" s="1"/>
  <c r="E279" i="2"/>
  <c r="H278" i="2"/>
  <c r="C42" i="5" s="1"/>
  <c r="G278" i="2"/>
  <c r="C42" i="4" s="1"/>
  <c r="F278" i="2"/>
  <c r="C42" i="3" s="1"/>
  <c r="C278" i="2"/>
  <c r="H277" i="2"/>
  <c r="G277" i="2"/>
  <c r="B42" i="10" s="1"/>
  <c r="C277" i="2"/>
  <c r="A42" i="20" s="1"/>
  <c r="A277" i="2"/>
  <c r="H276" i="2"/>
  <c r="H41" i="5" s="1"/>
  <c r="C276" i="2"/>
  <c r="A276" i="2"/>
  <c r="C275" i="2"/>
  <c r="A275" i="2"/>
  <c r="G273" i="2"/>
  <c r="E41" i="4" s="1"/>
  <c r="F273" i="2"/>
  <c r="E41" i="3" s="1"/>
  <c r="D273" i="2"/>
  <c r="F272" i="2"/>
  <c r="D41" i="3" s="1"/>
  <c r="E272" i="2"/>
  <c r="D272" i="2"/>
  <c r="A272" i="2"/>
  <c r="H271" i="2"/>
  <c r="C41" i="5" s="1"/>
  <c r="G271" i="2"/>
  <c r="C41" i="4" s="1"/>
  <c r="F271" i="2"/>
  <c r="C41" i="3" s="1"/>
  <c r="E271" i="2"/>
  <c r="H270" i="2"/>
  <c r="G270" i="2"/>
  <c r="B41" i="10" s="1"/>
  <c r="F270" i="2"/>
  <c r="B41" i="9" s="1"/>
  <c r="A270" i="2"/>
  <c r="H269" i="2"/>
  <c r="H40" i="5" s="1"/>
  <c r="G269" i="2"/>
  <c r="H40" i="4" s="1"/>
  <c r="A269" i="2"/>
  <c r="H268" i="2"/>
  <c r="G40" i="5" s="1"/>
  <c r="C268" i="2"/>
  <c r="A268" i="2"/>
  <c r="D267" i="2"/>
  <c r="C267" i="2"/>
  <c r="A267" i="2"/>
  <c r="D266" i="2"/>
  <c r="E265" i="2"/>
  <c r="D265" i="2"/>
  <c r="F264" i="2"/>
  <c r="C40" i="3" s="1"/>
  <c r="E264" i="2"/>
  <c r="D264" i="2"/>
  <c r="G263" i="2"/>
  <c r="B40" i="10" s="1"/>
  <c r="F263" i="2"/>
  <c r="B40" i="9" s="1"/>
  <c r="E263" i="2"/>
  <c r="H262" i="2"/>
  <c r="H39" i="5" s="1"/>
  <c r="G262" i="2"/>
  <c r="H39" i="4" s="1"/>
  <c r="F262" i="2"/>
  <c r="H39" i="3" s="1"/>
  <c r="H261" i="2"/>
  <c r="G39" i="5" s="1"/>
  <c r="G261" i="2"/>
  <c r="G39" i="4" s="1"/>
  <c r="A261" i="2"/>
  <c r="H260" i="2"/>
  <c r="F39" i="5" s="1"/>
  <c r="C260" i="2"/>
  <c r="A260" i="2"/>
  <c r="C259" i="2"/>
  <c r="A259" i="2"/>
  <c r="E258" i="2"/>
  <c r="D258" i="2"/>
  <c r="F257" i="2"/>
  <c r="C39" i="3" s="1"/>
  <c r="E257" i="2"/>
  <c r="D257" i="2"/>
  <c r="F256" i="2"/>
  <c r="B39" i="9" s="1"/>
  <c r="E256" i="2"/>
  <c r="D256" i="2"/>
  <c r="H255" i="2"/>
  <c r="H38" i="5" s="1"/>
  <c r="G255" i="2"/>
  <c r="H38" i="4" s="1"/>
  <c r="F255" i="2"/>
  <c r="H38" i="3" s="1"/>
  <c r="E255" i="2"/>
  <c r="H254" i="2"/>
  <c r="G38" i="5" s="1"/>
  <c r="G254" i="2"/>
  <c r="G38" i="4" s="1"/>
  <c r="F254" i="2"/>
  <c r="G38" i="3" s="1"/>
  <c r="A254" i="2"/>
  <c r="H253" i="2"/>
  <c r="F38" i="5" s="1"/>
  <c r="G253" i="2"/>
  <c r="F38" i="4" s="1"/>
  <c r="A253" i="2"/>
  <c r="H252" i="2"/>
  <c r="E38" i="5" s="1"/>
  <c r="C252" i="2"/>
  <c r="A252" i="2"/>
  <c r="D251" i="2"/>
  <c r="C251" i="2"/>
  <c r="A251" i="2"/>
  <c r="D250" i="2"/>
  <c r="F249" i="2"/>
  <c r="B38" i="9" s="1"/>
  <c r="E249" i="2"/>
  <c r="D249" i="2"/>
  <c r="G248" i="2"/>
  <c r="F248" i="2"/>
  <c r="E248" i="2"/>
  <c r="D248" i="2"/>
  <c r="G247" i="2"/>
  <c r="F247" i="2"/>
  <c r="E247" i="2"/>
  <c r="H246" i="2"/>
  <c r="G246" i="2"/>
  <c r="F246" i="2"/>
  <c r="H245" i="2"/>
  <c r="G245" i="2"/>
  <c r="A245" i="2"/>
  <c r="H244" i="2"/>
  <c r="C244" i="2"/>
  <c r="A244" i="2"/>
  <c r="C243" i="2"/>
  <c r="A243" i="2"/>
  <c r="F242" i="2"/>
  <c r="E242" i="2"/>
  <c r="D242" i="2"/>
  <c r="E241" i="2"/>
  <c r="D241" i="2"/>
  <c r="G240" i="2"/>
  <c r="F240" i="2"/>
  <c r="E240" i="2"/>
  <c r="D240" i="2"/>
  <c r="G239" i="2"/>
  <c r="F239" i="2"/>
  <c r="E239" i="2"/>
  <c r="H238" i="2"/>
  <c r="G238" i="2"/>
  <c r="F238" i="2"/>
  <c r="H237" i="2"/>
  <c r="G237" i="2"/>
  <c r="A237" i="2"/>
  <c r="H236" i="2"/>
  <c r="C236" i="2"/>
  <c r="A236" i="2"/>
  <c r="C235" i="2"/>
  <c r="A235" i="2"/>
  <c r="D234" i="2"/>
  <c r="E233" i="2"/>
  <c r="D233" i="2"/>
  <c r="H232" i="2"/>
  <c r="F36" i="5" s="1"/>
  <c r="G232" i="2"/>
  <c r="F36" i="4" s="1"/>
  <c r="F232" i="2"/>
  <c r="F36" i="3" s="1"/>
  <c r="E232" i="2"/>
  <c r="D232" i="2"/>
  <c r="G231" i="2"/>
  <c r="E36" i="4" s="1"/>
  <c r="F231" i="2"/>
  <c r="E36" i="3" s="1"/>
  <c r="E231" i="2"/>
  <c r="C231" i="2"/>
  <c r="H230" i="2"/>
  <c r="D36" i="5" s="1"/>
  <c r="G230" i="2"/>
  <c r="D36" i="4" s="1"/>
  <c r="F230" i="2"/>
  <c r="D36" i="3" s="1"/>
  <c r="H229" i="2"/>
  <c r="C36" i="5" s="1"/>
  <c r="G229" i="2"/>
  <c r="C36" i="4" s="1"/>
  <c r="A229" i="2"/>
  <c r="H228" i="2"/>
  <c r="C228" i="2"/>
  <c r="A36" i="20" s="1"/>
  <c r="A228" i="2"/>
  <c r="C227" i="2"/>
  <c r="A227" i="2"/>
  <c r="E226" i="2"/>
  <c r="D226" i="2"/>
  <c r="E225" i="2"/>
  <c r="D225" i="2"/>
  <c r="G224" i="2"/>
  <c r="E35" i="4" s="1"/>
  <c r="F224" i="2"/>
  <c r="E35" i="3" s="1"/>
  <c r="E224" i="2"/>
  <c r="D224" i="2"/>
  <c r="G223" i="2"/>
  <c r="D35" i="4" s="1"/>
  <c r="F223" i="2"/>
  <c r="D35" i="3" s="1"/>
  <c r="E223" i="2"/>
  <c r="H222" i="2"/>
  <c r="C35" i="5" s="1"/>
  <c r="G222" i="2"/>
  <c r="C35" i="4" s="1"/>
  <c r="F222" i="2"/>
  <c r="C35" i="3" s="1"/>
  <c r="A222" i="2"/>
  <c r="H221" i="2"/>
  <c r="G221" i="2"/>
  <c r="B35" i="10" s="1"/>
  <c r="A221" i="2"/>
  <c r="H220" i="2"/>
  <c r="H34" i="5" s="1"/>
  <c r="C220" i="2"/>
  <c r="A220" i="2"/>
  <c r="D219" i="2"/>
  <c r="C219" i="2"/>
  <c r="A219" i="2"/>
  <c r="D218" i="2"/>
  <c r="F217" i="2"/>
  <c r="E34" i="3" s="1"/>
  <c r="E217" i="2"/>
  <c r="D217" i="2"/>
  <c r="F216" i="2"/>
  <c r="D34" i="3" s="1"/>
  <c r="E216" i="2"/>
  <c r="D216" i="2"/>
  <c r="G215" i="2"/>
  <c r="C34" i="4" s="1"/>
  <c r="F215" i="2"/>
  <c r="C34" i="3" s="1"/>
  <c r="E215" i="2"/>
  <c r="H214" i="2"/>
  <c r="G214" i="2"/>
  <c r="B34" i="10" s="1"/>
  <c r="F214" i="2"/>
  <c r="B34" i="9" s="1"/>
  <c r="H213" i="2"/>
  <c r="H33" i="5" s="1"/>
  <c r="G213" i="2"/>
  <c r="H33" i="4" s="1"/>
  <c r="A213" i="2"/>
  <c r="H212" i="2"/>
  <c r="G33" i="5" s="1"/>
  <c r="C212" i="2"/>
  <c r="A212" i="2"/>
  <c r="C211" i="2"/>
  <c r="A211" i="2"/>
  <c r="D210" i="2"/>
  <c r="F209" i="2"/>
  <c r="D33" i="3" s="1"/>
  <c r="E209" i="2"/>
  <c r="D209" i="2"/>
  <c r="F208" i="2"/>
  <c r="C33" i="3" s="1"/>
  <c r="E208" i="2"/>
  <c r="D208" i="2"/>
  <c r="H207" i="2"/>
  <c r="B33" i="5" s="1"/>
  <c r="G207" i="2"/>
  <c r="B33" i="4" s="1"/>
  <c r="F207" i="2"/>
  <c r="B33" i="3" s="1"/>
  <c r="E207" i="2"/>
  <c r="H206" i="2"/>
  <c r="H32" i="5" s="1"/>
  <c r="G206" i="2"/>
  <c r="H32" i="4" s="1"/>
  <c r="F206" i="2"/>
  <c r="H32" i="3" s="1"/>
  <c r="A206" i="2"/>
  <c r="H205" i="2"/>
  <c r="G32" i="5" s="1"/>
  <c r="G205" i="2"/>
  <c r="G32" i="4" s="1"/>
  <c r="A205" i="2"/>
  <c r="H204" i="2"/>
  <c r="F32" i="5" s="1"/>
  <c r="C204" i="2"/>
  <c r="A204" i="2"/>
  <c r="E203" i="2"/>
  <c r="D203" i="2"/>
  <c r="C203" i="2"/>
  <c r="A203" i="2"/>
  <c r="D202" i="2"/>
  <c r="F201" i="2"/>
  <c r="C32" i="3" s="1"/>
  <c r="E201" i="2"/>
  <c r="D201" i="2"/>
  <c r="F200" i="2"/>
  <c r="B32" i="9" s="1"/>
  <c r="E200" i="2"/>
  <c r="D200" i="2"/>
  <c r="G199" i="2"/>
  <c r="H31" i="4" s="1"/>
  <c r="F199" i="2"/>
  <c r="H31" i="3" s="1"/>
  <c r="E199" i="2"/>
  <c r="H198" i="2"/>
  <c r="G31" i="5" s="1"/>
  <c r="G198" i="2"/>
  <c r="G31" i="4" s="1"/>
  <c r="F198" i="2"/>
  <c r="G31" i="3" s="1"/>
  <c r="H197" i="2"/>
  <c r="F31" i="5" s="1"/>
  <c r="G197" i="2"/>
  <c r="F31" i="4" s="1"/>
  <c r="A197" i="2"/>
  <c r="H196" i="2"/>
  <c r="E31" i="5" s="1"/>
  <c r="C196" i="2"/>
  <c r="A196" i="2"/>
  <c r="C195" i="2"/>
  <c r="A195" i="2"/>
  <c r="E194" i="2"/>
  <c r="D194" i="2"/>
  <c r="E193" i="2"/>
  <c r="D193" i="2"/>
  <c r="F192" i="2"/>
  <c r="H30" i="3" s="1"/>
  <c r="E192" i="2"/>
  <c r="D192" i="2"/>
  <c r="G191" i="2"/>
  <c r="G30" i="4" s="1"/>
  <c r="F191" i="2"/>
  <c r="G30" i="3" s="1"/>
  <c r="E191" i="2"/>
  <c r="A191" i="2"/>
  <c r="H190" i="2"/>
  <c r="F30" i="5" s="1"/>
  <c r="G190" i="2"/>
  <c r="F30" i="4" s="1"/>
  <c r="F190" i="2"/>
  <c r="F30" i="3" s="1"/>
  <c r="H189" i="2"/>
  <c r="E30" i="5" s="1"/>
  <c r="G189" i="2"/>
  <c r="E30" i="4" s="1"/>
  <c r="A189" i="2"/>
  <c r="H188" i="2"/>
  <c r="D30" i="5" s="1"/>
  <c r="C188" i="2"/>
  <c r="A188" i="2"/>
  <c r="C187" i="2"/>
  <c r="A187" i="2"/>
  <c r="D186" i="2"/>
  <c r="E185" i="2"/>
  <c r="D185" i="2"/>
  <c r="G184" i="2"/>
  <c r="G29" i="4" s="1"/>
  <c r="F184" i="2"/>
  <c r="G29" i="3" s="1"/>
  <c r="E184" i="2"/>
  <c r="D184" i="2"/>
  <c r="G183" i="2"/>
  <c r="F29" i="4" s="1"/>
  <c r="F183" i="2"/>
  <c r="F29" i="3" s="1"/>
  <c r="E183" i="2"/>
  <c r="C183" i="2"/>
  <c r="A183" i="2"/>
  <c r="H182" i="2"/>
  <c r="E29" i="5" s="1"/>
  <c r="G182" i="2"/>
  <c r="E29" i="4" s="1"/>
  <c r="F182" i="2"/>
  <c r="E29" i="3" s="1"/>
  <c r="H181" i="2"/>
  <c r="D29" i="5" s="1"/>
  <c r="G181" i="2"/>
  <c r="D29" i="4" s="1"/>
  <c r="A181" i="2"/>
  <c r="H180" i="2"/>
  <c r="C29" i="5" s="1"/>
  <c r="C180" i="2"/>
  <c r="A180" i="2"/>
  <c r="C179" i="2"/>
  <c r="A29" i="20" s="1"/>
  <c r="A179" i="2"/>
  <c r="E178" i="2"/>
  <c r="D178" i="2"/>
  <c r="E177" i="2"/>
  <c r="D177" i="2"/>
  <c r="F176" i="2"/>
  <c r="F28" i="3" s="1"/>
  <c r="E176" i="2"/>
  <c r="D176" i="2"/>
  <c r="G175" i="2"/>
  <c r="E28" i="4" s="1"/>
  <c r="F175" i="2"/>
  <c r="E28" i="3" s="1"/>
  <c r="E175" i="2"/>
  <c r="H174" i="2"/>
  <c r="D28" i="5" s="1"/>
  <c r="G174" i="2"/>
  <c r="D28" i="4" s="1"/>
  <c r="F174" i="2"/>
  <c r="D28" i="3" s="1"/>
  <c r="H173" i="2"/>
  <c r="C28" i="5" s="1"/>
  <c r="G173" i="2"/>
  <c r="C28" i="4" s="1"/>
  <c r="A173" i="2"/>
  <c r="H172" i="2"/>
  <c r="C172" i="2"/>
  <c r="A28" i="20" s="1"/>
  <c r="A172" i="2"/>
  <c r="C171" i="2"/>
  <c r="A171" i="2"/>
  <c r="E170" i="2"/>
  <c r="D170" i="2"/>
  <c r="E169" i="2"/>
  <c r="D169" i="2"/>
  <c r="F168" i="2"/>
  <c r="E27" i="3" s="1"/>
  <c r="E168" i="2"/>
  <c r="D168" i="2"/>
  <c r="G167" i="2"/>
  <c r="D27" i="4" s="1"/>
  <c r="F167" i="2"/>
  <c r="D27" i="3" s="1"/>
  <c r="E167" i="2"/>
  <c r="H166" i="2"/>
  <c r="C27" i="5" s="1"/>
  <c r="G166" i="2"/>
  <c r="C27" i="4" s="1"/>
  <c r="F166" i="2"/>
  <c r="C27" i="3" s="1"/>
  <c r="H165" i="2"/>
  <c r="G165" i="2"/>
  <c r="B27" i="10" s="1"/>
  <c r="A165" i="2"/>
  <c r="A26" i="20" s="1"/>
  <c r="H164" i="2"/>
  <c r="C164" i="2"/>
  <c r="A164" i="2"/>
  <c r="C163" i="2"/>
  <c r="A163" i="2"/>
  <c r="E162" i="2"/>
  <c r="D162" i="2"/>
  <c r="E161" i="2"/>
  <c r="D161" i="2"/>
  <c r="G160" i="2"/>
  <c r="F160" i="2"/>
  <c r="E160" i="2"/>
  <c r="D160" i="2"/>
  <c r="G159" i="2"/>
  <c r="F159" i="2"/>
  <c r="E159" i="2"/>
  <c r="A159" i="2"/>
  <c r="H158" i="2"/>
  <c r="G158" i="2"/>
  <c r="F158" i="2"/>
  <c r="H157" i="2"/>
  <c r="G157" i="2"/>
  <c r="A157" i="2"/>
  <c r="H156" i="2"/>
  <c r="C156" i="2"/>
  <c r="A156" i="2"/>
  <c r="C155" i="2"/>
  <c r="A155" i="2"/>
  <c r="D154" i="2"/>
  <c r="E153" i="2"/>
  <c r="D153" i="2"/>
  <c r="G152" i="2"/>
  <c r="F152" i="2"/>
  <c r="E152" i="2"/>
  <c r="D152" i="2"/>
  <c r="G151" i="2"/>
  <c r="F151" i="2"/>
  <c r="E151" i="2"/>
  <c r="A151" i="2"/>
  <c r="H150" i="2"/>
  <c r="H25" i="5" s="1"/>
  <c r="G150" i="2"/>
  <c r="H25" i="4" s="1"/>
  <c r="F150" i="2"/>
  <c r="H25" i="3" s="1"/>
  <c r="H149" i="2"/>
  <c r="G25" i="5" s="1"/>
  <c r="G149" i="2"/>
  <c r="G25" i="4" s="1"/>
  <c r="A149" i="2"/>
  <c r="H148" i="2"/>
  <c r="F25" i="5" s="1"/>
  <c r="D148" i="2"/>
  <c r="C148" i="2"/>
  <c r="A148" i="2"/>
  <c r="C147" i="2"/>
  <c r="A147" i="2"/>
  <c r="E146" i="2"/>
  <c r="D146" i="2"/>
  <c r="E145" i="2"/>
  <c r="D145" i="2"/>
  <c r="F144" i="2"/>
  <c r="B25" i="9" s="1"/>
  <c r="E144" i="2"/>
  <c r="D144" i="2"/>
  <c r="G143" i="2"/>
  <c r="H24" i="4" s="1"/>
  <c r="F143" i="2"/>
  <c r="H24" i="3" s="1"/>
  <c r="E143" i="2"/>
  <c r="H142" i="2"/>
  <c r="G24" i="5" s="1"/>
  <c r="G142" i="2"/>
  <c r="G24" i="4" s="1"/>
  <c r="F142" i="2"/>
  <c r="G24" i="3" s="1"/>
  <c r="A142" i="2"/>
  <c r="H141" i="2"/>
  <c r="F24" i="5" s="1"/>
  <c r="G141" i="2"/>
  <c r="F24" i="4" s="1"/>
  <c r="A141" i="2"/>
  <c r="H140" i="2"/>
  <c r="E24" i="5" s="1"/>
  <c r="C140" i="2"/>
  <c r="A140" i="2"/>
  <c r="D139" i="2"/>
  <c r="C139" i="2"/>
  <c r="A139" i="2"/>
  <c r="D138" i="2"/>
  <c r="F137" i="2"/>
  <c r="B24" i="9" s="1"/>
  <c r="E137" i="2"/>
  <c r="D137" i="2"/>
  <c r="G136" i="2"/>
  <c r="F136" i="2"/>
  <c r="E136" i="2"/>
  <c r="D136" i="2"/>
  <c r="G135" i="2"/>
  <c r="G23" i="10" s="1"/>
  <c r="F135" i="2"/>
  <c r="G23" i="9" s="1"/>
  <c r="E135" i="2"/>
  <c r="A135" i="2"/>
  <c r="H134" i="2"/>
  <c r="G134" i="2"/>
  <c r="F23" i="10" s="1"/>
  <c r="F134" i="2"/>
  <c r="F23" i="9" s="1"/>
  <c r="H133" i="2"/>
  <c r="G133" i="2"/>
  <c r="E23" i="10" s="1"/>
  <c r="A133" i="2"/>
  <c r="H132" i="2"/>
  <c r="C132" i="2"/>
  <c r="A132" i="2"/>
  <c r="C131" i="2"/>
  <c r="A131" i="2"/>
  <c r="D130" i="2"/>
  <c r="E129" i="2"/>
  <c r="D129" i="2"/>
  <c r="G128" i="2"/>
  <c r="G22" i="10" s="1"/>
  <c r="F128" i="2"/>
  <c r="G22" i="9" s="1"/>
  <c r="E128" i="2"/>
  <c r="D128" i="2"/>
  <c r="G127" i="2"/>
  <c r="F22" i="10" s="1"/>
  <c r="F127" i="2"/>
  <c r="F22" i="9" s="1"/>
  <c r="E127" i="2"/>
  <c r="H126" i="2"/>
  <c r="G126" i="2"/>
  <c r="E22" i="10" s="1"/>
  <c r="F126" i="2"/>
  <c r="E22" i="9" s="1"/>
  <c r="H125" i="2"/>
  <c r="G125" i="2"/>
  <c r="D22" i="10" s="1"/>
  <c r="A125" i="2"/>
  <c r="H124" i="2"/>
  <c r="D124" i="2"/>
  <c r="C124" i="2"/>
  <c r="A124" i="2"/>
  <c r="C123" i="2"/>
  <c r="A123" i="2"/>
  <c r="E122" i="2"/>
  <c r="D122" i="2"/>
  <c r="E121" i="2"/>
  <c r="D121" i="2"/>
  <c r="F120" i="2"/>
  <c r="F21" i="3" s="1"/>
  <c r="E120" i="2"/>
  <c r="D120" i="2"/>
  <c r="G119" i="2"/>
  <c r="E21" i="4" s="1"/>
  <c r="F119" i="2"/>
  <c r="E21" i="3" s="1"/>
  <c r="E119" i="2"/>
  <c r="H118" i="2"/>
  <c r="D21" i="5" s="1"/>
  <c r="G118" i="2"/>
  <c r="D21" i="4" s="1"/>
  <c r="F118" i="2"/>
  <c r="D21" i="3" s="1"/>
  <c r="H117" i="2"/>
  <c r="C21" i="5" s="1"/>
  <c r="G117" i="2"/>
  <c r="C21" i="4" s="1"/>
  <c r="A117" i="2"/>
  <c r="H116" i="2"/>
  <c r="C116" i="2"/>
  <c r="A21" i="20" s="1"/>
  <c r="A116" i="2"/>
  <c r="C115" i="2"/>
  <c r="A115" i="2"/>
  <c r="E114" i="2"/>
  <c r="D114" i="2"/>
  <c r="E113" i="2"/>
  <c r="D113" i="2"/>
  <c r="F112" i="2"/>
  <c r="E20" i="3" s="1"/>
  <c r="E112" i="2"/>
  <c r="D112" i="2"/>
  <c r="G111" i="2"/>
  <c r="D20" i="4" s="1"/>
  <c r="F111" i="2"/>
  <c r="D20" i="3" s="1"/>
  <c r="E111" i="2"/>
  <c r="H110" i="2"/>
  <c r="C20" i="5" s="1"/>
  <c r="G110" i="2"/>
  <c r="C20" i="4" s="1"/>
  <c r="F110" i="2"/>
  <c r="C20" i="3" s="1"/>
  <c r="H109" i="2"/>
  <c r="G109" i="2"/>
  <c r="B20" i="10" s="1"/>
  <c r="A109" i="2"/>
  <c r="H108" i="2"/>
  <c r="H19" i="5" s="1"/>
  <c r="C108" i="2"/>
  <c r="A108" i="2"/>
  <c r="C107" i="2"/>
  <c r="A107" i="2"/>
  <c r="E106" i="2"/>
  <c r="D106" i="2"/>
  <c r="E105" i="2"/>
  <c r="D105" i="2"/>
  <c r="G104" i="2"/>
  <c r="D19" i="4" s="1"/>
  <c r="F104" i="2"/>
  <c r="D19" i="3" s="1"/>
  <c r="E104" i="2"/>
  <c r="D104" i="2"/>
  <c r="G103" i="2"/>
  <c r="C19" i="4" s="1"/>
  <c r="F103" i="2"/>
  <c r="C19" i="3" s="1"/>
  <c r="E103" i="2"/>
  <c r="H102" i="2"/>
  <c r="G102" i="2"/>
  <c r="B19" i="10" s="1"/>
  <c r="F102" i="2"/>
  <c r="B19" i="9" s="1"/>
  <c r="H101" i="2"/>
  <c r="H18" i="5" s="1"/>
  <c r="G101" i="2"/>
  <c r="H18" i="4" s="1"/>
  <c r="A101" i="2"/>
  <c r="H100" i="2"/>
  <c r="G18" i="5" s="1"/>
  <c r="C100" i="2"/>
  <c r="A100" i="2"/>
  <c r="C99" i="2"/>
  <c r="A99" i="2"/>
  <c r="D98" i="2"/>
  <c r="E97" i="2"/>
  <c r="D97" i="2"/>
  <c r="G96" i="2"/>
  <c r="C18" i="4" s="1"/>
  <c r="F96" i="2"/>
  <c r="C18" i="3" s="1"/>
  <c r="E96" i="2"/>
  <c r="D96" i="2"/>
  <c r="G95" i="2"/>
  <c r="B18" i="10" s="1"/>
  <c r="F95" i="2"/>
  <c r="B18" i="9" s="1"/>
  <c r="E95" i="2"/>
  <c r="H94" i="2"/>
  <c r="H17" i="5" s="1"/>
  <c r="G94" i="2"/>
  <c r="H17" i="4" s="1"/>
  <c r="F94" i="2"/>
  <c r="H17" i="3" s="1"/>
  <c r="H93" i="2"/>
  <c r="G17" i="5" s="1"/>
  <c r="G93" i="2"/>
  <c r="G17" i="4" s="1"/>
  <c r="A93" i="2"/>
  <c r="H92" i="2"/>
  <c r="F17" i="5" s="1"/>
  <c r="D92" i="2"/>
  <c r="C92" i="2"/>
  <c r="A92" i="2"/>
  <c r="C91" i="2"/>
  <c r="A91" i="2"/>
  <c r="E90" i="2"/>
  <c r="D90" i="2"/>
  <c r="E89" i="2"/>
  <c r="D89" i="2"/>
  <c r="F88" i="2"/>
  <c r="B17" i="9" s="1"/>
  <c r="E88" i="2"/>
  <c r="D88" i="2"/>
  <c r="G87" i="2"/>
  <c r="H16" i="4" s="1"/>
  <c r="F87" i="2"/>
  <c r="H16" i="3" s="1"/>
  <c r="E87" i="2"/>
  <c r="H86" i="2"/>
  <c r="G16" i="5" s="1"/>
  <c r="G86" i="2"/>
  <c r="G16" i="4" s="1"/>
  <c r="F86" i="2"/>
  <c r="G16" i="3" s="1"/>
  <c r="H85" i="2"/>
  <c r="F16" i="5" s="1"/>
  <c r="G85" i="2"/>
  <c r="F16" i="4" s="1"/>
  <c r="A85" i="2"/>
  <c r="H84" i="2"/>
  <c r="E16" i="5" s="1"/>
  <c r="C84" i="2"/>
  <c r="A84" i="2"/>
  <c r="C83" i="2"/>
  <c r="A83" i="2"/>
  <c r="E82" i="2"/>
  <c r="D82" i="2"/>
  <c r="E81" i="2"/>
  <c r="D81" i="2"/>
  <c r="F80" i="2"/>
  <c r="E80" i="2"/>
  <c r="D80" i="2"/>
  <c r="G79" i="2"/>
  <c r="F79" i="2"/>
  <c r="E79" i="2"/>
  <c r="H78" i="2"/>
  <c r="G78" i="2"/>
  <c r="F78" i="2"/>
  <c r="H77" i="2"/>
  <c r="G77" i="2"/>
  <c r="A77" i="2"/>
  <c r="H76" i="2"/>
  <c r="C76" i="2"/>
  <c r="A76" i="2"/>
  <c r="C75" i="2"/>
  <c r="A75" i="2"/>
  <c r="D74" i="2"/>
  <c r="E73" i="2"/>
  <c r="D73" i="2"/>
  <c r="G72" i="2"/>
  <c r="F72" i="2"/>
  <c r="E72" i="2"/>
  <c r="D72" i="2"/>
  <c r="G71" i="2"/>
  <c r="F71" i="2"/>
  <c r="E71" i="2"/>
  <c r="H70" i="2"/>
  <c r="G70" i="2"/>
  <c r="F70" i="2"/>
  <c r="H69" i="2"/>
  <c r="G69" i="2"/>
  <c r="A69" i="2"/>
  <c r="H68" i="2"/>
  <c r="D68" i="2"/>
  <c r="C68" i="2"/>
  <c r="A68" i="2"/>
  <c r="C67" i="2"/>
  <c r="A67" i="2"/>
  <c r="E66" i="2"/>
  <c r="D66" i="2"/>
  <c r="E65" i="2"/>
  <c r="D65" i="2"/>
  <c r="F64" i="2"/>
  <c r="F14" i="3" s="1"/>
  <c r="E64" i="2"/>
  <c r="D64" i="2"/>
  <c r="G63" i="2"/>
  <c r="E14" i="4" s="1"/>
  <c r="F63" i="2"/>
  <c r="E14" i="3" s="1"/>
  <c r="E63" i="2"/>
  <c r="H62" i="2"/>
  <c r="D14" i="5" s="1"/>
  <c r="G62" i="2"/>
  <c r="D14" i="4" s="1"/>
  <c r="F62" i="2"/>
  <c r="D14" i="3" s="1"/>
  <c r="H61" i="2"/>
  <c r="C14" i="5" s="1"/>
  <c r="G61" i="2"/>
  <c r="C14" i="4" s="1"/>
  <c r="A61" i="2"/>
  <c r="H60" i="2"/>
  <c r="C60" i="2"/>
  <c r="A14" i="20" s="1"/>
  <c r="A168" i="20" s="1"/>
  <c r="A60" i="2"/>
  <c r="C59" i="2"/>
  <c r="A59" i="2"/>
  <c r="F58" i="2"/>
  <c r="G13" i="3" s="1"/>
  <c r="E58" i="2"/>
  <c r="D58" i="2"/>
  <c r="E57" i="2"/>
  <c r="D57" i="2"/>
  <c r="G56" i="2"/>
  <c r="E13" i="4" s="1"/>
  <c r="F56" i="2"/>
  <c r="E13" i="3" s="1"/>
  <c r="E56" i="2"/>
  <c r="D56" i="2"/>
  <c r="G55" i="2"/>
  <c r="D13" i="4" s="1"/>
  <c r="F55" i="2"/>
  <c r="D13" i="3" s="1"/>
  <c r="E55" i="2"/>
  <c r="H54" i="2"/>
  <c r="C13" i="5" s="1"/>
  <c r="G54" i="2"/>
  <c r="C13" i="4" s="1"/>
  <c r="F54" i="2"/>
  <c r="C13" i="3" s="1"/>
  <c r="H53" i="2"/>
  <c r="G53" i="2"/>
  <c r="B13" i="10" s="1"/>
  <c r="A53" i="2"/>
  <c r="H52" i="2"/>
  <c r="H12" i="5" s="1"/>
  <c r="C52" i="2"/>
  <c r="A52" i="2"/>
  <c r="C51" i="2"/>
  <c r="A51" i="2"/>
  <c r="D50" i="2"/>
  <c r="E49" i="2"/>
  <c r="D49" i="2"/>
  <c r="H48" i="2"/>
  <c r="D12" i="5" s="1"/>
  <c r="G48" i="2"/>
  <c r="D12" i="4" s="1"/>
  <c r="F48" i="2"/>
  <c r="D12" i="3" s="1"/>
  <c r="E48" i="2"/>
  <c r="D48" i="2"/>
  <c r="G47" i="2"/>
  <c r="C12" i="4" s="1"/>
  <c r="F47" i="2"/>
  <c r="C12" i="3" s="1"/>
  <c r="E47" i="2"/>
  <c r="H46" i="2"/>
  <c r="G46" i="2"/>
  <c r="B12" i="10" s="1"/>
  <c r="F46" i="2"/>
  <c r="B12" i="9" s="1"/>
  <c r="H45" i="2"/>
  <c r="H10" i="5" s="1"/>
  <c r="G45" i="2"/>
  <c r="H10" i="4" s="1"/>
  <c r="A45" i="2"/>
  <c r="H44" i="2"/>
  <c r="G10" i="5" s="1"/>
  <c r="D44" i="2"/>
  <c r="C44" i="2"/>
  <c r="A44" i="2"/>
  <c r="C43" i="2"/>
  <c r="A43" i="2"/>
  <c r="E42" i="2"/>
  <c r="D42" i="2"/>
  <c r="E41" i="2"/>
  <c r="D41" i="2"/>
  <c r="F40" i="2"/>
  <c r="C10" i="3" s="1"/>
  <c r="E40" i="2"/>
  <c r="D40" i="2"/>
  <c r="G39" i="2"/>
  <c r="B10" i="10" s="1"/>
  <c r="F39" i="2"/>
  <c r="B10" i="9" s="1"/>
  <c r="E39" i="2"/>
  <c r="H38" i="2"/>
  <c r="H9" i="5" s="1"/>
  <c r="G38" i="2"/>
  <c r="H9" i="4" s="1"/>
  <c r="F38" i="2"/>
  <c r="H9" i="3" s="1"/>
  <c r="H37" i="2"/>
  <c r="G9" i="5" s="1"/>
  <c r="G37" i="2"/>
  <c r="G9" i="4" s="1"/>
  <c r="A37" i="2"/>
  <c r="H36" i="2"/>
  <c r="F9" i="5" s="1"/>
  <c r="C36" i="2"/>
  <c r="A36" i="2"/>
  <c r="C35" i="2"/>
  <c r="A35" i="2"/>
  <c r="F34" i="2"/>
  <c r="D9" i="3" s="1"/>
  <c r="E34" i="2"/>
  <c r="D34" i="2"/>
  <c r="E33" i="2"/>
  <c r="D33" i="2"/>
  <c r="G32" i="2"/>
  <c r="B9" i="10" s="1"/>
  <c r="F32" i="2"/>
  <c r="B9" i="9" s="1"/>
  <c r="E32" i="2"/>
  <c r="D32" i="2"/>
  <c r="G31" i="2"/>
  <c r="H8" i="4" s="1"/>
  <c r="F31" i="2"/>
  <c r="H8" i="3" s="1"/>
  <c r="E31" i="2"/>
  <c r="H30" i="2"/>
  <c r="G8" i="5" s="1"/>
  <c r="G30" i="2"/>
  <c r="G8" i="4" s="1"/>
  <c r="F30" i="2"/>
  <c r="G8" i="3" s="1"/>
  <c r="H29" i="2"/>
  <c r="F8" i="5" s="1"/>
  <c r="G29" i="2"/>
  <c r="F8" i="4" s="1"/>
  <c r="A29" i="2"/>
  <c r="H28" i="2"/>
  <c r="E8" i="5" s="1"/>
  <c r="C28" i="2"/>
  <c r="A28" i="2"/>
  <c r="C27" i="2"/>
  <c r="A27" i="2"/>
  <c r="D26" i="2"/>
  <c r="E25" i="2"/>
  <c r="D25" i="2"/>
  <c r="H24" i="2"/>
  <c r="H7" i="5" s="1"/>
  <c r="G24" i="2"/>
  <c r="H7" i="4" s="1"/>
  <c r="F24" i="2"/>
  <c r="H7" i="3" s="1"/>
  <c r="E24" i="2"/>
  <c r="D24" i="2"/>
  <c r="G23" i="2"/>
  <c r="G7" i="4" s="1"/>
  <c r="F23" i="2"/>
  <c r="G7" i="3" s="1"/>
  <c r="E23" i="2"/>
  <c r="H22" i="2"/>
  <c r="F7" i="5" s="1"/>
  <c r="G22" i="2"/>
  <c r="F7" i="4" s="1"/>
  <c r="F22" i="2"/>
  <c r="F7" i="3" s="1"/>
  <c r="H21" i="2"/>
  <c r="E7" i="5" s="1"/>
  <c r="G21" i="2"/>
  <c r="E7" i="4" s="1"/>
  <c r="A21" i="2"/>
  <c r="H20" i="2"/>
  <c r="D7" i="5" s="1"/>
  <c r="C20" i="2"/>
  <c r="A20" i="2"/>
  <c r="C19" i="2"/>
  <c r="A19" i="2"/>
  <c r="D18" i="2"/>
  <c r="F17" i="2"/>
  <c r="H6" i="3" s="1"/>
  <c r="E17" i="2"/>
  <c r="D17" i="2"/>
  <c r="F16" i="2"/>
  <c r="G6" i="3" s="1"/>
  <c r="E16" i="2"/>
  <c r="D16" i="2"/>
  <c r="H15" i="2"/>
  <c r="F6" i="5" s="1"/>
  <c r="G15" i="2"/>
  <c r="F6" i="4" s="1"/>
  <c r="F15" i="2"/>
  <c r="F6" i="3" s="1"/>
  <c r="E15" i="2"/>
  <c r="H14" i="2"/>
  <c r="E6" i="5" s="1"/>
  <c r="G14" i="2"/>
  <c r="E6" i="4" s="1"/>
  <c r="F14" i="2"/>
  <c r="E6" i="3" s="1"/>
  <c r="A14" i="2"/>
  <c r="H13" i="2"/>
  <c r="D6" i="5" s="1"/>
  <c r="G13" i="2"/>
  <c r="D6" i="4" s="1"/>
  <c r="A13" i="2"/>
  <c r="H12" i="2"/>
  <c r="C6" i="5" s="1"/>
  <c r="C12" i="2"/>
  <c r="A12" i="2"/>
  <c r="D11" i="2"/>
  <c r="C11" i="2"/>
  <c r="A6" i="20" s="1"/>
  <c r="A160" i="20" s="1"/>
  <c r="A11" i="2"/>
  <c r="D10" i="2"/>
  <c r="H3" i="3"/>
  <c r="F9" i="2"/>
  <c r="G5" i="3" s="1"/>
  <c r="E9" i="2"/>
  <c r="D9" i="2"/>
  <c r="F8" i="2"/>
  <c r="F5" i="3" s="1"/>
  <c r="E8" i="2"/>
  <c r="D8" i="2"/>
  <c r="G7" i="2"/>
  <c r="E5" i="4" s="1"/>
  <c r="F7" i="2"/>
  <c r="E5" i="3" s="1"/>
  <c r="E7" i="2"/>
  <c r="H6" i="2"/>
  <c r="D5" i="5" s="1"/>
  <c r="G6" i="2"/>
  <c r="D5" i="4" s="1"/>
  <c r="F6" i="2"/>
  <c r="D5" i="3" s="1"/>
  <c r="H5" i="2"/>
  <c r="C5" i="5" s="1"/>
  <c r="G5" i="2"/>
  <c r="C5" i="4" s="1"/>
  <c r="A5" i="2"/>
  <c r="H4" i="2"/>
  <c r="C4" i="2"/>
  <c r="A5" i="20" s="1"/>
  <c r="A159" i="20" s="1"/>
  <c r="K132" i="10" l="1"/>
  <c r="J132" i="10"/>
  <c r="I132" i="10"/>
  <c r="J132" i="11"/>
  <c r="K132" i="11"/>
  <c r="I132" i="11"/>
  <c r="I133" i="10"/>
  <c r="I133" i="16" s="1"/>
  <c r="J133" i="10"/>
  <c r="J133" i="16" s="1"/>
  <c r="K133" i="10"/>
  <c r="K133" i="16" s="1"/>
  <c r="K133" i="11"/>
  <c r="K133" i="17" s="1"/>
  <c r="J133" i="11"/>
  <c r="J133" i="17" s="1"/>
  <c r="I133" i="11"/>
  <c r="I133" i="17" s="1"/>
  <c r="J133" i="9"/>
  <c r="J133" i="18" s="1"/>
  <c r="K133" i="9"/>
  <c r="K133" i="18" s="1"/>
  <c r="K132" i="9"/>
  <c r="K132" i="18" s="1"/>
  <c r="J132" i="9"/>
  <c r="J132" i="18" s="1"/>
  <c r="H132" i="10"/>
  <c r="H22" i="9"/>
  <c r="H99" i="10"/>
  <c r="H133" i="10"/>
  <c r="H133" i="16" s="1"/>
  <c r="H23" i="9"/>
  <c r="H22" i="10"/>
  <c r="H100" i="9"/>
  <c r="H99" i="9"/>
  <c r="H23" i="10"/>
  <c r="H133" i="9"/>
  <c r="H133" i="18" s="1"/>
  <c r="I133" i="9"/>
  <c r="I133" i="18" s="1"/>
  <c r="H100" i="10"/>
  <c r="H132" i="9"/>
  <c r="H132" i="18" s="1"/>
  <c r="I132" i="9"/>
  <c r="I132" i="18" s="1"/>
  <c r="A156" i="20"/>
  <c r="A112" i="20"/>
  <c r="A145" i="20"/>
  <c r="A101" i="20"/>
  <c r="A134" i="20"/>
  <c r="A123" i="20"/>
  <c r="A88" i="20"/>
  <c r="A77" i="20"/>
  <c r="A132" i="20"/>
  <c r="A154" i="20"/>
  <c r="A143" i="20"/>
  <c r="A68" i="20"/>
  <c r="A46" i="20"/>
  <c r="A79" i="20"/>
  <c r="A35" i="20"/>
  <c r="A121" i="20"/>
  <c r="A110" i="20"/>
  <c r="A44" i="20"/>
  <c r="A66" i="20"/>
  <c r="A22" i="20"/>
  <c r="A11" i="20"/>
  <c r="A165" i="20" s="1"/>
  <c r="H188" i="10"/>
  <c r="H177" i="10" s="1"/>
  <c r="I177" i="10" s="1"/>
  <c r="A53" i="18"/>
  <c r="A53" i="17"/>
  <c r="A60" i="18"/>
  <c r="A60" i="17"/>
  <c r="A85" i="18"/>
  <c r="A85" i="17"/>
  <c r="A108" i="17"/>
  <c r="A108" i="18"/>
  <c r="A141" i="17"/>
  <c r="A141" i="18"/>
  <c r="A147" i="18"/>
  <c r="A147" i="17"/>
  <c r="A13" i="17"/>
  <c r="A13" i="18"/>
  <c r="A30" i="17"/>
  <c r="A30" i="18"/>
  <c r="A32" i="18"/>
  <c r="A32" i="17"/>
  <c r="A38" i="17"/>
  <c r="A38" i="18"/>
  <c r="A55" i="18"/>
  <c r="A55" i="17"/>
  <c r="A56" i="18"/>
  <c r="A56" i="17"/>
  <c r="A57" i="18"/>
  <c r="A57" i="17"/>
  <c r="A81" i="18"/>
  <c r="A81" i="17"/>
  <c r="A89" i="17"/>
  <c r="A89" i="18"/>
  <c r="A91" i="18"/>
  <c r="A91" i="17"/>
  <c r="A138" i="18"/>
  <c r="A138" i="17"/>
  <c r="A146" i="18"/>
  <c r="A146" i="17"/>
  <c r="A153" i="18"/>
  <c r="A153" i="17"/>
  <c r="A36" i="17"/>
  <c r="A36" i="18"/>
  <c r="A52" i="17"/>
  <c r="A52" i="18"/>
  <c r="A59" i="18"/>
  <c r="A59" i="17"/>
  <c r="A84" i="18"/>
  <c r="A84" i="17"/>
  <c r="A114" i="18"/>
  <c r="A114" i="17"/>
  <c r="A139" i="18"/>
  <c r="A139" i="17"/>
  <c r="A148" i="18"/>
  <c r="A148" i="17"/>
  <c r="A23" i="18"/>
  <c r="A23" i="17"/>
  <c r="A24" i="18"/>
  <c r="A24" i="17"/>
  <c r="A25" i="18"/>
  <c r="A25" i="17"/>
  <c r="A31" i="18"/>
  <c r="A31" i="17"/>
  <c r="A41" i="17"/>
  <c r="A41" i="18"/>
  <c r="A54" i="18"/>
  <c r="A54" i="17"/>
  <c r="A72" i="17"/>
  <c r="A72" i="18"/>
  <c r="A82" i="18"/>
  <c r="A82" i="17"/>
  <c r="A86" i="18"/>
  <c r="A86" i="17"/>
  <c r="A104" i="17"/>
  <c r="A104" i="18"/>
  <c r="A121" i="18"/>
  <c r="A110" i="18"/>
  <c r="A121" i="17"/>
  <c r="A110" i="17"/>
  <c r="A128" i="17"/>
  <c r="A128" i="18"/>
  <c r="A142" i="18"/>
  <c r="A142" i="17"/>
  <c r="A157" i="17"/>
  <c r="A157" i="18"/>
  <c r="A6" i="17"/>
  <c r="A6" i="18"/>
  <c r="A21" i="17"/>
  <c r="A21" i="18"/>
  <c r="A28" i="18"/>
  <c r="A28" i="17"/>
  <c r="A83" i="18"/>
  <c r="A83" i="17"/>
  <c r="A99" i="18"/>
  <c r="A99" i="17"/>
  <c r="A145" i="18"/>
  <c r="A156" i="17"/>
  <c r="A112" i="17"/>
  <c r="A156" i="18"/>
  <c r="A145" i="17"/>
  <c r="A101" i="18"/>
  <c r="A134" i="18"/>
  <c r="A123" i="18"/>
  <c r="A123" i="17"/>
  <c r="A101" i="17"/>
  <c r="A112" i="18"/>
  <c r="A134" i="17"/>
  <c r="A107" i="18"/>
  <c r="A107" i="17"/>
  <c r="A116" i="17"/>
  <c r="A116" i="18"/>
  <c r="A149" i="18"/>
  <c r="A149" i="17"/>
  <c r="A4" i="17"/>
  <c r="A4" i="18"/>
  <c r="A27" i="18"/>
  <c r="A27" i="17"/>
  <c r="A65" i="18"/>
  <c r="A65" i="17"/>
  <c r="A131" i="18"/>
  <c r="A131" i="17"/>
  <c r="A7" i="17"/>
  <c r="A7" i="18"/>
  <c r="A9" i="18"/>
  <c r="A9" i="17"/>
  <c r="A10" i="18"/>
  <c r="A10" i="17"/>
  <c r="A12" i="18"/>
  <c r="A12" i="17"/>
  <c r="A17" i="18"/>
  <c r="A17" i="17"/>
  <c r="A39" i="18"/>
  <c r="A39" i="17"/>
  <c r="A40" i="17"/>
  <c r="A40" i="18"/>
  <c r="A49" i="18"/>
  <c r="A49" i="17"/>
  <c r="A58" i="18"/>
  <c r="A58" i="17"/>
  <c r="A63" i="18"/>
  <c r="A63" i="17"/>
  <c r="A64" i="18"/>
  <c r="A64" i="17"/>
  <c r="A78" i="17"/>
  <c r="A78" i="18"/>
  <c r="A90" i="18"/>
  <c r="A90" i="17"/>
  <c r="A94" i="17"/>
  <c r="A94" i="18"/>
  <c r="A98" i="18"/>
  <c r="A98" i="17"/>
  <c r="A111" i="17"/>
  <c r="A111" i="18"/>
  <c r="A120" i="17"/>
  <c r="A120" i="18"/>
  <c r="A125" i="17"/>
  <c r="A125" i="18"/>
  <c r="A126" i="18"/>
  <c r="A126" i="17"/>
  <c r="A127" i="18"/>
  <c r="A127" i="17"/>
  <c r="A151" i="18"/>
  <c r="A151" i="17"/>
  <c r="A14" i="17"/>
  <c r="A14" i="18"/>
  <c r="A43" i="18"/>
  <c r="A43" i="17"/>
  <c r="A45" i="17"/>
  <c r="A45" i="18"/>
  <c r="A88" i="18"/>
  <c r="A88" i="17"/>
  <c r="A77" i="17"/>
  <c r="A77" i="18"/>
  <c r="A92" i="17"/>
  <c r="A92" i="18"/>
  <c r="A115" i="18"/>
  <c r="A115" i="17"/>
  <c r="A132" i="17"/>
  <c r="A132" i="18"/>
  <c r="A154" i="18"/>
  <c r="A154" i="17"/>
  <c r="A143" i="17"/>
  <c r="A143" i="18"/>
  <c r="A46" i="18"/>
  <c r="A35" i="18"/>
  <c r="A68" i="17"/>
  <c r="A68" i="18"/>
  <c r="A79" i="18"/>
  <c r="A46" i="17"/>
  <c r="A79" i="17"/>
  <c r="A35" i="17"/>
  <c r="A96" i="17"/>
  <c r="A96" i="18"/>
  <c r="A102" i="18"/>
  <c r="A102" i="17"/>
  <c r="A103" i="18"/>
  <c r="A103" i="17"/>
  <c r="A136" i="17"/>
  <c r="A136" i="18"/>
  <c r="A155" i="18"/>
  <c r="A155" i="17"/>
  <c r="A26" i="18"/>
  <c r="A26" i="17"/>
  <c r="A42" i="18"/>
  <c r="A42" i="17"/>
  <c r="A51" i="17"/>
  <c r="A51" i="18"/>
  <c r="A140" i="17"/>
  <c r="A140" i="18"/>
  <c r="A150" i="18"/>
  <c r="A150" i="17"/>
  <c r="A18" i="18"/>
  <c r="A18" i="17"/>
  <c r="A34" i="18"/>
  <c r="A34" i="17"/>
  <c r="A47" i="18"/>
  <c r="A47" i="17"/>
  <c r="A50" i="18"/>
  <c r="A50" i="17"/>
  <c r="A70" i="18"/>
  <c r="A70" i="17"/>
  <c r="A73" i="18"/>
  <c r="A73" i="17"/>
  <c r="A87" i="18"/>
  <c r="A87" i="17"/>
  <c r="A109" i="18"/>
  <c r="A109" i="17"/>
  <c r="A118" i="18"/>
  <c r="A118" i="17"/>
  <c r="A119" i="18"/>
  <c r="A119" i="17"/>
  <c r="A122" i="17"/>
  <c r="A122" i="18"/>
  <c r="A137" i="18"/>
  <c r="A137" i="17"/>
  <c r="A5" i="18"/>
  <c r="A5" i="17"/>
  <c r="A44" i="17"/>
  <c r="A44" i="18"/>
  <c r="A11" i="18"/>
  <c r="A22" i="17"/>
  <c r="A11" i="17"/>
  <c r="A66" i="18"/>
  <c r="A22" i="18"/>
  <c r="A66" i="17"/>
  <c r="A29" i="17"/>
  <c r="A29" i="18"/>
  <c r="A67" i="18"/>
  <c r="A67" i="17"/>
  <c r="A69" i="17"/>
  <c r="A69" i="18"/>
  <c r="A76" i="17"/>
  <c r="A76" i="18"/>
  <c r="A93" i="18"/>
  <c r="A93" i="17"/>
  <c r="A100" i="17"/>
  <c r="A100" i="18"/>
  <c r="A105" i="17"/>
  <c r="A105" i="18"/>
  <c r="A106" i="17"/>
  <c r="A106" i="18"/>
  <c r="A113" i="18"/>
  <c r="A113" i="17"/>
  <c r="A133" i="17"/>
  <c r="A133" i="18"/>
  <c r="A20" i="18"/>
  <c r="A20" i="17"/>
  <c r="A74" i="18"/>
  <c r="A74" i="17"/>
  <c r="A75" i="18"/>
  <c r="A75" i="17"/>
  <c r="A124" i="17"/>
  <c r="A124" i="18"/>
  <c r="A8" i="17"/>
  <c r="A8" i="18"/>
  <c r="A15" i="18"/>
  <c r="A15" i="17"/>
  <c r="A16" i="18"/>
  <c r="A16" i="17"/>
  <c r="A19" i="18"/>
  <c r="A19" i="17"/>
  <c r="A33" i="18"/>
  <c r="A33" i="17"/>
  <c r="A37" i="17"/>
  <c r="A37" i="18"/>
  <c r="A61" i="18"/>
  <c r="A61" i="17"/>
  <c r="A62" i="18"/>
  <c r="A62" i="17"/>
  <c r="A71" i="17"/>
  <c r="A71" i="18"/>
  <c r="A80" i="18"/>
  <c r="A80" i="17"/>
  <c r="A95" i="18"/>
  <c r="A95" i="17"/>
  <c r="A97" i="17"/>
  <c r="A97" i="18"/>
  <c r="A117" i="18"/>
  <c r="A117" i="17"/>
  <c r="A129" i="18"/>
  <c r="A129" i="17"/>
  <c r="A130" i="17"/>
  <c r="A130" i="18"/>
  <c r="A135" i="17"/>
  <c r="A135" i="18"/>
  <c r="A144" i="17"/>
  <c r="A144" i="18"/>
  <c r="A152" i="18"/>
  <c r="A152" i="17"/>
  <c r="G165" i="10"/>
  <c r="D165" i="10"/>
  <c r="B163" i="10"/>
  <c r="B167" i="10"/>
  <c r="F165" i="10"/>
  <c r="D188" i="10"/>
  <c r="D177" i="10" s="1"/>
  <c r="A14" i="16"/>
  <c r="A14" i="10"/>
  <c r="A168" i="10" s="1"/>
  <c r="A43" i="16"/>
  <c r="A43" i="10"/>
  <c r="A53" i="16"/>
  <c r="A53" i="10"/>
  <c r="A60" i="16"/>
  <c r="A60" i="10"/>
  <c r="A88" i="10"/>
  <c r="A77" i="10"/>
  <c r="A85" i="16"/>
  <c r="A85" i="10"/>
  <c r="A92" i="16"/>
  <c r="A92" i="10"/>
  <c r="A154" i="10"/>
  <c r="A143" i="10"/>
  <c r="A132" i="10"/>
  <c r="A13" i="16"/>
  <c r="A13" i="10"/>
  <c r="A167" i="10" s="1"/>
  <c r="A32" i="16"/>
  <c r="A32" i="10"/>
  <c r="A186" i="10" s="1"/>
  <c r="A56" i="16"/>
  <c r="A56" i="10"/>
  <c r="A57" i="16"/>
  <c r="A57" i="10"/>
  <c r="A81" i="16"/>
  <c r="A81" i="10"/>
  <c r="A89" i="16"/>
  <c r="A89" i="10"/>
  <c r="A91" i="16"/>
  <c r="A91" i="10"/>
  <c r="A96" i="16"/>
  <c r="A96" i="10"/>
  <c r="A102" i="16"/>
  <c r="A102" i="10"/>
  <c r="A103" i="16"/>
  <c r="A103" i="10"/>
  <c r="A136" i="16"/>
  <c r="A136" i="10"/>
  <c r="A138" i="16"/>
  <c r="A138" i="10"/>
  <c r="A146" i="16"/>
  <c r="A146" i="10"/>
  <c r="A153" i="16"/>
  <c r="A153" i="10"/>
  <c r="A155" i="16"/>
  <c r="A155" i="10"/>
  <c r="A26" i="16"/>
  <c r="A26" i="10"/>
  <c r="A36" i="16"/>
  <c r="A36" i="10"/>
  <c r="A190" i="10" s="1"/>
  <c r="A42" i="16"/>
  <c r="A42" i="10"/>
  <c r="A51" i="16"/>
  <c r="A51" i="10"/>
  <c r="A52" i="16"/>
  <c r="A52" i="10"/>
  <c r="A59" i="16"/>
  <c r="A59" i="10"/>
  <c r="A84" i="16"/>
  <c r="A84" i="10"/>
  <c r="B99" i="10"/>
  <c r="A114" i="16"/>
  <c r="A114" i="10"/>
  <c r="A139" i="16"/>
  <c r="A139" i="10"/>
  <c r="A140" i="16"/>
  <c r="A140" i="10"/>
  <c r="A150" i="16"/>
  <c r="A150" i="10"/>
  <c r="A148" i="16"/>
  <c r="A148" i="10"/>
  <c r="A18" i="16"/>
  <c r="A18" i="10"/>
  <c r="A172" i="10" s="1"/>
  <c r="A23" i="16"/>
  <c r="A23" i="10"/>
  <c r="A24" i="16"/>
  <c r="A24" i="10"/>
  <c r="A178" i="10" s="1"/>
  <c r="A25" i="16"/>
  <c r="A25" i="10"/>
  <c r="A179" i="10" s="1"/>
  <c r="A31" i="16"/>
  <c r="A31" i="10"/>
  <c r="A185" i="10" s="1"/>
  <c r="A34" i="16"/>
  <c r="A34" i="10"/>
  <c r="A41" i="16"/>
  <c r="A41" i="10"/>
  <c r="A47" i="16"/>
  <c r="A47" i="10"/>
  <c r="A50" i="16"/>
  <c r="A50" i="10"/>
  <c r="A54" i="16"/>
  <c r="A54" i="10"/>
  <c r="A70" i="16"/>
  <c r="A70" i="10"/>
  <c r="A72" i="16"/>
  <c r="A72" i="10"/>
  <c r="A73" i="16"/>
  <c r="A73" i="10"/>
  <c r="A82" i="16"/>
  <c r="A82" i="10"/>
  <c r="A86" i="16"/>
  <c r="A86" i="10"/>
  <c r="A87" i="16"/>
  <c r="A87" i="10"/>
  <c r="B100" i="10"/>
  <c r="A104" i="16"/>
  <c r="A104" i="10"/>
  <c r="A109" i="16"/>
  <c r="A109" i="10"/>
  <c r="A121" i="10"/>
  <c r="A110" i="10"/>
  <c r="A118" i="16"/>
  <c r="A118" i="10"/>
  <c r="A119" i="16"/>
  <c r="A119" i="10"/>
  <c r="A122" i="16"/>
  <c r="A122" i="10"/>
  <c r="A128" i="16"/>
  <c r="A128" i="10"/>
  <c r="A137" i="16"/>
  <c r="A137" i="10"/>
  <c r="A142" i="16"/>
  <c r="A142" i="10"/>
  <c r="A157" i="16"/>
  <c r="A157" i="10"/>
  <c r="B161" i="10"/>
  <c r="B164" i="10"/>
  <c r="B162" i="10"/>
  <c r="B168" i="10"/>
  <c r="A115" i="16"/>
  <c r="A115" i="10"/>
  <c r="A141" i="16"/>
  <c r="A141" i="10"/>
  <c r="A147" i="16"/>
  <c r="A147" i="10"/>
  <c r="A55" i="16"/>
  <c r="A55" i="10"/>
  <c r="A5" i="16"/>
  <c r="A5" i="10"/>
  <c r="A159" i="10" s="1"/>
  <c r="A6" i="16"/>
  <c r="A6" i="10"/>
  <c r="A160" i="10" s="1"/>
  <c r="A21" i="16"/>
  <c r="A21" i="10"/>
  <c r="A175" i="10" s="1"/>
  <c r="A28" i="16"/>
  <c r="A28" i="10"/>
  <c r="A182" i="10" s="1"/>
  <c r="A83" i="16"/>
  <c r="A83" i="10"/>
  <c r="A99" i="16"/>
  <c r="A99" i="10"/>
  <c r="A112" i="10"/>
  <c r="A101" i="10"/>
  <c r="A156" i="10"/>
  <c r="A145" i="10"/>
  <c r="A134" i="10"/>
  <c r="A123" i="10"/>
  <c r="A107" i="16"/>
  <c r="A107" i="10"/>
  <c r="A116" i="16"/>
  <c r="A116" i="10"/>
  <c r="A149" i="16"/>
  <c r="A149" i="10"/>
  <c r="A4" i="16"/>
  <c r="A4" i="10"/>
  <c r="A27" i="16"/>
  <c r="A27" i="10"/>
  <c r="A181" i="10" s="1"/>
  <c r="A65" i="16"/>
  <c r="A65" i="10"/>
  <c r="A131" i="16"/>
  <c r="A131" i="10"/>
  <c r="A7" i="16"/>
  <c r="A7" i="10"/>
  <c r="A161" i="10" s="1"/>
  <c r="A9" i="16"/>
  <c r="A9" i="10"/>
  <c r="A163" i="10" s="1"/>
  <c r="A10" i="16"/>
  <c r="A10" i="10"/>
  <c r="A164" i="10" s="1"/>
  <c r="A12" i="16"/>
  <c r="A12" i="10"/>
  <c r="A17" i="16"/>
  <c r="A17" i="10"/>
  <c r="A171" i="10" s="1"/>
  <c r="B22" i="10"/>
  <c r="A39" i="16"/>
  <c r="A39" i="10"/>
  <c r="A40" i="16"/>
  <c r="A40" i="10"/>
  <c r="A49" i="16"/>
  <c r="A49" i="10"/>
  <c r="A58" i="16"/>
  <c r="A58" i="10"/>
  <c r="A63" i="16"/>
  <c r="A63" i="10"/>
  <c r="A64" i="16"/>
  <c r="A64" i="10"/>
  <c r="A78" i="16"/>
  <c r="A78" i="10"/>
  <c r="A90" i="16"/>
  <c r="A90" i="10"/>
  <c r="A94" i="16"/>
  <c r="A94" i="10"/>
  <c r="A98" i="16"/>
  <c r="A98" i="10"/>
  <c r="A111" i="16"/>
  <c r="A111" i="10"/>
  <c r="A120" i="16"/>
  <c r="A120" i="10"/>
  <c r="A125" i="16"/>
  <c r="A125" i="10"/>
  <c r="A126" i="16"/>
  <c r="A126" i="10"/>
  <c r="A127" i="16"/>
  <c r="A127" i="10"/>
  <c r="B133" i="10"/>
  <c r="A151" i="16"/>
  <c r="A151" i="10"/>
  <c r="B159" i="10"/>
  <c r="B160" i="10"/>
  <c r="C165" i="10"/>
  <c r="A45" i="16"/>
  <c r="A45" i="10"/>
  <c r="A108" i="16"/>
  <c r="A108" i="10"/>
  <c r="A79" i="10"/>
  <c r="A68" i="10"/>
  <c r="A46" i="10"/>
  <c r="A35" i="10"/>
  <c r="A189" i="10" s="1"/>
  <c r="A30" i="16"/>
  <c r="A30" i="10"/>
  <c r="A184" i="10" s="1"/>
  <c r="A38" i="16"/>
  <c r="A38" i="10"/>
  <c r="A66" i="10"/>
  <c r="A22" i="10"/>
  <c r="A176" i="10" s="1"/>
  <c r="A11" i="10"/>
  <c r="A165" i="10" s="1"/>
  <c r="A44" i="10"/>
  <c r="A29" i="16"/>
  <c r="A29" i="10"/>
  <c r="A183" i="10" s="1"/>
  <c r="A67" i="16"/>
  <c r="A67" i="10"/>
  <c r="A69" i="16"/>
  <c r="A69" i="10"/>
  <c r="A76" i="16"/>
  <c r="A76" i="10"/>
  <c r="A93" i="16"/>
  <c r="A93" i="10"/>
  <c r="A100" i="16"/>
  <c r="A100" i="10"/>
  <c r="A105" i="16"/>
  <c r="A105" i="10"/>
  <c r="A106" i="16"/>
  <c r="A106" i="10"/>
  <c r="A113" i="16"/>
  <c r="A113" i="10"/>
  <c r="A133" i="16"/>
  <c r="A133" i="10"/>
  <c r="A20" i="16"/>
  <c r="A20" i="10"/>
  <c r="A174" i="10" s="1"/>
  <c r="A74" i="16"/>
  <c r="A74" i="10"/>
  <c r="A75" i="16"/>
  <c r="A75" i="10"/>
  <c r="A124" i="16"/>
  <c r="A124" i="10"/>
  <c r="A8" i="16"/>
  <c r="A8" i="10"/>
  <c r="A162" i="10" s="1"/>
  <c r="A15" i="16"/>
  <c r="A15" i="10"/>
  <c r="A16" i="16"/>
  <c r="A16" i="10"/>
  <c r="A170" i="10" s="1"/>
  <c r="A19" i="16"/>
  <c r="A19" i="10"/>
  <c r="A173" i="10" s="1"/>
  <c r="B23" i="10"/>
  <c r="A33" i="16"/>
  <c r="A33" i="10"/>
  <c r="A187" i="10" s="1"/>
  <c r="A37" i="16"/>
  <c r="A37" i="10"/>
  <c r="A61" i="16"/>
  <c r="A61" i="10"/>
  <c r="A62" i="16"/>
  <c r="A62" i="10"/>
  <c r="A71" i="16"/>
  <c r="A71" i="10"/>
  <c r="A80" i="16"/>
  <c r="A80" i="10"/>
  <c r="A95" i="16"/>
  <c r="A95" i="10"/>
  <c r="A97" i="16"/>
  <c r="A97" i="10"/>
  <c r="A117" i="16"/>
  <c r="A117" i="10"/>
  <c r="A129" i="16"/>
  <c r="A129" i="10"/>
  <c r="A130" i="16"/>
  <c r="A130" i="10"/>
  <c r="A135" i="16"/>
  <c r="A135" i="10"/>
  <c r="A144" i="16"/>
  <c r="A144" i="10"/>
  <c r="A152" i="16"/>
  <c r="A152" i="10"/>
  <c r="B166" i="10"/>
  <c r="E165" i="10"/>
  <c r="E188" i="10"/>
  <c r="E177" i="10" s="1"/>
  <c r="G188" i="10"/>
  <c r="G177" i="10" s="1"/>
  <c r="C188" i="10"/>
  <c r="C177" i="10" s="1"/>
  <c r="F188" i="10"/>
  <c r="F177" i="10" s="1"/>
  <c r="A88" i="16"/>
  <c r="A77" i="16"/>
  <c r="A154" i="16"/>
  <c r="A143" i="16"/>
  <c r="A132" i="16"/>
  <c r="A46" i="16"/>
  <c r="A79" i="16"/>
  <c r="A35" i="16"/>
  <c r="A68" i="16"/>
  <c r="A110" i="16"/>
  <c r="A121" i="16"/>
  <c r="A134" i="16"/>
  <c r="A123" i="16"/>
  <c r="A156" i="16"/>
  <c r="A112" i="16"/>
  <c r="A145" i="16"/>
  <c r="A101" i="16"/>
  <c r="A66" i="16"/>
  <c r="A22" i="16"/>
  <c r="A11" i="16"/>
  <c r="A44" i="16"/>
  <c r="G165" i="9"/>
  <c r="B13" i="4"/>
  <c r="B18" i="4"/>
  <c r="E23" i="4"/>
  <c r="H23" i="4"/>
  <c r="A43" i="9"/>
  <c r="A43" i="13"/>
  <c r="A43" i="11"/>
  <c r="A43" i="12"/>
  <c r="B51" i="4"/>
  <c r="A53" i="9"/>
  <c r="A53" i="13"/>
  <c r="A53" i="12"/>
  <c r="A53" i="11"/>
  <c r="A60" i="9"/>
  <c r="A60" i="12"/>
  <c r="A60" i="11"/>
  <c r="A60" i="13"/>
  <c r="B71" i="4"/>
  <c r="A77" i="13"/>
  <c r="A88" i="12"/>
  <c r="A88" i="11"/>
  <c r="A77" i="12"/>
  <c r="A77" i="11"/>
  <c r="A88" i="13"/>
  <c r="A85" i="9"/>
  <c r="A85" i="13"/>
  <c r="A85" i="12"/>
  <c r="A85" i="11"/>
  <c r="A92" i="9"/>
  <c r="A92" i="12"/>
  <c r="A92" i="11"/>
  <c r="A92" i="13"/>
  <c r="C99" i="5"/>
  <c r="C99" i="11"/>
  <c r="D99" i="5"/>
  <c r="D99" i="11"/>
  <c r="C100" i="4"/>
  <c r="B113" i="4"/>
  <c r="C133" i="5"/>
  <c r="C133" i="11"/>
  <c r="C133" i="17" s="1"/>
  <c r="B98" i="5"/>
  <c r="B98" i="11"/>
  <c r="E132" i="4"/>
  <c r="E133" i="5"/>
  <c r="E133" i="11"/>
  <c r="E133" i="17" s="1"/>
  <c r="B8" i="5"/>
  <c r="B8" i="11"/>
  <c r="B17" i="4"/>
  <c r="F22" i="5"/>
  <c r="F22" i="11"/>
  <c r="H22" i="5"/>
  <c r="H22" i="11"/>
  <c r="D23" i="4"/>
  <c r="A30" i="9"/>
  <c r="A184" i="9" s="1"/>
  <c r="A30" i="13"/>
  <c r="A30" i="11"/>
  <c r="A184" i="11" s="1"/>
  <c r="A30" i="12"/>
  <c r="A56" i="9"/>
  <c r="A56" i="12"/>
  <c r="A56" i="11"/>
  <c r="A56" i="13"/>
  <c r="A57" i="9"/>
  <c r="A57" i="13"/>
  <c r="A57" i="12"/>
  <c r="A57" i="11"/>
  <c r="B60" i="5"/>
  <c r="B60" i="11"/>
  <c r="B61" i="5"/>
  <c r="B61" i="11"/>
  <c r="B62" i="5"/>
  <c r="B62" i="11"/>
  <c r="B63" i="4"/>
  <c r="B71" i="5"/>
  <c r="B71" i="11"/>
  <c r="B78" i="4"/>
  <c r="B80" i="5"/>
  <c r="B80" i="11"/>
  <c r="A81" i="9"/>
  <c r="A81" i="13"/>
  <c r="A81" i="12"/>
  <c r="A81" i="11"/>
  <c r="B84" i="4"/>
  <c r="A89" i="9"/>
  <c r="A89" i="13"/>
  <c r="A89" i="12"/>
  <c r="A89" i="11"/>
  <c r="A91" i="9"/>
  <c r="A91" i="13"/>
  <c r="A91" i="11"/>
  <c r="A91" i="12"/>
  <c r="B93" i="5"/>
  <c r="B93" i="11"/>
  <c r="B94" i="4"/>
  <c r="B95" i="5"/>
  <c r="B95" i="11"/>
  <c r="A96" i="9"/>
  <c r="A96" i="12"/>
  <c r="A96" i="11"/>
  <c r="A96" i="13"/>
  <c r="B97" i="5"/>
  <c r="B97" i="11"/>
  <c r="F100" i="5"/>
  <c r="F100" i="11"/>
  <c r="G100" i="5"/>
  <c r="G100" i="11"/>
  <c r="H100" i="4"/>
  <c r="A102" i="9"/>
  <c r="A102" i="12"/>
  <c r="A102" i="11"/>
  <c r="A102" i="13"/>
  <c r="A103" i="9"/>
  <c r="A103" i="13"/>
  <c r="A103" i="12"/>
  <c r="A103" i="11"/>
  <c r="B107" i="4"/>
  <c r="B108" i="4"/>
  <c r="B116" i="4"/>
  <c r="B117" i="5"/>
  <c r="B117" i="11"/>
  <c r="B126" i="4"/>
  <c r="B127" i="4"/>
  <c r="B129" i="5"/>
  <c r="B129" i="11"/>
  <c r="B132" i="4"/>
  <c r="G132" i="5"/>
  <c r="G132" i="11"/>
  <c r="F133" i="5"/>
  <c r="F133" i="11"/>
  <c r="F133" i="17" s="1"/>
  <c r="B135" i="5"/>
  <c r="B135" i="11"/>
  <c r="A136" i="9"/>
  <c r="A136" i="12"/>
  <c r="A136" i="11"/>
  <c r="A136" i="13"/>
  <c r="A138" i="9"/>
  <c r="A138" i="13"/>
  <c r="A138" i="12"/>
  <c r="A138" i="11"/>
  <c r="B144" i="5"/>
  <c r="B144" i="11"/>
  <c r="A146" i="9"/>
  <c r="A146" i="13"/>
  <c r="A146" i="12"/>
  <c r="A146" i="11"/>
  <c r="B151" i="4"/>
  <c r="B152" i="5"/>
  <c r="B152" i="11"/>
  <c r="A153" i="9"/>
  <c r="A153" i="13"/>
  <c r="A153" i="12"/>
  <c r="A153" i="11"/>
  <c r="A155" i="9"/>
  <c r="A155" i="11"/>
  <c r="A155" i="13"/>
  <c r="A155" i="12"/>
  <c r="B5" i="5"/>
  <c r="B5" i="11"/>
  <c r="B10" i="4"/>
  <c r="B21" i="5"/>
  <c r="B21" i="11"/>
  <c r="D22" i="4"/>
  <c r="E22" i="5"/>
  <c r="E22" i="11"/>
  <c r="F23" i="4"/>
  <c r="A26" i="9"/>
  <c r="A26" i="13"/>
  <c r="A26" i="12"/>
  <c r="A26" i="11"/>
  <c r="B28" i="5"/>
  <c r="B28" i="11"/>
  <c r="B35" i="4"/>
  <c r="A36" i="9"/>
  <c r="A190" i="9" s="1"/>
  <c r="A36" i="12"/>
  <c r="A36" i="11"/>
  <c r="A190" i="11" s="1"/>
  <c r="A36" i="13"/>
  <c r="A42" i="9"/>
  <c r="A42" i="13"/>
  <c r="A42" i="12"/>
  <c r="A42" i="11"/>
  <c r="B49" i="4"/>
  <c r="B50" i="5"/>
  <c r="B50" i="11"/>
  <c r="A51" i="9"/>
  <c r="A51" i="13"/>
  <c r="A51" i="12"/>
  <c r="A51" i="11"/>
  <c r="A52" i="9"/>
  <c r="A52" i="12"/>
  <c r="A52" i="11"/>
  <c r="A52" i="13"/>
  <c r="A59" i="9"/>
  <c r="A59" i="13"/>
  <c r="A59" i="12"/>
  <c r="A59" i="11"/>
  <c r="B67" i="5"/>
  <c r="B67" i="11"/>
  <c r="B69" i="5"/>
  <c r="B69" i="11"/>
  <c r="B73" i="5"/>
  <c r="B73" i="11"/>
  <c r="B74" i="4"/>
  <c r="B83" i="4"/>
  <c r="A84" i="9"/>
  <c r="A84" i="12"/>
  <c r="A84" i="11"/>
  <c r="A84" i="13"/>
  <c r="B99" i="4"/>
  <c r="C99" i="4"/>
  <c r="D99" i="4"/>
  <c r="D100" i="4"/>
  <c r="B105" i="4"/>
  <c r="B106" i="5"/>
  <c r="B106" i="11"/>
  <c r="B107" i="5"/>
  <c r="B107" i="11"/>
  <c r="A114" i="9"/>
  <c r="A114" i="12"/>
  <c r="A114" i="13"/>
  <c r="A114" i="11"/>
  <c r="B124" i="5"/>
  <c r="B124" i="11"/>
  <c r="B131" i="4"/>
  <c r="C132" i="5"/>
  <c r="C132" i="11"/>
  <c r="D133" i="5"/>
  <c r="D133" i="11"/>
  <c r="D133" i="17" s="1"/>
  <c r="A139" i="9"/>
  <c r="A139" i="12"/>
  <c r="A139" i="13"/>
  <c r="A139" i="11"/>
  <c r="A140" i="9"/>
  <c r="A140" i="12"/>
  <c r="A140" i="11"/>
  <c r="A140" i="13"/>
  <c r="B149" i="5"/>
  <c r="B149" i="11"/>
  <c r="A150" i="9"/>
  <c r="A150" i="13"/>
  <c r="A150" i="12"/>
  <c r="A150" i="11"/>
  <c r="B58" i="5"/>
  <c r="B58" i="11"/>
  <c r="B64" i="4"/>
  <c r="B72" i="4"/>
  <c r="B111" i="4"/>
  <c r="B129" i="4"/>
  <c r="F132" i="4"/>
  <c r="G133" i="4"/>
  <c r="A148" i="9"/>
  <c r="A148" i="12"/>
  <c r="A148" i="11"/>
  <c r="A148" i="13"/>
  <c r="B6" i="5"/>
  <c r="B6" i="11"/>
  <c r="B8" i="4"/>
  <c r="B14" i="4"/>
  <c r="B16" i="4"/>
  <c r="A18" i="9"/>
  <c r="A172" i="9" s="1"/>
  <c r="A18" i="12"/>
  <c r="A161" i="16" s="1"/>
  <c r="A18" i="11"/>
  <c r="A172" i="11" s="1"/>
  <c r="A18" i="13"/>
  <c r="A161" i="17" s="1"/>
  <c r="B22" i="5"/>
  <c r="B22" i="11"/>
  <c r="G22" i="5"/>
  <c r="G22" i="11"/>
  <c r="H22" i="4"/>
  <c r="A23" i="9"/>
  <c r="A23" i="13"/>
  <c r="A166" i="17" s="1"/>
  <c r="A23" i="11"/>
  <c r="A23" i="12"/>
  <c r="A166" i="16" s="1"/>
  <c r="C23" i="4"/>
  <c r="G23" i="5"/>
  <c r="G23" i="11"/>
  <c r="A24" i="9"/>
  <c r="A178" i="9" s="1"/>
  <c r="A24" i="12"/>
  <c r="A167" i="16" s="1"/>
  <c r="A24" i="11"/>
  <c r="A178" i="11" s="1"/>
  <c r="A24" i="13"/>
  <c r="A167" i="17" s="1"/>
  <c r="A25" i="9"/>
  <c r="A179" i="9" s="1"/>
  <c r="A25" i="13"/>
  <c r="A168" i="17" s="1"/>
  <c r="A25" i="12"/>
  <c r="A168" i="16" s="1"/>
  <c r="A25" i="11"/>
  <c r="A179" i="11" s="1"/>
  <c r="B28" i="4"/>
  <c r="B30" i="5"/>
  <c r="B30" i="11"/>
  <c r="A31" i="9"/>
  <c r="A185" i="9" s="1"/>
  <c r="A31" i="12"/>
  <c r="A31" i="11"/>
  <c r="A185" i="11" s="1"/>
  <c r="A31" i="13"/>
  <c r="B32" i="5"/>
  <c r="B32" i="11"/>
  <c r="A34" i="9"/>
  <c r="A34" i="13"/>
  <c r="A34" i="12"/>
  <c r="A34" i="11"/>
  <c r="B36" i="4"/>
  <c r="B38" i="5"/>
  <c r="B38" i="11"/>
  <c r="A41" i="9"/>
  <c r="A41" i="13"/>
  <c r="A41" i="12"/>
  <c r="A41" i="11"/>
  <c r="A47" i="9"/>
  <c r="A47" i="11"/>
  <c r="A47" i="12"/>
  <c r="A47" i="13"/>
  <c r="A50" i="9"/>
  <c r="A50" i="13"/>
  <c r="A50" i="12"/>
  <c r="A50" i="11"/>
  <c r="B52" i="4"/>
  <c r="B53" i="5"/>
  <c r="B53" i="11"/>
  <c r="A54" i="9"/>
  <c r="A54" i="13"/>
  <c r="A54" i="11"/>
  <c r="A54" i="12"/>
  <c r="B56" i="5"/>
  <c r="B56" i="11"/>
  <c r="B57" i="5"/>
  <c r="B57" i="11"/>
  <c r="B60" i="4"/>
  <c r="B61" i="4"/>
  <c r="B62" i="4"/>
  <c r="A70" i="9"/>
  <c r="A70" i="13"/>
  <c r="A70" i="11"/>
  <c r="A70" i="12"/>
  <c r="A72" i="9"/>
  <c r="A72" i="12"/>
  <c r="A72" i="11"/>
  <c r="A72" i="13"/>
  <c r="A73" i="9"/>
  <c r="A73" i="13"/>
  <c r="A73" i="12"/>
  <c r="A73" i="11"/>
  <c r="B80" i="4"/>
  <c r="A82" i="9"/>
  <c r="A82" i="13"/>
  <c r="A82" i="12"/>
  <c r="A82" i="11"/>
  <c r="B85" i="5"/>
  <c r="B85" i="11"/>
  <c r="A86" i="9"/>
  <c r="A86" i="13"/>
  <c r="A86" i="11"/>
  <c r="A86" i="12"/>
  <c r="A87" i="9"/>
  <c r="A87" i="12"/>
  <c r="A87" i="11"/>
  <c r="A87" i="13"/>
  <c r="B89" i="5"/>
  <c r="B89" i="11"/>
  <c r="B93" i="4"/>
  <c r="B95" i="4"/>
  <c r="B96" i="5"/>
  <c r="B96" i="11"/>
  <c r="G99" i="5"/>
  <c r="G99" i="11"/>
  <c r="H99" i="5"/>
  <c r="H99" i="11"/>
  <c r="B100" i="4"/>
  <c r="G100" i="4"/>
  <c r="B101" i="5"/>
  <c r="B101" i="11"/>
  <c r="B102" i="5"/>
  <c r="B102" i="11"/>
  <c r="A104" i="9"/>
  <c r="A104" i="11"/>
  <c r="A104" i="13"/>
  <c r="A104" i="12"/>
  <c r="A109" i="9"/>
  <c r="A109" i="11"/>
  <c r="A109" i="13"/>
  <c r="A109" i="12"/>
  <c r="A110" i="12"/>
  <c r="A121" i="11"/>
  <c r="A121" i="13"/>
  <c r="A110" i="11"/>
  <c r="A121" i="12"/>
  <c r="A110" i="13"/>
  <c r="B117" i="4"/>
  <c r="A118" i="9"/>
  <c r="A118" i="12"/>
  <c r="A118" i="11"/>
  <c r="A118" i="13"/>
  <c r="A119" i="9"/>
  <c r="A119" i="13"/>
  <c r="A119" i="12"/>
  <c r="A119" i="11"/>
  <c r="A122" i="9"/>
  <c r="A122" i="12"/>
  <c r="A122" i="13"/>
  <c r="A122" i="11"/>
  <c r="A128" i="9"/>
  <c r="A128" i="11"/>
  <c r="A128" i="13"/>
  <c r="A128" i="12"/>
  <c r="F132" i="5"/>
  <c r="F132" i="11"/>
  <c r="G132" i="4"/>
  <c r="B133" i="5"/>
  <c r="B133" i="11"/>
  <c r="B133" i="17" s="1"/>
  <c r="C133" i="4"/>
  <c r="G133" i="5"/>
  <c r="G133" i="11"/>
  <c r="G133" i="17" s="1"/>
  <c r="H133" i="5"/>
  <c r="H133" i="11"/>
  <c r="H133" i="17" s="1"/>
  <c r="B135" i="4"/>
  <c r="A137" i="9"/>
  <c r="A137" i="13"/>
  <c r="A137" i="12"/>
  <c r="A137" i="11"/>
  <c r="B141" i="5"/>
  <c r="B141" i="11"/>
  <c r="A142" i="9"/>
  <c r="A142" i="13"/>
  <c r="A142" i="12"/>
  <c r="A142" i="11"/>
  <c r="B144" i="4"/>
  <c r="B146" i="5"/>
  <c r="B146" i="11"/>
  <c r="B152" i="4"/>
  <c r="B153" i="5"/>
  <c r="B153" i="11"/>
  <c r="A157" i="9"/>
  <c r="A157" i="13"/>
  <c r="A157" i="12"/>
  <c r="A157" i="11"/>
  <c r="A14" i="9"/>
  <c r="A168" i="9" s="1"/>
  <c r="A14" i="12"/>
  <c r="A168" i="12" s="1"/>
  <c r="A14" i="11"/>
  <c r="A168" i="11" s="1"/>
  <c r="A14" i="13"/>
  <c r="A168" i="13" s="1"/>
  <c r="B20" i="4"/>
  <c r="G23" i="4"/>
  <c r="B34" i="4"/>
  <c r="B35" i="5"/>
  <c r="B35" i="11"/>
  <c r="B36" i="5"/>
  <c r="B36" i="11"/>
  <c r="B42" i="4"/>
  <c r="A45" i="9"/>
  <c r="A45" i="13"/>
  <c r="A45" i="12"/>
  <c r="A45" i="11"/>
  <c r="B52" i="5"/>
  <c r="B52" i="11"/>
  <c r="B65" i="4"/>
  <c r="B84" i="5"/>
  <c r="B84" i="11"/>
  <c r="B99" i="5"/>
  <c r="B99" i="11"/>
  <c r="B105" i="5"/>
  <c r="B105" i="11"/>
  <c r="A108" i="9"/>
  <c r="A108" i="11"/>
  <c r="A108" i="13"/>
  <c r="A108" i="12"/>
  <c r="B139" i="4"/>
  <c r="B140" i="5"/>
  <c r="B140" i="11"/>
  <c r="A141" i="9"/>
  <c r="A141" i="13"/>
  <c r="A141" i="12"/>
  <c r="A141" i="11"/>
  <c r="A147" i="9"/>
  <c r="A147" i="11"/>
  <c r="A147" i="13"/>
  <c r="A147" i="12"/>
  <c r="A13" i="9"/>
  <c r="A167" i="9" s="1"/>
  <c r="A13" i="11"/>
  <c r="A167" i="11" s="1"/>
  <c r="A13" i="13"/>
  <c r="A167" i="13" s="1"/>
  <c r="A13" i="12"/>
  <c r="A167" i="12" s="1"/>
  <c r="B74" i="5"/>
  <c r="B74" i="11"/>
  <c r="B146" i="4"/>
  <c r="B7" i="4"/>
  <c r="B16" i="5"/>
  <c r="B16" i="11"/>
  <c r="C23" i="5"/>
  <c r="C23" i="11"/>
  <c r="A38" i="9"/>
  <c r="A38" i="13"/>
  <c r="A38" i="11"/>
  <c r="A38" i="12"/>
  <c r="B43" i="4"/>
  <c r="A5" i="9"/>
  <c r="A159" i="9" s="1"/>
  <c r="A5" i="11"/>
  <c r="A159" i="11" s="1"/>
  <c r="A5" i="13"/>
  <c r="A159" i="13" s="1"/>
  <c r="A5" i="12"/>
  <c r="A159" i="12" s="1"/>
  <c r="A6" i="9"/>
  <c r="A160" i="9" s="1"/>
  <c r="A6" i="12"/>
  <c r="A160" i="12" s="1"/>
  <c r="A6" i="11"/>
  <c r="A160" i="11" s="1"/>
  <c r="A6" i="13"/>
  <c r="A160" i="13" s="1"/>
  <c r="B12" i="5"/>
  <c r="B12" i="11"/>
  <c r="B19" i="5"/>
  <c r="B19" i="11"/>
  <c r="A21" i="9"/>
  <c r="A175" i="9" s="1"/>
  <c r="A21" i="11"/>
  <c r="A175" i="11" s="1"/>
  <c r="A21" i="13"/>
  <c r="A164" i="17" s="1"/>
  <c r="A21" i="12"/>
  <c r="A164" i="16" s="1"/>
  <c r="E22" i="4"/>
  <c r="F22" i="4"/>
  <c r="G22" i="4"/>
  <c r="D23" i="5"/>
  <c r="D23" i="11"/>
  <c r="A28" i="9"/>
  <c r="A182" i="9" s="1"/>
  <c r="A28" i="12"/>
  <c r="A28" i="11"/>
  <c r="A182" i="11" s="1"/>
  <c r="A28" i="13"/>
  <c r="B40" i="4"/>
  <c r="B50" i="4"/>
  <c r="B57" i="4"/>
  <c r="B58" i="4"/>
  <c r="B67" i="4"/>
  <c r="B75" i="5"/>
  <c r="B75" i="11"/>
  <c r="B76" i="5"/>
  <c r="B76" i="11"/>
  <c r="A83" i="9"/>
  <c r="A83" i="13"/>
  <c r="A83" i="12"/>
  <c r="A83" i="11"/>
  <c r="B90" i="5"/>
  <c r="B90" i="11"/>
  <c r="A99" i="9"/>
  <c r="A99" i="13"/>
  <c r="A99" i="12"/>
  <c r="A99" i="11"/>
  <c r="B100" i="5"/>
  <c r="B100" i="11"/>
  <c r="F100" i="4"/>
  <c r="A145" i="13"/>
  <c r="A134" i="13"/>
  <c r="A123" i="13"/>
  <c r="A156" i="12"/>
  <c r="A156" i="11"/>
  <c r="A112" i="11"/>
  <c r="A112" i="13"/>
  <c r="A145" i="12"/>
  <c r="A134" i="12"/>
  <c r="A123" i="12"/>
  <c r="A145" i="11"/>
  <c r="A101" i="11"/>
  <c r="A112" i="12"/>
  <c r="A134" i="11"/>
  <c r="A101" i="12"/>
  <c r="A123" i="11"/>
  <c r="A101" i="13"/>
  <c r="A156" i="13"/>
  <c r="B106" i="4"/>
  <c r="A107" i="9"/>
  <c r="A107" i="13"/>
  <c r="A107" i="12"/>
  <c r="A107" i="11"/>
  <c r="A116" i="9"/>
  <c r="A116" i="11"/>
  <c r="A116" i="13"/>
  <c r="A116" i="12"/>
  <c r="B124" i="4"/>
  <c r="C132" i="4"/>
  <c r="D132" i="5"/>
  <c r="D132" i="11"/>
  <c r="D133" i="4"/>
  <c r="E133" i="4"/>
  <c r="B138" i="4"/>
  <c r="B148" i="5"/>
  <c r="B148" i="11"/>
  <c r="A149" i="9"/>
  <c r="A149" i="13"/>
  <c r="A149" i="12"/>
  <c r="A149" i="11"/>
  <c r="B157" i="5"/>
  <c r="B157" i="11"/>
  <c r="A4" i="9"/>
  <c r="A4" i="11"/>
  <c r="A4" i="13"/>
  <c r="A4" i="12"/>
  <c r="A27" i="9"/>
  <c r="A181" i="9" s="1"/>
  <c r="A27" i="13"/>
  <c r="A27" i="12"/>
  <c r="A27" i="11"/>
  <c r="A181" i="11" s="1"/>
  <c r="A65" i="9"/>
  <c r="A65" i="13"/>
  <c r="A65" i="12"/>
  <c r="A65" i="11"/>
  <c r="B90" i="4"/>
  <c r="B91" i="5"/>
  <c r="B91" i="11"/>
  <c r="B97" i="4"/>
  <c r="E100" i="4"/>
  <c r="B119" i="4"/>
  <c r="A131" i="9"/>
  <c r="A131" i="13"/>
  <c r="A131" i="12"/>
  <c r="A131" i="11"/>
  <c r="B137" i="4"/>
  <c r="B153" i="4"/>
  <c r="B155" i="5"/>
  <c r="B155" i="11"/>
  <c r="B5" i="4"/>
  <c r="B6" i="4"/>
  <c r="A7" i="9"/>
  <c r="A161" i="9" s="1"/>
  <c r="A7" i="13"/>
  <c r="A161" i="13" s="1"/>
  <c r="A7" i="12"/>
  <c r="A161" i="12" s="1"/>
  <c r="A7" i="11"/>
  <c r="A161" i="11" s="1"/>
  <c r="A9" i="9"/>
  <c r="A163" i="9" s="1"/>
  <c r="A9" i="11"/>
  <c r="A163" i="11" s="1"/>
  <c r="A9" i="13"/>
  <c r="A163" i="13" s="1"/>
  <c r="A9" i="12"/>
  <c r="A163" i="12" s="1"/>
  <c r="A10" i="9"/>
  <c r="A164" i="9" s="1"/>
  <c r="A10" i="12"/>
  <c r="A164" i="12" s="1"/>
  <c r="A10" i="13"/>
  <c r="A164" i="13" s="1"/>
  <c r="A10" i="11"/>
  <c r="A164" i="11" s="1"/>
  <c r="A12" i="9"/>
  <c r="A12" i="11"/>
  <c r="A12" i="13"/>
  <c r="A12" i="12"/>
  <c r="A17" i="9"/>
  <c r="A171" i="9" s="1"/>
  <c r="A17" i="11"/>
  <c r="A171" i="11" s="1"/>
  <c r="A17" i="13"/>
  <c r="A160" i="17" s="1"/>
  <c r="A17" i="12"/>
  <c r="A160" i="16" s="1"/>
  <c r="B18" i="5"/>
  <c r="B18" i="11"/>
  <c r="B22" i="4"/>
  <c r="C22" i="4"/>
  <c r="B23" i="5"/>
  <c r="B23" i="11"/>
  <c r="H23" i="5"/>
  <c r="H23" i="11"/>
  <c r="B24" i="5"/>
  <c r="B24" i="11"/>
  <c r="B25" i="5"/>
  <c r="B25" i="11"/>
  <c r="B30" i="4"/>
  <c r="B31" i="5"/>
  <c r="B31" i="11"/>
  <c r="B32" i="4"/>
  <c r="B38" i="4"/>
  <c r="A39" i="9"/>
  <c r="A39" i="11"/>
  <c r="A39" i="13"/>
  <c r="A39" i="12"/>
  <c r="A40" i="9"/>
  <c r="A40" i="12"/>
  <c r="A40" i="11"/>
  <c r="A40" i="13"/>
  <c r="B45" i="5"/>
  <c r="B45" i="11"/>
  <c r="B47" i="5"/>
  <c r="B47" i="11"/>
  <c r="A49" i="9"/>
  <c r="A49" i="13"/>
  <c r="A49" i="12"/>
  <c r="A49" i="11"/>
  <c r="B53" i="4"/>
  <c r="B54" i="5"/>
  <c r="B54" i="11"/>
  <c r="B56" i="4"/>
  <c r="A58" i="9"/>
  <c r="A58" i="13"/>
  <c r="A58" i="12"/>
  <c r="A58" i="11"/>
  <c r="A63" i="9"/>
  <c r="A63" i="12"/>
  <c r="A63" i="11"/>
  <c r="A63" i="13"/>
  <c r="A64" i="9"/>
  <c r="A64" i="12"/>
  <c r="A64" i="11"/>
  <c r="A64" i="13"/>
  <c r="B72" i="5"/>
  <c r="B72" i="11"/>
  <c r="A78" i="9"/>
  <c r="A78" i="13"/>
  <c r="A78" i="11"/>
  <c r="A78" i="12"/>
  <c r="B85" i="4"/>
  <c r="B86" i="5"/>
  <c r="B86" i="11"/>
  <c r="B87" i="5"/>
  <c r="B87" i="11"/>
  <c r="B89" i="4"/>
  <c r="A90" i="9"/>
  <c r="A90" i="13"/>
  <c r="A90" i="12"/>
  <c r="A90" i="11"/>
  <c r="A94" i="9"/>
  <c r="A94" i="13"/>
  <c r="A94" i="11"/>
  <c r="A94" i="12"/>
  <c r="B96" i="4"/>
  <c r="A98" i="9"/>
  <c r="A98" i="13"/>
  <c r="A98" i="12"/>
  <c r="A98" i="11"/>
  <c r="F99" i="5"/>
  <c r="F99" i="11"/>
  <c r="G99" i="4"/>
  <c r="H99" i="4"/>
  <c r="B100" i="9"/>
  <c r="B101" i="4"/>
  <c r="B102" i="4"/>
  <c r="B104" i="5"/>
  <c r="B104" i="11"/>
  <c r="B109" i="5"/>
  <c r="B109" i="11"/>
  <c r="A111" i="9"/>
  <c r="A111" i="13"/>
  <c r="A111" i="12"/>
  <c r="A111" i="11"/>
  <c r="B118" i="5"/>
  <c r="B118" i="11"/>
  <c r="B119" i="5"/>
  <c r="B119" i="11"/>
  <c r="A120" i="9"/>
  <c r="A120" i="11"/>
  <c r="A120" i="13"/>
  <c r="A120" i="12"/>
  <c r="A125" i="9"/>
  <c r="A125" i="11"/>
  <c r="A125" i="13"/>
  <c r="A125" i="12"/>
  <c r="A126" i="9"/>
  <c r="A126" i="12"/>
  <c r="A126" i="11"/>
  <c r="A126" i="13"/>
  <c r="A127" i="9"/>
  <c r="A127" i="13"/>
  <c r="A127" i="12"/>
  <c r="A127" i="11"/>
  <c r="B128" i="5"/>
  <c r="B128" i="11"/>
  <c r="H132" i="5"/>
  <c r="H132" i="11"/>
  <c r="B133" i="4"/>
  <c r="H133" i="4"/>
  <c r="B137" i="5"/>
  <c r="B137" i="11"/>
  <c r="B140" i="4"/>
  <c r="B141" i="4"/>
  <c r="B142" i="5"/>
  <c r="B142" i="11"/>
  <c r="B149" i="4"/>
  <c r="B150" i="5"/>
  <c r="B150" i="11"/>
  <c r="A151" i="9"/>
  <c r="A151" i="13"/>
  <c r="A151" i="12"/>
  <c r="A151" i="11"/>
  <c r="B9" i="4"/>
  <c r="D22" i="5"/>
  <c r="D22" i="11"/>
  <c r="F23" i="5"/>
  <c r="F23" i="11"/>
  <c r="B27" i="4"/>
  <c r="B41" i="4"/>
  <c r="B82" i="4"/>
  <c r="B83" i="5"/>
  <c r="B83" i="11"/>
  <c r="D100" i="5"/>
  <c r="D100" i="11"/>
  <c r="A115" i="9"/>
  <c r="A115" i="13"/>
  <c r="A115" i="12"/>
  <c r="A115" i="11"/>
  <c r="B122" i="4"/>
  <c r="B131" i="5"/>
  <c r="B131" i="11"/>
  <c r="A132" i="11"/>
  <c r="A154" i="13"/>
  <c r="A132" i="13"/>
  <c r="A143" i="13"/>
  <c r="A143" i="12"/>
  <c r="A143" i="11"/>
  <c r="A154" i="12"/>
  <c r="A132" i="12"/>
  <c r="A154" i="11"/>
  <c r="A68" i="12"/>
  <c r="A68" i="11"/>
  <c r="A46" i="13"/>
  <c r="A35" i="13"/>
  <c r="A46" i="11"/>
  <c r="A68" i="13"/>
  <c r="A35" i="12"/>
  <c r="A79" i="11"/>
  <c r="A79" i="12"/>
  <c r="A35" i="11"/>
  <c r="A189" i="11" s="1"/>
  <c r="A79" i="13"/>
  <c r="A46" i="12"/>
  <c r="B73" i="4"/>
  <c r="B23" i="9"/>
  <c r="B29" i="4"/>
  <c r="A32" i="9"/>
  <c r="A186" i="9" s="1"/>
  <c r="A32" i="12"/>
  <c r="A32" i="11"/>
  <c r="A186" i="11" s="1"/>
  <c r="A32" i="13"/>
  <c r="B39" i="4"/>
  <c r="A55" i="9"/>
  <c r="A55" i="11"/>
  <c r="A55" i="13"/>
  <c r="A55" i="12"/>
  <c r="B12" i="4"/>
  <c r="B13" i="5"/>
  <c r="B13" i="11"/>
  <c r="B14" i="5"/>
  <c r="B14" i="11"/>
  <c r="B19" i="4"/>
  <c r="B20" i="5"/>
  <c r="B20" i="11"/>
  <c r="A11" i="13"/>
  <c r="A165" i="13" s="1"/>
  <c r="A44" i="12"/>
  <c r="A22" i="12"/>
  <c r="A165" i="16" s="1"/>
  <c r="A44" i="11"/>
  <c r="A66" i="13"/>
  <c r="A11" i="12"/>
  <c r="A165" i="12" s="1"/>
  <c r="A66" i="12"/>
  <c r="A22" i="11"/>
  <c r="A176" i="11" s="1"/>
  <c r="A44" i="13"/>
  <c r="A22" i="13"/>
  <c r="A165" i="17" s="1"/>
  <c r="A11" i="11"/>
  <c r="A165" i="11" s="1"/>
  <c r="A66" i="11"/>
  <c r="C22" i="5"/>
  <c r="C22" i="11"/>
  <c r="E23" i="5"/>
  <c r="E23" i="11"/>
  <c r="B27" i="5"/>
  <c r="B27" i="11"/>
  <c r="A29" i="9"/>
  <c r="A183" i="9" s="1"/>
  <c r="A29" i="13"/>
  <c r="A29" i="12"/>
  <c r="A29" i="11"/>
  <c r="A183" i="11" s="1"/>
  <c r="B34" i="5"/>
  <c r="B34" i="11"/>
  <c r="B41" i="5"/>
  <c r="B41" i="11"/>
  <c r="B42" i="5"/>
  <c r="B42" i="11"/>
  <c r="B43" i="5"/>
  <c r="B43" i="11"/>
  <c r="B51" i="5"/>
  <c r="B51" i="11"/>
  <c r="B65" i="5"/>
  <c r="B65" i="11"/>
  <c r="A67" i="9"/>
  <c r="A67" i="13"/>
  <c r="A67" i="11"/>
  <c r="A67" i="12"/>
  <c r="A69" i="9"/>
  <c r="A69" i="13"/>
  <c r="A69" i="12"/>
  <c r="A69" i="11"/>
  <c r="B75" i="4"/>
  <c r="A76" i="9"/>
  <c r="A76" i="12"/>
  <c r="A76" i="11"/>
  <c r="A76" i="13"/>
  <c r="B82" i="5"/>
  <c r="B82" i="11"/>
  <c r="B91" i="4"/>
  <c r="A93" i="9"/>
  <c r="A93" i="13"/>
  <c r="A93" i="12"/>
  <c r="A93" i="11"/>
  <c r="B98" i="4"/>
  <c r="A100" i="9"/>
  <c r="A100" i="13"/>
  <c r="A100" i="11"/>
  <c r="A100" i="12"/>
  <c r="C100" i="5"/>
  <c r="C100" i="11"/>
  <c r="A105" i="9"/>
  <c r="A105" i="11"/>
  <c r="A105" i="13"/>
  <c r="A105" i="12"/>
  <c r="A106" i="9"/>
  <c r="A106" i="12"/>
  <c r="A106" i="13"/>
  <c r="A106" i="11"/>
  <c r="A113" i="9"/>
  <c r="A113" i="11"/>
  <c r="A113" i="13"/>
  <c r="A113" i="12"/>
  <c r="B115" i="5"/>
  <c r="B115" i="11"/>
  <c r="B122" i="5"/>
  <c r="B122" i="11"/>
  <c r="B130" i="4"/>
  <c r="B132" i="5"/>
  <c r="B132" i="11"/>
  <c r="D132" i="4"/>
  <c r="A133" i="9"/>
  <c r="A133" i="11"/>
  <c r="A133" i="12"/>
  <c r="A133" i="13"/>
  <c r="B135" i="9"/>
  <c r="B139" i="5"/>
  <c r="B139" i="11"/>
  <c r="B148" i="4"/>
  <c r="B157" i="4"/>
  <c r="A20" i="9"/>
  <c r="A174" i="9" s="1"/>
  <c r="A20" i="11"/>
  <c r="A174" i="11" s="1"/>
  <c r="A20" i="13"/>
  <c r="A163" i="17" s="1"/>
  <c r="A20" i="12"/>
  <c r="A163" i="16" s="1"/>
  <c r="A74" i="9"/>
  <c r="A74" i="13"/>
  <c r="A74" i="12"/>
  <c r="A74" i="11"/>
  <c r="A75" i="9"/>
  <c r="A75" i="13"/>
  <c r="A75" i="12"/>
  <c r="A75" i="11"/>
  <c r="E99" i="4"/>
  <c r="B104" i="4"/>
  <c r="B113" i="5"/>
  <c r="B113" i="11"/>
  <c r="B120" i="4"/>
  <c r="A124" i="9"/>
  <c r="A124" i="11"/>
  <c r="A124" i="13"/>
  <c r="A124" i="12"/>
  <c r="B130" i="5"/>
  <c r="B130" i="11"/>
  <c r="E132" i="5"/>
  <c r="E132" i="11"/>
  <c r="F133" i="4"/>
  <c r="B138" i="5"/>
  <c r="B138" i="11"/>
  <c r="B155" i="4"/>
  <c r="B7" i="5"/>
  <c r="B7" i="11"/>
  <c r="A8" i="9"/>
  <c r="A162" i="9" s="1"/>
  <c r="A8" i="11"/>
  <c r="A162" i="11" s="1"/>
  <c r="A8" i="13"/>
  <c r="A162" i="13" s="1"/>
  <c r="A8" i="12"/>
  <c r="A162" i="12" s="1"/>
  <c r="B9" i="5"/>
  <c r="B9" i="11"/>
  <c r="B10" i="5"/>
  <c r="B10" i="11"/>
  <c r="A15" i="9"/>
  <c r="A15" i="13"/>
  <c r="A15" i="12"/>
  <c r="A15" i="11"/>
  <c r="A16" i="9"/>
  <c r="A170" i="9" s="1"/>
  <c r="A16" i="11"/>
  <c r="A170" i="11" s="1"/>
  <c r="A16" i="13"/>
  <c r="A159" i="17" s="1"/>
  <c r="A16" i="12"/>
  <c r="A159" i="16" s="1"/>
  <c r="B17" i="5"/>
  <c r="B17" i="11"/>
  <c r="A19" i="9"/>
  <c r="A173" i="9" s="1"/>
  <c r="A19" i="13"/>
  <c r="A162" i="17" s="1"/>
  <c r="A19" i="12"/>
  <c r="A162" i="16" s="1"/>
  <c r="A19" i="11"/>
  <c r="A173" i="11" s="1"/>
  <c r="B21" i="4"/>
  <c r="B22" i="9"/>
  <c r="B23" i="4"/>
  <c r="B24" i="4"/>
  <c r="B25" i="4"/>
  <c r="B29" i="5"/>
  <c r="B29" i="11"/>
  <c r="B31" i="4"/>
  <c r="A33" i="9"/>
  <c r="A187" i="9" s="1"/>
  <c r="A33" i="13"/>
  <c r="A33" i="12"/>
  <c r="A33" i="11"/>
  <c r="A187" i="11" s="1"/>
  <c r="A37" i="9"/>
  <c r="A37" i="13"/>
  <c r="A37" i="12"/>
  <c r="A37" i="11"/>
  <c r="B39" i="5"/>
  <c r="B39" i="11"/>
  <c r="B40" i="5"/>
  <c r="B40" i="11"/>
  <c r="B45" i="4"/>
  <c r="B47" i="4"/>
  <c r="B49" i="5"/>
  <c r="B49" i="11"/>
  <c r="B54" i="4"/>
  <c r="A61" i="9"/>
  <c r="A61" i="13"/>
  <c r="A61" i="12"/>
  <c r="A61" i="11"/>
  <c r="A62" i="9"/>
  <c r="A62" i="13"/>
  <c r="A62" i="11"/>
  <c r="A62" i="12"/>
  <c r="B63" i="5"/>
  <c r="B63" i="11"/>
  <c r="B64" i="5"/>
  <c r="B64" i="11"/>
  <c r="B69" i="4"/>
  <c r="A71" i="9"/>
  <c r="A71" i="11"/>
  <c r="A71" i="13"/>
  <c r="A71" i="12"/>
  <c r="B76" i="4"/>
  <c r="B78" i="5"/>
  <c r="B78" i="11"/>
  <c r="A80" i="9"/>
  <c r="A80" i="12"/>
  <c r="A80" i="11"/>
  <c r="A80" i="13"/>
  <c r="B86" i="4"/>
  <c r="B87" i="4"/>
  <c r="B94" i="5"/>
  <c r="B94" i="11"/>
  <c r="A95" i="9"/>
  <c r="A95" i="11"/>
  <c r="A95" i="13"/>
  <c r="A95" i="12"/>
  <c r="A97" i="9"/>
  <c r="A97" i="13"/>
  <c r="A97" i="12"/>
  <c r="A97" i="11"/>
  <c r="B99" i="9"/>
  <c r="E99" i="5"/>
  <c r="E99" i="11"/>
  <c r="F99" i="4"/>
  <c r="E100" i="5"/>
  <c r="E100" i="11"/>
  <c r="H100" i="5"/>
  <c r="H100" i="11"/>
  <c r="B108" i="5"/>
  <c r="B108" i="11"/>
  <c r="B109" i="4"/>
  <c r="B111" i="5"/>
  <c r="B111" i="11"/>
  <c r="B115" i="4"/>
  <c r="B116" i="5"/>
  <c r="B116" i="11"/>
  <c r="A117" i="9"/>
  <c r="A117" i="11"/>
  <c r="A117" i="12"/>
  <c r="A117" i="13"/>
  <c r="B118" i="4"/>
  <c r="B120" i="5"/>
  <c r="B120" i="11"/>
  <c r="B126" i="5"/>
  <c r="B126" i="11"/>
  <c r="B127" i="5"/>
  <c r="B127" i="11"/>
  <c r="B128" i="4"/>
  <c r="A129" i="9"/>
  <c r="A129" i="11"/>
  <c r="A129" i="13"/>
  <c r="A129" i="12"/>
  <c r="A130" i="9"/>
  <c r="A130" i="12"/>
  <c r="A130" i="13"/>
  <c r="A130" i="11"/>
  <c r="H132" i="4"/>
  <c r="B133" i="9"/>
  <c r="B133" i="18" s="1"/>
  <c r="B133" i="6" s="1"/>
  <c r="A135" i="9"/>
  <c r="A135" i="13"/>
  <c r="A135" i="12"/>
  <c r="A135" i="11"/>
  <c r="B142" i="4"/>
  <c r="A144" i="9"/>
  <c r="A144" i="12"/>
  <c r="A144" i="11"/>
  <c r="A144" i="13"/>
  <c r="B150" i="4"/>
  <c r="B151" i="5"/>
  <c r="B151" i="11"/>
  <c r="A152" i="9"/>
  <c r="A152" i="12"/>
  <c r="A152" i="11"/>
  <c r="A152" i="13"/>
  <c r="E188" i="11"/>
  <c r="E177" i="11" s="1"/>
  <c r="G188" i="11"/>
  <c r="G177" i="11" s="1"/>
  <c r="D188" i="11"/>
  <c r="D177" i="11" s="1"/>
  <c r="H188" i="11"/>
  <c r="H177" i="11" s="1"/>
  <c r="I177" i="11" s="1"/>
  <c r="F188" i="11"/>
  <c r="F177" i="11" s="1"/>
  <c r="C188" i="11"/>
  <c r="C177" i="11" s="1"/>
  <c r="B166" i="9"/>
  <c r="B163" i="9"/>
  <c r="B164" i="9"/>
  <c r="E165" i="9"/>
  <c r="F165" i="9"/>
  <c r="A88" i="9"/>
  <c r="A77" i="9"/>
  <c r="A154" i="9"/>
  <c r="A143" i="9"/>
  <c r="A132" i="9"/>
  <c r="A79" i="9"/>
  <c r="A68" i="9"/>
  <c r="A46" i="9"/>
  <c r="A35" i="9"/>
  <c r="A189" i="9" s="1"/>
  <c r="A121" i="9"/>
  <c r="A110" i="9"/>
  <c r="B161" i="9"/>
  <c r="B167" i="9"/>
  <c r="A112" i="9"/>
  <c r="A101" i="9"/>
  <c r="A156" i="9"/>
  <c r="A145" i="9"/>
  <c r="A134" i="9"/>
  <c r="A123" i="9"/>
  <c r="B162" i="9"/>
  <c r="A66" i="9"/>
  <c r="A22" i="9"/>
  <c r="A176" i="9" s="1"/>
  <c r="A11" i="9"/>
  <c r="A165" i="9" s="1"/>
  <c r="A44" i="9"/>
  <c r="B159" i="9"/>
  <c r="B160" i="9"/>
  <c r="C165" i="9"/>
  <c r="D165" i="9"/>
  <c r="C188" i="9"/>
  <c r="C177" i="9" s="1"/>
  <c r="D188" i="9"/>
  <c r="D177" i="9" s="1"/>
  <c r="E188" i="9"/>
  <c r="E177" i="9" s="1"/>
  <c r="G188" i="9"/>
  <c r="G177" i="9" s="1"/>
  <c r="F188" i="9"/>
  <c r="F177" i="9" s="1"/>
  <c r="H188" i="9"/>
  <c r="H177" i="9" s="1"/>
  <c r="I177" i="9" s="1"/>
  <c r="B9" i="3"/>
  <c r="H23" i="3"/>
  <c r="B41" i="3"/>
  <c r="A42" i="3"/>
  <c r="A42" i="6"/>
  <c r="A42" i="7"/>
  <c r="A84" i="3"/>
  <c r="A84" i="6"/>
  <c r="A84" i="7"/>
  <c r="B113" i="3"/>
  <c r="A114" i="6"/>
  <c r="A114" i="7"/>
  <c r="A140" i="3"/>
  <c r="A140" i="6"/>
  <c r="A140" i="7"/>
  <c r="B96" i="3"/>
  <c r="B13" i="3"/>
  <c r="D23" i="3"/>
  <c r="B29" i="3"/>
  <c r="A34" i="3"/>
  <c r="A34" i="6"/>
  <c r="A34" i="7"/>
  <c r="B43" i="3"/>
  <c r="B12" i="3"/>
  <c r="A14" i="4"/>
  <c r="A168" i="4" s="1"/>
  <c r="A14" i="6"/>
  <c r="A168" i="6" s="1"/>
  <c r="A14" i="7"/>
  <c r="A168" i="7" s="1"/>
  <c r="B19" i="3"/>
  <c r="A43" i="3"/>
  <c r="A43" i="6"/>
  <c r="A43" i="7"/>
  <c r="A45" i="6"/>
  <c r="A45" i="7"/>
  <c r="A53" i="6"/>
  <c r="A53" i="7"/>
  <c r="A60" i="3"/>
  <c r="A60" i="6"/>
  <c r="A60" i="7"/>
  <c r="A88" i="4"/>
  <c r="A77" i="6"/>
  <c r="A88" i="6"/>
  <c r="A88" i="7"/>
  <c r="A77" i="7"/>
  <c r="A85" i="6"/>
  <c r="A85" i="7"/>
  <c r="B91" i="3"/>
  <c r="A92" i="3"/>
  <c r="A92" i="6"/>
  <c r="A92" i="7"/>
  <c r="B98" i="3"/>
  <c r="A108" i="3"/>
  <c r="A108" i="6"/>
  <c r="A108" i="7"/>
  <c r="B111" i="3"/>
  <c r="A115" i="5"/>
  <c r="A115" i="6"/>
  <c r="A115" i="7"/>
  <c r="B130" i="3"/>
  <c r="A132" i="5"/>
  <c r="A143" i="6"/>
  <c r="A154" i="6"/>
  <c r="A132" i="6"/>
  <c r="A154" i="7"/>
  <c r="A143" i="7"/>
  <c r="A132" i="7"/>
  <c r="D132" i="3"/>
  <c r="E132" i="3"/>
  <c r="F133" i="3"/>
  <c r="A141" i="6"/>
  <c r="A141" i="7"/>
  <c r="A147" i="6"/>
  <c r="A147" i="7"/>
  <c r="B155" i="3"/>
  <c r="B157" i="3"/>
  <c r="A13" i="6"/>
  <c r="A167" i="6" s="1"/>
  <c r="A13" i="7"/>
  <c r="A167" i="7" s="1"/>
  <c r="A35" i="5"/>
  <c r="A79" i="6"/>
  <c r="A35" i="6"/>
  <c r="A46" i="6"/>
  <c r="A68" i="6"/>
  <c r="A46" i="7"/>
  <c r="A79" i="7"/>
  <c r="A35" i="7"/>
  <c r="A68" i="7"/>
  <c r="E99" i="3"/>
  <c r="G100" i="3"/>
  <c r="H133" i="3"/>
  <c r="B21" i="3"/>
  <c r="B23" i="3"/>
  <c r="A30" i="6"/>
  <c r="A30" i="7"/>
  <c r="B31" i="3"/>
  <c r="A32" i="4"/>
  <c r="A32" i="6"/>
  <c r="A32" i="7"/>
  <c r="B35" i="3"/>
  <c r="A38" i="6"/>
  <c r="A38" i="7"/>
  <c r="B42" i="3"/>
  <c r="B45" i="3"/>
  <c r="B47" i="3"/>
  <c r="B51" i="3"/>
  <c r="B54" i="3"/>
  <c r="A55" i="3"/>
  <c r="A55" i="6"/>
  <c r="A55" i="7"/>
  <c r="A56" i="5"/>
  <c r="A56" i="6"/>
  <c r="A56" i="7"/>
  <c r="A57" i="5"/>
  <c r="A57" i="6"/>
  <c r="A57" i="7"/>
  <c r="B69" i="3"/>
  <c r="B76" i="3"/>
  <c r="A81" i="4"/>
  <c r="A81" i="6"/>
  <c r="A81" i="7"/>
  <c r="B83" i="3"/>
  <c r="B86" i="3"/>
  <c r="A89" i="5"/>
  <c r="A89" i="6"/>
  <c r="A89" i="7"/>
  <c r="A91" i="6"/>
  <c r="A91" i="7"/>
  <c r="A96" i="5"/>
  <c r="A96" i="6"/>
  <c r="A96" i="7"/>
  <c r="F99" i="3"/>
  <c r="A102" i="6"/>
  <c r="A102" i="7"/>
  <c r="A103" i="3"/>
  <c r="A103" i="6"/>
  <c r="A103" i="7"/>
  <c r="B106" i="3"/>
  <c r="B109" i="3"/>
  <c r="B115" i="3"/>
  <c r="B118" i="3"/>
  <c r="B124" i="3"/>
  <c r="H132" i="3"/>
  <c r="A136" i="4"/>
  <c r="A136" i="6"/>
  <c r="A136" i="7"/>
  <c r="A138" i="6"/>
  <c r="A138" i="7"/>
  <c r="B142" i="3"/>
  <c r="A146" i="5"/>
  <c r="A146" i="6"/>
  <c r="A146" i="7"/>
  <c r="B150" i="3"/>
  <c r="A153" i="5"/>
  <c r="A153" i="6"/>
  <c r="A153" i="7"/>
  <c r="A155" i="6"/>
  <c r="A155" i="7"/>
  <c r="B18" i="3"/>
  <c r="G23" i="3"/>
  <c r="A26" i="6"/>
  <c r="A26" i="7"/>
  <c r="A36" i="3"/>
  <c r="A36" i="6"/>
  <c r="A36" i="7"/>
  <c r="B39" i="3"/>
  <c r="A51" i="4"/>
  <c r="A51" i="6"/>
  <c r="A51" i="7"/>
  <c r="B71" i="3"/>
  <c r="B82" i="3"/>
  <c r="B97" i="3"/>
  <c r="B120" i="3"/>
  <c r="B122" i="3"/>
  <c r="B87" i="3"/>
  <c r="B128" i="3"/>
  <c r="B146" i="3"/>
  <c r="A148" i="3"/>
  <c r="A148" i="6"/>
  <c r="A148" i="7"/>
  <c r="B7" i="3"/>
  <c r="A18" i="3"/>
  <c r="A18" i="6"/>
  <c r="A161" i="18" s="1"/>
  <c r="A18" i="7"/>
  <c r="A23" i="3"/>
  <c r="A23" i="6"/>
  <c r="A166" i="18" s="1"/>
  <c r="A23" i="7"/>
  <c r="A24" i="6"/>
  <c r="A167" i="18" s="1"/>
  <c r="A24" i="7"/>
  <c r="A25" i="5"/>
  <c r="A25" i="6"/>
  <c r="A168" i="18" s="1"/>
  <c r="A25" i="7"/>
  <c r="A70" i="6"/>
  <c r="A70" i="7"/>
  <c r="A82" i="5"/>
  <c r="A82" i="6"/>
  <c r="A82" i="7"/>
  <c r="A87" i="3"/>
  <c r="A87" i="6"/>
  <c r="A87" i="7"/>
  <c r="A104" i="4"/>
  <c r="A104" i="6"/>
  <c r="A104" i="7"/>
  <c r="B116" i="3"/>
  <c r="A119" i="3"/>
  <c r="A119" i="6"/>
  <c r="A119" i="7"/>
  <c r="B126" i="3"/>
  <c r="B127" i="3"/>
  <c r="A128" i="4"/>
  <c r="A128" i="6"/>
  <c r="A128" i="7"/>
  <c r="B139" i="3"/>
  <c r="A142" i="6"/>
  <c r="A142" i="7"/>
  <c r="A157" i="6"/>
  <c r="A157" i="7"/>
  <c r="A5" i="4"/>
  <c r="A159" i="4" s="1"/>
  <c r="A5" i="6"/>
  <c r="A159" i="6" s="1"/>
  <c r="A5" i="7"/>
  <c r="A159" i="7" s="1"/>
  <c r="A6" i="6"/>
  <c r="A160" i="6" s="1"/>
  <c r="A6" i="7"/>
  <c r="A160" i="7" s="1"/>
  <c r="B10" i="3"/>
  <c r="A21" i="6"/>
  <c r="A164" i="18" s="1"/>
  <c r="A21" i="7"/>
  <c r="F23" i="3"/>
  <c r="A28" i="3"/>
  <c r="A28" i="6"/>
  <c r="A28" i="7"/>
  <c r="B38" i="3"/>
  <c r="B49" i="3"/>
  <c r="B73" i="3"/>
  <c r="B74" i="3"/>
  <c r="A83" i="4"/>
  <c r="A83" i="6"/>
  <c r="A83" i="7"/>
  <c r="A99" i="4"/>
  <c r="A99" i="6"/>
  <c r="A99" i="7"/>
  <c r="C99" i="3"/>
  <c r="D99" i="3"/>
  <c r="D100" i="3"/>
  <c r="E100" i="3"/>
  <c r="A145" i="6"/>
  <c r="A101" i="6"/>
  <c r="A134" i="6"/>
  <c r="A156" i="6"/>
  <c r="A112" i="6"/>
  <c r="A123" i="6"/>
  <c r="A134" i="7"/>
  <c r="A112" i="7"/>
  <c r="A123" i="7"/>
  <c r="A156" i="7"/>
  <c r="A145" i="7"/>
  <c r="A101" i="7"/>
  <c r="B104" i="3"/>
  <c r="B105" i="3"/>
  <c r="A107" i="6"/>
  <c r="A107" i="7"/>
  <c r="A116" i="3"/>
  <c r="A116" i="6"/>
  <c r="A116" i="7"/>
  <c r="B129" i="3"/>
  <c r="A149" i="6"/>
  <c r="A149" i="7"/>
  <c r="A4" i="3"/>
  <c r="A4" i="6"/>
  <c r="A4" i="7"/>
  <c r="A27" i="3"/>
  <c r="A27" i="6"/>
  <c r="A27" i="7"/>
  <c r="A65" i="4"/>
  <c r="A65" i="6"/>
  <c r="A65" i="7"/>
  <c r="B72" i="3"/>
  <c r="B89" i="3"/>
  <c r="A131" i="5"/>
  <c r="A131" i="6"/>
  <c r="A131" i="7"/>
  <c r="F132" i="3"/>
  <c r="G133" i="3"/>
  <c r="A7" i="3"/>
  <c r="A161" i="3" s="1"/>
  <c r="A7" i="6"/>
  <c r="A161" i="6" s="1"/>
  <c r="A7" i="7"/>
  <c r="A161" i="7" s="1"/>
  <c r="B8" i="3"/>
  <c r="A9" i="4"/>
  <c r="A163" i="4" s="1"/>
  <c r="A9" i="6"/>
  <c r="A163" i="6" s="1"/>
  <c r="A9" i="7"/>
  <c r="A163" i="7" s="1"/>
  <c r="A10" i="4"/>
  <c r="A164" i="4" s="1"/>
  <c r="A10" i="6"/>
  <c r="A164" i="6" s="1"/>
  <c r="A10" i="7"/>
  <c r="A164" i="7" s="1"/>
  <c r="A12" i="3"/>
  <c r="A166" i="3" s="1"/>
  <c r="A12" i="6"/>
  <c r="A12" i="7"/>
  <c r="A166" i="7" s="1"/>
  <c r="B14" i="3"/>
  <c r="B16" i="3"/>
  <c r="A17" i="5"/>
  <c r="A17" i="6"/>
  <c r="A160" i="18" s="1"/>
  <c r="A17" i="7"/>
  <c r="B20" i="3"/>
  <c r="H22" i="3"/>
  <c r="C23" i="3"/>
  <c r="B28" i="3"/>
  <c r="B36" i="3"/>
  <c r="A39" i="3"/>
  <c r="A39" i="6"/>
  <c r="A39" i="7"/>
  <c r="A40" i="6"/>
  <c r="A40" i="7"/>
  <c r="A49" i="5"/>
  <c r="A49" i="6"/>
  <c r="A49" i="7"/>
  <c r="B52" i="3"/>
  <c r="A58" i="5"/>
  <c r="A58" i="6"/>
  <c r="A58" i="7"/>
  <c r="B60" i="3"/>
  <c r="B61" i="3"/>
  <c r="A63" i="3"/>
  <c r="A63" i="6"/>
  <c r="A63" i="7"/>
  <c r="A64" i="4"/>
  <c r="A64" i="6"/>
  <c r="A64" i="7"/>
  <c r="A78" i="6"/>
  <c r="A78" i="7"/>
  <c r="B80" i="3"/>
  <c r="A90" i="4"/>
  <c r="A90" i="6"/>
  <c r="A90" i="7"/>
  <c r="B93" i="3"/>
  <c r="A94" i="6"/>
  <c r="A94" i="7"/>
  <c r="B95" i="3"/>
  <c r="A98" i="4"/>
  <c r="A98" i="6"/>
  <c r="A98" i="7"/>
  <c r="B100" i="3"/>
  <c r="C100" i="3"/>
  <c r="A111" i="3"/>
  <c r="A111" i="6"/>
  <c r="A111" i="7"/>
  <c r="B117" i="3"/>
  <c r="A120" i="6"/>
  <c r="A120" i="7"/>
  <c r="A125" i="6"/>
  <c r="A125" i="7"/>
  <c r="A126" i="6"/>
  <c r="A126" i="7"/>
  <c r="A127" i="3"/>
  <c r="A127" i="6"/>
  <c r="A127" i="7"/>
  <c r="B131" i="3"/>
  <c r="G132" i="3"/>
  <c r="C133" i="3"/>
  <c r="D133" i="3"/>
  <c r="B144" i="3"/>
  <c r="A151" i="3"/>
  <c r="A151" i="6"/>
  <c r="A151" i="7"/>
  <c r="B152" i="3"/>
  <c r="B24" i="3"/>
  <c r="B25" i="3"/>
  <c r="B34" i="3"/>
  <c r="A52" i="5"/>
  <c r="A52" i="6"/>
  <c r="A52" i="7"/>
  <c r="B56" i="3"/>
  <c r="A59" i="3"/>
  <c r="A59" i="6"/>
  <c r="A59" i="7"/>
  <c r="B63" i="3"/>
  <c r="B65" i="3"/>
  <c r="A139" i="6"/>
  <c r="A139" i="7"/>
  <c r="A150" i="6"/>
  <c r="A150" i="7"/>
  <c r="B62" i="3"/>
  <c r="A31" i="3"/>
  <c r="A31" i="6"/>
  <c r="A31" i="7"/>
  <c r="A41" i="6"/>
  <c r="A41" i="7"/>
  <c r="A47" i="3"/>
  <c r="A47" i="6"/>
  <c r="A47" i="7"/>
  <c r="A50" i="3"/>
  <c r="A50" i="6"/>
  <c r="A50" i="7"/>
  <c r="A54" i="3"/>
  <c r="A54" i="6"/>
  <c r="A54" i="7"/>
  <c r="A72" i="5"/>
  <c r="A72" i="6"/>
  <c r="A72" i="7"/>
  <c r="A73" i="5"/>
  <c r="A73" i="6"/>
  <c r="A73" i="7"/>
  <c r="B78" i="3"/>
  <c r="B84" i="3"/>
  <c r="A86" i="6"/>
  <c r="A86" i="7"/>
  <c r="B94" i="3"/>
  <c r="H100" i="3"/>
  <c r="B107" i="3"/>
  <c r="B108" i="3"/>
  <c r="A109" i="6"/>
  <c r="A109" i="7"/>
  <c r="A121" i="3"/>
  <c r="A121" i="6"/>
  <c r="A110" i="6"/>
  <c r="A110" i="7"/>
  <c r="A121" i="7"/>
  <c r="A118" i="6"/>
  <c r="A118" i="7"/>
  <c r="A122" i="5"/>
  <c r="A122" i="6"/>
  <c r="A122" i="7"/>
  <c r="B132" i="3"/>
  <c r="C132" i="3"/>
  <c r="A137" i="6"/>
  <c r="A137" i="7"/>
  <c r="B148" i="3"/>
  <c r="B151" i="3"/>
  <c r="B17" i="3"/>
  <c r="A66" i="5"/>
  <c r="A11" i="6"/>
  <c r="A165" i="6" s="1"/>
  <c r="A66" i="6"/>
  <c r="A44" i="6"/>
  <c r="A22" i="6"/>
  <c r="A165" i="18" s="1"/>
  <c r="A66" i="7"/>
  <c r="A22" i="7"/>
  <c r="A11" i="7"/>
  <c r="A165" i="7" s="1"/>
  <c r="A44" i="7"/>
  <c r="E22" i="3"/>
  <c r="F22" i="3"/>
  <c r="G22" i="3"/>
  <c r="A29" i="6"/>
  <c r="A29" i="7"/>
  <c r="B32" i="3"/>
  <c r="B40" i="3"/>
  <c r="B50" i="3"/>
  <c r="B57" i="3"/>
  <c r="B58" i="3"/>
  <c r="B64" i="3"/>
  <c r="A67" i="6"/>
  <c r="A67" i="7"/>
  <c r="A69" i="6"/>
  <c r="A69" i="7"/>
  <c r="A76" i="5"/>
  <c r="A76" i="6"/>
  <c r="A76" i="7"/>
  <c r="B90" i="3"/>
  <c r="A93" i="6"/>
  <c r="A93" i="7"/>
  <c r="A100" i="3"/>
  <c r="A100" i="6"/>
  <c r="A100" i="7"/>
  <c r="F100" i="3"/>
  <c r="A105" i="6"/>
  <c r="A105" i="7"/>
  <c r="A106" i="6"/>
  <c r="A106" i="7"/>
  <c r="A113" i="4"/>
  <c r="A113" i="6"/>
  <c r="A113" i="7"/>
  <c r="A133" i="6"/>
  <c r="A133" i="7"/>
  <c r="E133" i="3"/>
  <c r="B135" i="3"/>
  <c r="B137" i="3"/>
  <c r="B138" i="3"/>
  <c r="A20" i="3"/>
  <c r="A20" i="6"/>
  <c r="A163" i="18" s="1"/>
  <c r="A20" i="7"/>
  <c r="A74" i="4"/>
  <c r="A74" i="6"/>
  <c r="A74" i="7"/>
  <c r="A75" i="4"/>
  <c r="A75" i="6"/>
  <c r="A75" i="7"/>
  <c r="B119" i="3"/>
  <c r="A124" i="3"/>
  <c r="A124" i="6"/>
  <c r="A124" i="7"/>
  <c r="B153" i="3"/>
  <c r="B5" i="3"/>
  <c r="B6" i="3"/>
  <c r="A8" i="6"/>
  <c r="A162" i="6" s="1"/>
  <c r="A8" i="7"/>
  <c r="A162" i="7" s="1"/>
  <c r="A15" i="6"/>
  <c r="A15" i="7"/>
  <c r="A16" i="6"/>
  <c r="A159" i="18" s="1"/>
  <c r="A16" i="7"/>
  <c r="A19" i="4"/>
  <c r="A19" i="6"/>
  <c r="A162" i="18" s="1"/>
  <c r="A19" i="7"/>
  <c r="B22" i="3"/>
  <c r="C22" i="3"/>
  <c r="D22" i="3"/>
  <c r="E23" i="3"/>
  <c r="B27" i="3"/>
  <c r="B30" i="3"/>
  <c r="A33" i="6"/>
  <c r="A33" i="7"/>
  <c r="A37" i="6"/>
  <c r="A37" i="7"/>
  <c r="B53" i="3"/>
  <c r="A61" i="6"/>
  <c r="A61" i="7"/>
  <c r="A62" i="6"/>
  <c r="A62" i="7"/>
  <c r="B67" i="3"/>
  <c r="A71" i="5"/>
  <c r="A71" i="6"/>
  <c r="A71" i="7"/>
  <c r="B75" i="3"/>
  <c r="A80" i="5"/>
  <c r="A80" i="6"/>
  <c r="A80" i="7"/>
  <c r="B85" i="3"/>
  <c r="A95" i="3"/>
  <c r="A95" i="6"/>
  <c r="A95" i="7"/>
  <c r="A97" i="6"/>
  <c r="A97" i="7"/>
  <c r="B99" i="3"/>
  <c r="G99" i="3"/>
  <c r="H99" i="3"/>
  <c r="B101" i="3"/>
  <c r="B102" i="3"/>
  <c r="A117" i="6"/>
  <c r="A117" i="7"/>
  <c r="A129" i="4"/>
  <c r="A129" i="6"/>
  <c r="A129" i="7"/>
  <c r="A130" i="5"/>
  <c r="A130" i="6"/>
  <c r="A130" i="7"/>
  <c r="B133" i="3"/>
  <c r="A135" i="3"/>
  <c r="A135" i="6"/>
  <c r="A135" i="7"/>
  <c r="B140" i="3"/>
  <c r="B141" i="3"/>
  <c r="A144" i="4"/>
  <c r="A144" i="6"/>
  <c r="A144" i="7"/>
  <c r="B149" i="3"/>
  <c r="A152" i="4"/>
  <c r="A152" i="6"/>
  <c r="A152" i="7"/>
  <c r="A103" i="5"/>
  <c r="A103" i="4"/>
  <c r="A15" i="3"/>
  <c r="A15" i="4"/>
  <c r="A26" i="3"/>
  <c r="A26" i="4"/>
  <c r="A26" i="5"/>
  <c r="A6" i="3"/>
  <c r="A160" i="3" s="1"/>
  <c r="A6" i="5"/>
  <c r="A160" i="5" s="1"/>
  <c r="A13" i="3"/>
  <c r="A167" i="3" s="1"/>
  <c r="A13" i="5"/>
  <c r="A167" i="5" s="1"/>
  <c r="A13" i="4"/>
  <c r="A167" i="4" s="1"/>
  <c r="A21" i="3"/>
  <c r="A21" i="5"/>
  <c r="A21" i="4"/>
  <c r="A24" i="3"/>
  <c r="A24" i="5"/>
  <c r="A29" i="3"/>
  <c r="A29" i="5"/>
  <c r="A29" i="4"/>
  <c r="A33" i="3"/>
  <c r="A33" i="5"/>
  <c r="A40" i="3"/>
  <c r="A40" i="5"/>
  <c r="A45" i="3"/>
  <c r="A45" i="5"/>
  <c r="A45" i="4"/>
  <c r="A53" i="5"/>
  <c r="A53" i="4"/>
  <c r="A61" i="3"/>
  <c r="A61" i="5"/>
  <c r="A61" i="4"/>
  <c r="A62" i="3"/>
  <c r="A62" i="5"/>
  <c r="A62" i="4"/>
  <c r="A67" i="3"/>
  <c r="A67" i="4"/>
  <c r="A78" i="5"/>
  <c r="A78" i="4"/>
  <c r="A85" i="3"/>
  <c r="A85" i="5"/>
  <c r="A85" i="4"/>
  <c r="A94" i="5"/>
  <c r="A94" i="4"/>
  <c r="A97" i="3"/>
  <c r="A97" i="5"/>
  <c r="A123" i="3"/>
  <c r="A101" i="5"/>
  <c r="A134" i="5"/>
  <c r="A123" i="4"/>
  <c r="A112" i="5"/>
  <c r="A101" i="4"/>
  <c r="A145" i="5"/>
  <c r="A134" i="4"/>
  <c r="A107" i="3"/>
  <c r="A107" i="4"/>
  <c r="A109" i="3"/>
  <c r="A109" i="5"/>
  <c r="A109" i="4"/>
  <c r="A120" i="3"/>
  <c r="A120" i="5"/>
  <c r="A133" i="3"/>
  <c r="A133" i="5"/>
  <c r="A133" i="4"/>
  <c r="A138" i="3"/>
  <c r="A138" i="4"/>
  <c r="A149" i="5"/>
  <c r="A149" i="4"/>
  <c r="A155" i="3"/>
  <c r="A155" i="4"/>
  <c r="A37" i="3"/>
  <c r="A37" i="5"/>
  <c r="A37" i="4"/>
  <c r="A70" i="3"/>
  <c r="A70" i="5"/>
  <c r="A70" i="4"/>
  <c r="A114" i="3"/>
  <c r="A114" i="4"/>
  <c r="A147" i="3"/>
  <c r="A147" i="4"/>
  <c r="A10" i="3"/>
  <c r="A164" i="3" s="1"/>
  <c r="A58" i="4"/>
  <c r="A42" i="5"/>
  <c r="A90" i="5"/>
  <c r="A154" i="5"/>
  <c r="A75" i="3"/>
  <c r="A98" i="3"/>
  <c r="A6" i="4"/>
  <c r="A160" i="4" s="1"/>
  <c r="A35" i="4"/>
  <c r="A151" i="4"/>
  <c r="A7" i="5"/>
  <c r="A161" i="5" s="1"/>
  <c r="A39" i="5"/>
  <c r="A87" i="5"/>
  <c r="A119" i="5"/>
  <c r="A151" i="5"/>
  <c r="A49" i="3"/>
  <c r="A52" i="3"/>
  <c r="A56" i="3"/>
  <c r="A34" i="4"/>
  <c r="A84" i="4"/>
  <c r="A36" i="5"/>
  <c r="A84" i="5"/>
  <c r="A71" i="3"/>
  <c r="A78" i="3"/>
  <c r="A90" i="3"/>
  <c r="A134" i="3"/>
  <c r="A48" i="3"/>
  <c r="A57" i="3"/>
  <c r="A58" i="3"/>
  <c r="A4" i="4"/>
  <c r="A12" i="4"/>
  <c r="A166" i="4" s="1"/>
  <c r="A23" i="4"/>
  <c r="A33" i="4"/>
  <c r="A43" i="4"/>
  <c r="A55" i="4"/>
  <c r="A97" i="4"/>
  <c r="A145" i="4"/>
  <c r="E3" i="5"/>
  <c r="A19" i="5"/>
  <c r="A51" i="5"/>
  <c r="A67" i="5"/>
  <c r="A83" i="5"/>
  <c r="A99" i="5"/>
  <c r="A147" i="5"/>
  <c r="A77" i="3"/>
  <c r="A17" i="3"/>
  <c r="A96" i="3"/>
  <c r="A101" i="3"/>
  <c r="A149" i="3"/>
  <c r="A153" i="3"/>
  <c r="A11" i="4"/>
  <c r="A165" i="4" s="1"/>
  <c r="A20" i="4"/>
  <c r="A42" i="4"/>
  <c r="A52" i="4"/>
  <c r="A80" i="4"/>
  <c r="A96" i="4"/>
  <c r="A112" i="4"/>
  <c r="A18" i="5"/>
  <c r="A34" i="5"/>
  <c r="A50" i="5"/>
  <c r="A98" i="5"/>
  <c r="A114" i="5"/>
  <c r="A44" i="3"/>
  <c r="A66" i="4"/>
  <c r="A22" i="5"/>
  <c r="A22" i="4"/>
  <c r="A79" i="3"/>
  <c r="A46" i="5"/>
  <c r="A46" i="4"/>
  <c r="A41" i="3"/>
  <c r="A41" i="5"/>
  <c r="A65" i="3"/>
  <c r="A65" i="5"/>
  <c r="A93" i="5"/>
  <c r="A93" i="4"/>
  <c r="A105" i="3"/>
  <c r="A105" i="5"/>
  <c r="A113" i="3"/>
  <c r="A113" i="5"/>
  <c r="A117" i="3"/>
  <c r="A117" i="5"/>
  <c r="A117" i="4"/>
  <c r="A118" i="3"/>
  <c r="A118" i="5"/>
  <c r="A118" i="4"/>
  <c r="A128" i="3"/>
  <c r="A128" i="5"/>
  <c r="A129" i="3"/>
  <c r="A129" i="5"/>
  <c r="A143" i="3"/>
  <c r="A154" i="4"/>
  <c r="A139" i="3"/>
  <c r="A139" i="4"/>
  <c r="A141" i="3"/>
  <c r="A141" i="5"/>
  <c r="A141" i="4"/>
  <c r="A144" i="3"/>
  <c r="A144" i="5"/>
  <c r="A146" i="3"/>
  <c r="A146" i="4"/>
  <c r="A150" i="3"/>
  <c r="A150" i="5"/>
  <c r="A150" i="4"/>
  <c r="A152" i="3"/>
  <c r="A152" i="5"/>
  <c r="A81" i="3"/>
  <c r="A81" i="5"/>
  <c r="A136" i="3"/>
  <c r="A136" i="5"/>
  <c r="A76" i="3"/>
  <c r="A25" i="3"/>
  <c r="A7" i="4"/>
  <c r="A161" i="4" s="1"/>
  <c r="A10" i="5"/>
  <c r="A164" i="5" s="1"/>
  <c r="A74" i="5"/>
  <c r="A93" i="3"/>
  <c r="A47" i="4"/>
  <c r="A71" i="4"/>
  <c r="A119" i="4"/>
  <c r="A55" i="5"/>
  <c r="A72" i="3"/>
  <c r="A19" i="3"/>
  <c r="A51" i="3"/>
  <c r="A44" i="4"/>
  <c r="A68" i="4"/>
  <c r="A116" i="4"/>
  <c r="A148" i="4"/>
  <c r="A4" i="5"/>
  <c r="A100" i="5"/>
  <c r="A148" i="5"/>
  <c r="A74" i="3"/>
  <c r="A31" i="4"/>
  <c r="A79" i="4"/>
  <c r="A111" i="4"/>
  <c r="A143" i="4"/>
  <c r="A31" i="5"/>
  <c r="A63" i="5"/>
  <c r="A111" i="5"/>
  <c r="A143" i="5"/>
  <c r="A73" i="3"/>
  <c r="A83" i="3"/>
  <c r="A89" i="3"/>
  <c r="A94" i="3"/>
  <c r="A99" i="3"/>
  <c r="A18" i="4"/>
  <c r="A28" i="4"/>
  <c r="A40" i="4"/>
  <c r="A50" i="4"/>
  <c r="A60" i="4"/>
  <c r="A76" i="4"/>
  <c r="A92" i="4"/>
  <c r="A108" i="4"/>
  <c r="A124" i="4"/>
  <c r="A140" i="4"/>
  <c r="A156" i="4"/>
  <c r="A12" i="5"/>
  <c r="A166" i="5" s="1"/>
  <c r="A28" i="5"/>
  <c r="A44" i="5"/>
  <c r="A60" i="5"/>
  <c r="A92" i="5"/>
  <c r="A108" i="5"/>
  <c r="A124" i="5"/>
  <c r="A140" i="5"/>
  <c r="A156" i="5"/>
  <c r="A5" i="3"/>
  <c r="A159" i="3" s="1"/>
  <c r="A5" i="5"/>
  <c r="A159" i="5" s="1"/>
  <c r="A8" i="3"/>
  <c r="A162" i="3" s="1"/>
  <c r="A8" i="5"/>
  <c r="A162" i="5" s="1"/>
  <c r="A9" i="3"/>
  <c r="A163" i="3" s="1"/>
  <c r="A9" i="5"/>
  <c r="A163" i="5" s="1"/>
  <c r="A14" i="3"/>
  <c r="A168" i="3" s="1"/>
  <c r="A14" i="5"/>
  <c r="A168" i="5" s="1"/>
  <c r="A16" i="3"/>
  <c r="A16" i="5"/>
  <c r="A30" i="3"/>
  <c r="A30" i="5"/>
  <c r="A30" i="4"/>
  <c r="A32" i="3"/>
  <c r="A32" i="5"/>
  <c r="A38" i="3"/>
  <c r="A38" i="5"/>
  <c r="A38" i="4"/>
  <c r="A54" i="5"/>
  <c r="A54" i="4"/>
  <c r="A64" i="3"/>
  <c r="A64" i="5"/>
  <c r="A69" i="3"/>
  <c r="A69" i="5"/>
  <c r="A69" i="4"/>
  <c r="A88" i="3"/>
  <c r="A77" i="5"/>
  <c r="A88" i="5"/>
  <c r="A77" i="4"/>
  <c r="A82" i="3"/>
  <c r="A82" i="4"/>
  <c r="A86" i="5"/>
  <c r="A86" i="4"/>
  <c r="A91" i="3"/>
  <c r="A91" i="4"/>
  <c r="A102" i="5"/>
  <c r="A102" i="4"/>
  <c r="A104" i="3"/>
  <c r="A104" i="5"/>
  <c r="A106" i="3"/>
  <c r="A106" i="4"/>
  <c r="A110" i="3"/>
  <c r="A110" i="5"/>
  <c r="A121" i="5"/>
  <c r="A110" i="4"/>
  <c r="A115" i="3"/>
  <c r="A115" i="4"/>
  <c r="A122" i="3"/>
  <c r="A122" i="4"/>
  <c r="A126" i="3"/>
  <c r="A126" i="5"/>
  <c r="A126" i="4"/>
  <c r="A130" i="3"/>
  <c r="A130" i="4"/>
  <c r="A131" i="3"/>
  <c r="A131" i="4"/>
  <c r="A137" i="3"/>
  <c r="A137" i="5"/>
  <c r="A142" i="3"/>
  <c r="A142" i="5"/>
  <c r="A142" i="4"/>
  <c r="A157" i="5"/>
  <c r="A157" i="4"/>
  <c r="A125" i="3"/>
  <c r="A125" i="5"/>
  <c r="A125" i="4"/>
  <c r="A157" i="3"/>
  <c r="A16" i="4"/>
  <c r="A36" i="4"/>
  <c r="A72" i="4"/>
  <c r="A120" i="4"/>
  <c r="A106" i="5"/>
  <c r="A138" i="5"/>
  <c r="A86" i="3"/>
  <c r="A102" i="3"/>
  <c r="A156" i="3"/>
  <c r="A25" i="4"/>
  <c r="A57" i="4"/>
  <c r="A87" i="4"/>
  <c r="A135" i="4"/>
  <c r="A23" i="5"/>
  <c r="A135" i="5"/>
  <c r="A145" i="3"/>
  <c r="A53" i="3"/>
  <c r="A24" i="4"/>
  <c r="A56" i="4"/>
  <c r="A100" i="4"/>
  <c r="A132" i="4"/>
  <c r="A20" i="5"/>
  <c r="A68" i="5"/>
  <c r="A116" i="5"/>
  <c r="A22" i="3"/>
  <c r="A41" i="4"/>
  <c r="A63" i="4"/>
  <c r="A95" i="4"/>
  <c r="A127" i="4"/>
  <c r="A15" i="5"/>
  <c r="A47" i="5"/>
  <c r="A79" i="5"/>
  <c r="A95" i="5"/>
  <c r="A127" i="5"/>
  <c r="A80" i="3"/>
  <c r="A8" i="4"/>
  <c r="A162" i="4" s="1"/>
  <c r="A17" i="4"/>
  <c r="A27" i="4"/>
  <c r="A39" i="4"/>
  <c r="A49" i="4"/>
  <c r="A59" i="4"/>
  <c r="A73" i="4"/>
  <c r="A89" i="4"/>
  <c r="A105" i="4"/>
  <c r="A121" i="4"/>
  <c r="A137" i="4"/>
  <c r="A153" i="4"/>
  <c r="A11" i="5"/>
  <c r="A165" i="5" s="1"/>
  <c r="A27" i="5"/>
  <c r="A43" i="5"/>
  <c r="A59" i="5"/>
  <c r="A75" i="5"/>
  <c r="A91" i="5"/>
  <c r="A107" i="5"/>
  <c r="A123" i="5"/>
  <c r="A139" i="5"/>
  <c r="A155" i="5"/>
  <c r="D3" i="5"/>
  <c r="D3" i="4"/>
  <c r="E3" i="4"/>
  <c r="F3" i="4"/>
  <c r="H3" i="4"/>
  <c r="H3" i="5"/>
  <c r="G3" i="4"/>
  <c r="G3" i="5"/>
  <c r="F3" i="5"/>
  <c r="C3" i="4"/>
  <c r="C3" i="5"/>
  <c r="B3" i="5"/>
  <c r="B3" i="4"/>
  <c r="H167" i="5"/>
  <c r="G167" i="5"/>
  <c r="H167" i="4"/>
  <c r="H189" i="10" s="1"/>
  <c r="H178" i="10" s="1"/>
  <c r="I178" i="10" s="1"/>
  <c r="D167" i="5"/>
  <c r="D168" i="5"/>
  <c r="D159" i="5"/>
  <c r="D181" i="11" s="1"/>
  <c r="D170" i="11" s="1"/>
  <c r="D162" i="5"/>
  <c r="D184" i="11" s="1"/>
  <c r="D173" i="11" s="1"/>
  <c r="H159" i="5"/>
  <c r="H163" i="5"/>
  <c r="F168" i="5"/>
  <c r="H168" i="5"/>
  <c r="C159" i="5"/>
  <c r="C181" i="11" s="1"/>
  <c r="C170" i="11" s="1"/>
  <c r="C160" i="5"/>
  <c r="C182" i="11" s="1"/>
  <c r="C171" i="11" s="1"/>
  <c r="C161" i="5"/>
  <c r="C183" i="11" s="1"/>
  <c r="C172" i="11" s="1"/>
  <c r="C162" i="5"/>
  <c r="C184" i="11" s="1"/>
  <c r="C173" i="11" s="1"/>
  <c r="C163" i="5"/>
  <c r="C164" i="5"/>
  <c r="G159" i="5"/>
  <c r="G181" i="11" s="1"/>
  <c r="G170" i="11" s="1"/>
  <c r="G160" i="5"/>
  <c r="G182" i="11" s="1"/>
  <c r="G171" i="11" s="1"/>
  <c r="G161" i="5"/>
  <c r="G183" i="11" s="1"/>
  <c r="G172" i="11" s="1"/>
  <c r="G162" i="5"/>
  <c r="G184" i="11" s="1"/>
  <c r="G173" i="11" s="1"/>
  <c r="G163" i="5"/>
  <c r="G164" i="5"/>
  <c r="E168" i="5"/>
  <c r="G168" i="5"/>
  <c r="D160" i="5"/>
  <c r="D182" i="11" s="1"/>
  <c r="D171" i="11" s="1"/>
  <c r="D163" i="5"/>
  <c r="C167" i="5"/>
  <c r="H160" i="5"/>
  <c r="H162" i="5"/>
  <c r="F167" i="5"/>
  <c r="F159" i="5"/>
  <c r="F181" i="11" s="1"/>
  <c r="F170" i="11" s="1"/>
  <c r="F160" i="5"/>
  <c r="F182" i="11" s="1"/>
  <c r="F171" i="11" s="1"/>
  <c r="F161" i="5"/>
  <c r="F183" i="11" s="1"/>
  <c r="F172" i="11" s="1"/>
  <c r="F162" i="5"/>
  <c r="F184" i="11" s="1"/>
  <c r="F173" i="11" s="1"/>
  <c r="F163" i="5"/>
  <c r="F164" i="5"/>
  <c r="D161" i="5"/>
  <c r="D183" i="11" s="1"/>
  <c r="D172" i="11" s="1"/>
  <c r="D164" i="5"/>
  <c r="C168" i="5"/>
  <c r="H161" i="5"/>
  <c r="H164" i="5"/>
  <c r="E167" i="5"/>
  <c r="E159" i="5"/>
  <c r="E181" i="11" s="1"/>
  <c r="E170" i="11" s="1"/>
  <c r="E160" i="5"/>
  <c r="E182" i="11" s="1"/>
  <c r="E171" i="11" s="1"/>
  <c r="E161" i="5"/>
  <c r="E183" i="11" s="1"/>
  <c r="E172" i="11" s="1"/>
  <c r="E162" i="5"/>
  <c r="E184" i="11" s="1"/>
  <c r="E173" i="11" s="1"/>
  <c r="E163" i="5"/>
  <c r="E164" i="5"/>
  <c r="G167" i="4"/>
  <c r="G189" i="10" s="1"/>
  <c r="G178" i="10" s="1"/>
  <c r="D159" i="4"/>
  <c r="D181" i="10" s="1"/>
  <c r="D170" i="10" s="1"/>
  <c r="D160" i="4"/>
  <c r="D182" i="10" s="1"/>
  <c r="D171" i="10" s="1"/>
  <c r="D161" i="4"/>
  <c r="D183" i="10" s="1"/>
  <c r="D172" i="10" s="1"/>
  <c r="D162" i="4"/>
  <c r="D184" i="10" s="1"/>
  <c r="D173" i="10" s="1"/>
  <c r="D163" i="4"/>
  <c r="D185" i="10" s="1"/>
  <c r="D174" i="10" s="1"/>
  <c r="D164" i="4"/>
  <c r="D186" i="10" s="1"/>
  <c r="D175" i="10" s="1"/>
  <c r="C167" i="4"/>
  <c r="C189" i="10" s="1"/>
  <c r="C178" i="10" s="1"/>
  <c r="C168" i="4"/>
  <c r="C190" i="10" s="1"/>
  <c r="C179" i="10" s="1"/>
  <c r="H159" i="4"/>
  <c r="H181" i="10" s="1"/>
  <c r="H170" i="10" s="1"/>
  <c r="H160" i="4"/>
  <c r="H182" i="10" s="1"/>
  <c r="H171" i="10" s="1"/>
  <c r="I171" i="10" s="1"/>
  <c r="H161" i="4"/>
  <c r="H183" i="10" s="1"/>
  <c r="H172" i="10" s="1"/>
  <c r="I172" i="10" s="1"/>
  <c r="H162" i="4"/>
  <c r="H184" i="10" s="1"/>
  <c r="H173" i="10" s="1"/>
  <c r="I173" i="10" s="1"/>
  <c r="H163" i="4"/>
  <c r="H185" i="10" s="1"/>
  <c r="H174" i="10" s="1"/>
  <c r="I174" i="10" s="1"/>
  <c r="H164" i="4"/>
  <c r="H186" i="10" s="1"/>
  <c r="H175" i="10" s="1"/>
  <c r="I175" i="10" s="1"/>
  <c r="F168" i="4"/>
  <c r="F190" i="10" s="1"/>
  <c r="F179" i="10" s="1"/>
  <c r="E167" i="4"/>
  <c r="E189" i="10" s="1"/>
  <c r="E178" i="10" s="1"/>
  <c r="H168" i="4"/>
  <c r="H190" i="10" s="1"/>
  <c r="H179" i="10" s="1"/>
  <c r="I179" i="10" s="1"/>
  <c r="F167" i="4"/>
  <c r="F189" i="10" s="1"/>
  <c r="F178" i="10" s="1"/>
  <c r="D167" i="4"/>
  <c r="D189" i="10" s="1"/>
  <c r="D178" i="10" s="1"/>
  <c r="C159" i="4"/>
  <c r="C181" i="10" s="1"/>
  <c r="C170" i="10" s="1"/>
  <c r="C160" i="4"/>
  <c r="C182" i="10" s="1"/>
  <c r="C171" i="10" s="1"/>
  <c r="C161" i="4"/>
  <c r="C183" i="10" s="1"/>
  <c r="C172" i="10" s="1"/>
  <c r="C162" i="4"/>
  <c r="C184" i="10" s="1"/>
  <c r="C173" i="10" s="1"/>
  <c r="C163" i="4"/>
  <c r="C185" i="10" s="1"/>
  <c r="C174" i="10" s="1"/>
  <c r="C164" i="4"/>
  <c r="C186" i="10" s="1"/>
  <c r="C175" i="10" s="1"/>
  <c r="G159" i="4"/>
  <c r="G181" i="10" s="1"/>
  <c r="G170" i="10" s="1"/>
  <c r="G160" i="4"/>
  <c r="G182" i="10" s="1"/>
  <c r="G171" i="10" s="1"/>
  <c r="G161" i="4"/>
  <c r="G183" i="10" s="1"/>
  <c r="G172" i="10" s="1"/>
  <c r="G162" i="4"/>
  <c r="G184" i="10" s="1"/>
  <c r="G173" i="10" s="1"/>
  <c r="G163" i="4"/>
  <c r="G185" i="10" s="1"/>
  <c r="G174" i="10" s="1"/>
  <c r="G164" i="4"/>
  <c r="G186" i="10" s="1"/>
  <c r="G175" i="10" s="1"/>
  <c r="E168" i="4"/>
  <c r="E190" i="10" s="1"/>
  <c r="E179" i="10" s="1"/>
  <c r="G168" i="4"/>
  <c r="G190" i="10" s="1"/>
  <c r="G179" i="10" s="1"/>
  <c r="D168" i="4"/>
  <c r="D190" i="10" s="1"/>
  <c r="D179" i="10" s="1"/>
  <c r="F159" i="4"/>
  <c r="F181" i="10" s="1"/>
  <c r="F170" i="10" s="1"/>
  <c r="F160" i="4"/>
  <c r="F182" i="10" s="1"/>
  <c r="F171" i="10" s="1"/>
  <c r="F161" i="4"/>
  <c r="F183" i="10" s="1"/>
  <c r="F172" i="10" s="1"/>
  <c r="F162" i="4"/>
  <c r="F184" i="10" s="1"/>
  <c r="F173" i="10" s="1"/>
  <c r="F163" i="4"/>
  <c r="F185" i="10" s="1"/>
  <c r="F174" i="10" s="1"/>
  <c r="F164" i="4"/>
  <c r="F186" i="10" s="1"/>
  <c r="F175" i="10" s="1"/>
  <c r="G161" i="3"/>
  <c r="G183" i="9" s="1"/>
  <c r="G172" i="9" s="1"/>
  <c r="H163" i="3"/>
  <c r="H164" i="3"/>
  <c r="G160" i="3"/>
  <c r="G182" i="9" s="1"/>
  <c r="G171" i="9" s="1"/>
  <c r="E159" i="4"/>
  <c r="E181" i="10" s="1"/>
  <c r="E170" i="10" s="1"/>
  <c r="E160" i="4"/>
  <c r="E182" i="10" s="1"/>
  <c r="E171" i="10" s="1"/>
  <c r="E161" i="4"/>
  <c r="E183" i="10" s="1"/>
  <c r="E172" i="10" s="1"/>
  <c r="E162" i="4"/>
  <c r="E184" i="10" s="1"/>
  <c r="E173" i="10" s="1"/>
  <c r="E163" i="4"/>
  <c r="E185" i="10" s="1"/>
  <c r="E174" i="10" s="1"/>
  <c r="E164" i="4"/>
  <c r="E186" i="10" s="1"/>
  <c r="E175" i="10" s="1"/>
  <c r="G159" i="3"/>
  <c r="G181" i="9" s="1"/>
  <c r="G170" i="9" s="1"/>
  <c r="H168" i="3"/>
  <c r="G168" i="3"/>
  <c r="G167" i="3"/>
  <c r="C163" i="3"/>
  <c r="C168" i="3"/>
  <c r="C159" i="3"/>
  <c r="C181" i="9" s="1"/>
  <c r="C170" i="9" s="1"/>
  <c r="H160" i="3"/>
  <c r="H182" i="9" s="1"/>
  <c r="H171" i="9" s="1"/>
  <c r="I171" i="9" s="1"/>
  <c r="H161" i="3"/>
  <c r="H183" i="9" s="1"/>
  <c r="H172" i="9" s="1"/>
  <c r="I172" i="9" s="1"/>
  <c r="H159" i="3"/>
  <c r="H181" i="9" s="1"/>
  <c r="H170" i="9" s="1"/>
  <c r="D164" i="3"/>
  <c r="C161" i="3"/>
  <c r="C183" i="9" s="1"/>
  <c r="C172" i="9" s="1"/>
  <c r="G163" i="3"/>
  <c r="F163" i="3"/>
  <c r="D167" i="3"/>
  <c r="E159" i="3"/>
  <c r="E181" i="9" s="1"/>
  <c r="E170" i="9" s="1"/>
  <c r="C160" i="3"/>
  <c r="C182" i="9" s="1"/>
  <c r="C171" i="9" s="1"/>
  <c r="E160" i="3"/>
  <c r="E182" i="9" s="1"/>
  <c r="E171" i="9" s="1"/>
  <c r="E161" i="3"/>
  <c r="E183" i="9" s="1"/>
  <c r="E172" i="9" s="1"/>
  <c r="E162" i="3"/>
  <c r="E184" i="9" s="1"/>
  <c r="E173" i="9" s="1"/>
  <c r="D163" i="3"/>
  <c r="F168" i="3"/>
  <c r="C167" i="3"/>
  <c r="G162" i="3"/>
  <c r="G184" i="9" s="1"/>
  <c r="G173" i="9" s="1"/>
  <c r="D159" i="3"/>
  <c r="D181" i="9" s="1"/>
  <c r="D170" i="9" s="1"/>
  <c r="D160" i="3"/>
  <c r="D182" i="9" s="1"/>
  <c r="D171" i="9" s="1"/>
  <c r="C162" i="3"/>
  <c r="C184" i="9" s="1"/>
  <c r="C173" i="9" s="1"/>
  <c r="F162" i="3"/>
  <c r="F184" i="9" s="1"/>
  <c r="F173" i="9" s="1"/>
  <c r="E164" i="3"/>
  <c r="G164" i="3"/>
  <c r="E167" i="3"/>
  <c r="H167" i="3"/>
  <c r="D168" i="3"/>
  <c r="E168" i="3"/>
  <c r="F159" i="3"/>
  <c r="F181" i="9" s="1"/>
  <c r="F170" i="9" s="1"/>
  <c r="D161" i="3"/>
  <c r="D183" i="9" s="1"/>
  <c r="D172" i="9" s="1"/>
  <c r="F161" i="3"/>
  <c r="F183" i="9" s="1"/>
  <c r="F172" i="9" s="1"/>
  <c r="D162" i="3"/>
  <c r="D184" i="9" s="1"/>
  <c r="D173" i="9" s="1"/>
  <c r="E163" i="3"/>
  <c r="C164" i="3"/>
  <c r="F164" i="3"/>
  <c r="F167" i="3"/>
  <c r="F160" i="3"/>
  <c r="F182" i="9" s="1"/>
  <c r="F171" i="9" s="1"/>
  <c r="H162" i="3"/>
  <c r="H184" i="9" s="1"/>
  <c r="H173" i="9" s="1"/>
  <c r="I173" i="9" s="1"/>
  <c r="A68" i="3"/>
  <c r="A66" i="3"/>
  <c r="A46" i="3"/>
  <c r="A11" i="3"/>
  <c r="A165" i="3" s="1"/>
  <c r="A112" i="3"/>
  <c r="A132" i="3"/>
  <c r="A35" i="3"/>
  <c r="A154" i="3"/>
  <c r="I170" i="10" l="1"/>
  <c r="I170" i="9"/>
  <c r="J172" i="9"/>
  <c r="J177" i="9"/>
  <c r="J173" i="9"/>
  <c r="J171" i="9"/>
  <c r="J172" i="10"/>
  <c r="J177" i="10"/>
  <c r="J175" i="10"/>
  <c r="J171" i="10"/>
  <c r="J179" i="10"/>
  <c r="J174" i="10"/>
  <c r="J170" i="10"/>
  <c r="J178" i="10"/>
  <c r="J173" i="10"/>
  <c r="J177" i="11"/>
  <c r="H181" i="11"/>
  <c r="H170" i="11" s="1"/>
  <c r="I170" i="11" s="1"/>
  <c r="H184" i="11"/>
  <c r="H173" i="11" s="1"/>
  <c r="I173" i="11" s="1"/>
  <c r="H183" i="11"/>
  <c r="H172" i="11" s="1"/>
  <c r="H182" i="11"/>
  <c r="H171" i="11" s="1"/>
  <c r="H165" i="9"/>
  <c r="H165" i="10"/>
  <c r="B133" i="16"/>
  <c r="B165" i="10"/>
  <c r="C187" i="10"/>
  <c r="C176" i="10" s="1"/>
  <c r="B187" i="10"/>
  <c r="B176" i="10" s="1"/>
  <c r="D187" i="10"/>
  <c r="D176" i="10" s="1"/>
  <c r="E187" i="10"/>
  <c r="E176" i="10" s="1"/>
  <c r="H187" i="10"/>
  <c r="H176" i="10" s="1"/>
  <c r="I176" i="10" s="1"/>
  <c r="B188" i="10"/>
  <c r="B177" i="10" s="1"/>
  <c r="I45" i="10" s="1"/>
  <c r="F187" i="10"/>
  <c r="F176" i="10" s="1"/>
  <c r="G187" i="10"/>
  <c r="G176" i="10" s="1"/>
  <c r="B168" i="9"/>
  <c r="H187" i="11"/>
  <c r="H176" i="11" s="1"/>
  <c r="I176" i="11" s="1"/>
  <c r="D187" i="11"/>
  <c r="D176" i="11" s="1"/>
  <c r="E187" i="11"/>
  <c r="E176" i="11" s="1"/>
  <c r="C165" i="11"/>
  <c r="H166" i="4"/>
  <c r="H165" i="5"/>
  <c r="G165" i="5"/>
  <c r="G166" i="4"/>
  <c r="B165" i="4"/>
  <c r="G166" i="5"/>
  <c r="E166" i="4"/>
  <c r="F165" i="4"/>
  <c r="F187" i="11"/>
  <c r="F176" i="11" s="1"/>
  <c r="C166" i="4"/>
  <c r="C166" i="5"/>
  <c r="B167" i="5"/>
  <c r="F166" i="5"/>
  <c r="H166" i="5"/>
  <c r="D166" i="4"/>
  <c r="B160" i="5"/>
  <c r="B182" i="11" s="1"/>
  <c r="B171" i="11" s="1"/>
  <c r="E166" i="5"/>
  <c r="F165" i="5"/>
  <c r="E165" i="5"/>
  <c r="B165" i="5"/>
  <c r="B160" i="4"/>
  <c r="B182" i="10" s="1"/>
  <c r="D165" i="4"/>
  <c r="B161" i="4"/>
  <c r="B183" i="10" s="1"/>
  <c r="B168" i="5"/>
  <c r="G165" i="4"/>
  <c r="E165" i="4"/>
  <c r="F166" i="4"/>
  <c r="B187" i="11"/>
  <c r="B176" i="11" s="1"/>
  <c r="B166" i="5"/>
  <c r="B164" i="4"/>
  <c r="B186" i="10" s="1"/>
  <c r="B164" i="5"/>
  <c r="B186" i="11" s="1"/>
  <c r="B175" i="11" s="1"/>
  <c r="D166" i="5"/>
  <c r="B167" i="4"/>
  <c r="B189" i="10" s="1"/>
  <c r="B162" i="5"/>
  <c r="B184" i="11" s="1"/>
  <c r="B173" i="11" s="1"/>
  <c r="E165" i="11"/>
  <c r="C165" i="4"/>
  <c r="H165" i="4"/>
  <c r="B163" i="5"/>
  <c r="B163" i="4"/>
  <c r="B185" i="10" s="1"/>
  <c r="B168" i="4"/>
  <c r="B190" i="10" s="1"/>
  <c r="B166" i="4"/>
  <c r="B188" i="11"/>
  <c r="B177" i="11" s="1"/>
  <c r="I78" i="11" s="1"/>
  <c r="G187" i="11"/>
  <c r="G176" i="11" s="1"/>
  <c r="B159" i="4"/>
  <c r="B181" i="10" s="1"/>
  <c r="B161" i="5"/>
  <c r="B183" i="11" s="1"/>
  <c r="B172" i="11" s="1"/>
  <c r="B161" i="11"/>
  <c r="B159" i="5"/>
  <c r="B181" i="11" s="1"/>
  <c r="B170" i="11" s="1"/>
  <c r="C165" i="5"/>
  <c r="B162" i="4"/>
  <c r="B184" i="10" s="1"/>
  <c r="B166" i="11"/>
  <c r="B160" i="11"/>
  <c r="B159" i="11"/>
  <c r="H165" i="11"/>
  <c r="C187" i="11"/>
  <c r="C176" i="11" s="1"/>
  <c r="B165" i="9"/>
  <c r="B164" i="11"/>
  <c r="B167" i="11"/>
  <c r="D165" i="11"/>
  <c r="B165" i="11"/>
  <c r="D165" i="5"/>
  <c r="F165" i="11"/>
  <c r="B162" i="11"/>
  <c r="B163" i="11"/>
  <c r="B168" i="11"/>
  <c r="G165" i="11"/>
  <c r="E189" i="11"/>
  <c r="E178" i="11" s="1"/>
  <c r="C190" i="11"/>
  <c r="C179" i="11" s="1"/>
  <c r="F189" i="11"/>
  <c r="F178" i="11" s="1"/>
  <c r="G190" i="11"/>
  <c r="G179" i="11" s="1"/>
  <c r="E185" i="11"/>
  <c r="E174" i="11" s="1"/>
  <c r="G186" i="11"/>
  <c r="G175" i="11" s="1"/>
  <c r="H190" i="11"/>
  <c r="H179" i="11" s="1"/>
  <c r="I179" i="11" s="1"/>
  <c r="F186" i="11"/>
  <c r="F175" i="11" s="1"/>
  <c r="C189" i="11"/>
  <c r="C178" i="11" s="1"/>
  <c r="G185" i="11"/>
  <c r="G174" i="11" s="1"/>
  <c r="C186" i="11"/>
  <c r="C175" i="11" s="1"/>
  <c r="D190" i="11"/>
  <c r="D179" i="11" s="1"/>
  <c r="H189" i="11"/>
  <c r="H178" i="11" s="1"/>
  <c r="I178" i="11" s="1"/>
  <c r="E186" i="11"/>
  <c r="E175" i="11" s="1"/>
  <c r="H185" i="11"/>
  <c r="H174" i="11" s="1"/>
  <c r="I174" i="11" s="1"/>
  <c r="G189" i="11"/>
  <c r="G178" i="11" s="1"/>
  <c r="H186" i="11"/>
  <c r="H175" i="11" s="1"/>
  <c r="I175" i="11" s="1"/>
  <c r="D186" i="11"/>
  <c r="D175" i="11" s="1"/>
  <c r="F185" i="11"/>
  <c r="F174" i="11" s="1"/>
  <c r="D185" i="11"/>
  <c r="D174" i="11" s="1"/>
  <c r="E190" i="11"/>
  <c r="E179" i="11" s="1"/>
  <c r="C185" i="11"/>
  <c r="C174" i="11" s="1"/>
  <c r="F190" i="11"/>
  <c r="F179" i="11" s="1"/>
  <c r="D189" i="11"/>
  <c r="D178" i="11" s="1"/>
  <c r="C189" i="9"/>
  <c r="C178" i="9" s="1"/>
  <c r="D186" i="9"/>
  <c r="D175" i="9" s="1"/>
  <c r="G190" i="9"/>
  <c r="G179" i="9" s="1"/>
  <c r="C186" i="9"/>
  <c r="C175" i="9" s="1"/>
  <c r="H189" i="9"/>
  <c r="H178" i="9" s="1"/>
  <c r="I178" i="9" s="1"/>
  <c r="G189" i="9"/>
  <c r="G178" i="9" s="1"/>
  <c r="F186" i="9"/>
  <c r="F175" i="9" s="1"/>
  <c r="D190" i="9"/>
  <c r="D179" i="9" s="1"/>
  <c r="E186" i="9"/>
  <c r="E175" i="9" s="1"/>
  <c r="D185" i="9"/>
  <c r="D174" i="9" s="1"/>
  <c r="G185" i="9"/>
  <c r="G174" i="9" s="1"/>
  <c r="C185" i="9"/>
  <c r="C174" i="9" s="1"/>
  <c r="H186" i="9"/>
  <c r="H175" i="9" s="1"/>
  <c r="I175" i="9" s="1"/>
  <c r="E185" i="9"/>
  <c r="E174" i="9" s="1"/>
  <c r="E189" i="9"/>
  <c r="E178" i="9" s="1"/>
  <c r="D189" i="9"/>
  <c r="D178" i="9" s="1"/>
  <c r="H185" i="9"/>
  <c r="H174" i="9" s="1"/>
  <c r="I174" i="9" s="1"/>
  <c r="F189" i="9"/>
  <c r="F178" i="9" s="1"/>
  <c r="E190" i="9"/>
  <c r="E179" i="9" s="1"/>
  <c r="G186" i="9"/>
  <c r="G175" i="9" s="1"/>
  <c r="F190" i="9"/>
  <c r="F179" i="9" s="1"/>
  <c r="F185" i="9"/>
  <c r="F174" i="9" s="1"/>
  <c r="C190" i="9"/>
  <c r="C179" i="9" s="1"/>
  <c r="H190" i="9"/>
  <c r="H179" i="9" s="1"/>
  <c r="I179" i="9" s="1"/>
  <c r="F187" i="9"/>
  <c r="F176" i="9" s="1"/>
  <c r="D187" i="9"/>
  <c r="D176" i="9" s="1"/>
  <c r="B187" i="9"/>
  <c r="B176" i="9" s="1"/>
  <c r="E187" i="9"/>
  <c r="E176" i="9" s="1"/>
  <c r="C187" i="9"/>
  <c r="C176" i="9" s="1"/>
  <c r="H187" i="9"/>
  <c r="H176" i="9" s="1"/>
  <c r="I176" i="9" s="1"/>
  <c r="G187" i="9"/>
  <c r="G176" i="9" s="1"/>
  <c r="B188" i="9"/>
  <c r="B177" i="9" s="1"/>
  <c r="E166" i="3"/>
  <c r="G165" i="3"/>
  <c r="C165" i="3"/>
  <c r="G166" i="3"/>
  <c r="B167" i="3"/>
  <c r="D166" i="3"/>
  <c r="B165" i="3"/>
  <c r="B159" i="3"/>
  <c r="B160" i="3"/>
  <c r="F166" i="3"/>
  <c r="C166" i="3"/>
  <c r="H166" i="3"/>
  <c r="B163" i="3"/>
  <c r="B164" i="3"/>
  <c r="B162" i="3"/>
  <c r="E165" i="3"/>
  <c r="B161" i="3"/>
  <c r="B168" i="3"/>
  <c r="D165" i="3"/>
  <c r="H165" i="3"/>
  <c r="B166" i="3"/>
  <c r="F165" i="3"/>
  <c r="J170" i="9" l="1"/>
  <c r="J56" i="9"/>
  <c r="J89" i="9"/>
  <c r="J34" i="9"/>
  <c r="J122" i="9"/>
  <c r="J12" i="9"/>
  <c r="J111" i="9"/>
  <c r="J45" i="9"/>
  <c r="J67" i="9"/>
  <c r="J155" i="9"/>
  <c r="J144" i="9"/>
  <c r="J78" i="9"/>
  <c r="K177" i="9"/>
  <c r="J176" i="9"/>
  <c r="K170" i="9"/>
  <c r="K173" i="9"/>
  <c r="K172" i="9"/>
  <c r="J179" i="9"/>
  <c r="K171" i="9"/>
  <c r="J174" i="9"/>
  <c r="J175" i="9"/>
  <c r="J178" i="9"/>
  <c r="I142" i="11"/>
  <c r="J45" i="11"/>
  <c r="I85" i="11"/>
  <c r="I45" i="11"/>
  <c r="J122" i="11"/>
  <c r="I49" i="11"/>
  <c r="I111" i="11"/>
  <c r="J144" i="11"/>
  <c r="J56" i="11"/>
  <c r="J67" i="11"/>
  <c r="I76" i="11"/>
  <c r="I89" i="11"/>
  <c r="I131" i="11"/>
  <c r="I109" i="11"/>
  <c r="J111" i="11"/>
  <c r="I148" i="11"/>
  <c r="I98" i="11"/>
  <c r="I54" i="11"/>
  <c r="I43" i="11"/>
  <c r="J12" i="11"/>
  <c r="J89" i="11"/>
  <c r="J78" i="11"/>
  <c r="I122" i="10"/>
  <c r="I87" i="11"/>
  <c r="J34" i="11"/>
  <c r="I10" i="11"/>
  <c r="I21" i="11"/>
  <c r="I153" i="11"/>
  <c r="J155" i="11"/>
  <c r="I154" i="11"/>
  <c r="I110" i="11"/>
  <c r="I88" i="11"/>
  <c r="I66" i="11"/>
  <c r="I44" i="11"/>
  <c r="I143" i="11"/>
  <c r="I121" i="11"/>
  <c r="I33" i="11"/>
  <c r="I11" i="11"/>
  <c r="I55" i="11"/>
  <c r="I77" i="11"/>
  <c r="I63" i="11"/>
  <c r="I140" i="11"/>
  <c r="I8" i="11"/>
  <c r="I41" i="11"/>
  <c r="I96" i="11"/>
  <c r="I129" i="11"/>
  <c r="I52" i="11"/>
  <c r="I118" i="11"/>
  <c r="I19" i="11"/>
  <c r="I12" i="10"/>
  <c r="I107" i="11"/>
  <c r="I30" i="11"/>
  <c r="I93" i="11"/>
  <c r="I126" i="11"/>
  <c r="I16" i="11"/>
  <c r="I27" i="11"/>
  <c r="I82" i="11"/>
  <c r="I137" i="11"/>
  <c r="I60" i="11"/>
  <c r="I38" i="11"/>
  <c r="I104" i="11"/>
  <c r="I115" i="11"/>
  <c r="I155" i="11"/>
  <c r="I67" i="11"/>
  <c r="I144" i="11"/>
  <c r="I122" i="11"/>
  <c r="I34" i="11"/>
  <c r="I12" i="11"/>
  <c r="I56" i="11"/>
  <c r="I78" i="10"/>
  <c r="I5" i="11"/>
  <c r="I120" i="11"/>
  <c r="I71" i="11"/>
  <c r="I32" i="11"/>
  <c r="I74" i="11"/>
  <c r="I65" i="11"/>
  <c r="I151" i="11"/>
  <c r="K174" i="10"/>
  <c r="K171" i="10"/>
  <c r="K175" i="10"/>
  <c r="I144" i="10"/>
  <c r="I34" i="10"/>
  <c r="I89" i="10"/>
  <c r="K179" i="10"/>
  <c r="I154" i="10"/>
  <c r="I110" i="10"/>
  <c r="I88" i="10"/>
  <c r="I66" i="10"/>
  <c r="I44" i="10"/>
  <c r="I11" i="10"/>
  <c r="I143" i="10"/>
  <c r="I77" i="10"/>
  <c r="I121" i="10"/>
  <c r="I55" i="10"/>
  <c r="I33" i="10"/>
  <c r="I67" i="10"/>
  <c r="I111" i="10"/>
  <c r="I56" i="10"/>
  <c r="K173" i="10"/>
  <c r="K178" i="10"/>
  <c r="K170" i="10"/>
  <c r="I155" i="10"/>
  <c r="K177" i="10"/>
  <c r="J12" i="10"/>
  <c r="J45" i="10"/>
  <c r="J111" i="10"/>
  <c r="J34" i="10"/>
  <c r="J144" i="10"/>
  <c r="J67" i="10"/>
  <c r="J122" i="10"/>
  <c r="J155" i="10"/>
  <c r="J56" i="10"/>
  <c r="J78" i="10"/>
  <c r="J89" i="10"/>
  <c r="K172" i="10"/>
  <c r="J176" i="10"/>
  <c r="J179" i="11"/>
  <c r="J175" i="11"/>
  <c r="J173" i="11"/>
  <c r="K177" i="11"/>
  <c r="J174" i="11"/>
  <c r="J178" i="11"/>
  <c r="J170" i="11"/>
  <c r="J176" i="11"/>
  <c r="I171" i="11"/>
  <c r="I172" i="11"/>
  <c r="I154" i="9"/>
  <c r="I110" i="9"/>
  <c r="I88" i="9"/>
  <c r="I66" i="9"/>
  <c r="I44" i="9"/>
  <c r="I121" i="9"/>
  <c r="I55" i="9"/>
  <c r="I33" i="9"/>
  <c r="I143" i="9"/>
  <c r="I11" i="9"/>
  <c r="I77" i="9"/>
  <c r="I12" i="9"/>
  <c r="I67" i="9"/>
  <c r="I34" i="9"/>
  <c r="I144" i="9"/>
  <c r="I89" i="9"/>
  <c r="I56" i="9"/>
  <c r="I122" i="9"/>
  <c r="I155" i="9"/>
  <c r="I111" i="9"/>
  <c r="I45" i="9"/>
  <c r="I78" i="9"/>
  <c r="B175" i="10"/>
  <c r="J109" i="10" s="1"/>
  <c r="B173" i="10"/>
  <c r="J85" i="10" s="1"/>
  <c r="B178" i="10"/>
  <c r="J145" i="10" s="1"/>
  <c r="B171" i="10"/>
  <c r="J94" i="10" s="1"/>
  <c r="B170" i="10"/>
  <c r="J104" i="10" s="1"/>
  <c r="B179" i="10"/>
  <c r="J47" i="10" s="1"/>
  <c r="B174" i="10"/>
  <c r="J86" i="10" s="1"/>
  <c r="B172" i="10"/>
  <c r="J150" i="10" s="1"/>
  <c r="B161" i="17"/>
  <c r="M172" i="11" s="1"/>
  <c r="B165" i="17"/>
  <c r="M176" i="11" s="1"/>
  <c r="B160" i="17"/>
  <c r="B149" i="17" s="1"/>
  <c r="B166" i="17"/>
  <c r="M177" i="11" s="1"/>
  <c r="B162" i="17"/>
  <c r="M173" i="11" s="1"/>
  <c r="B159" i="17"/>
  <c r="B148" i="17" s="1"/>
  <c r="B164" i="17"/>
  <c r="M175" i="11" s="1"/>
  <c r="B166" i="16"/>
  <c r="B165" i="16"/>
  <c r="M176" i="10" s="1"/>
  <c r="B166" i="18"/>
  <c r="M177" i="9" s="1"/>
  <c r="B165" i="18"/>
  <c r="M176" i="9" s="1"/>
  <c r="B133" i="12"/>
  <c r="B189" i="11"/>
  <c r="B178" i="11" s="1"/>
  <c r="I101" i="11" s="1"/>
  <c r="B190" i="11"/>
  <c r="B179" i="11" s="1"/>
  <c r="I80" i="11" s="1"/>
  <c r="B185" i="11"/>
  <c r="B174" i="11" s="1"/>
  <c r="I42" i="11" s="1"/>
  <c r="B183" i="9"/>
  <c r="B182" i="9"/>
  <c r="B186" i="9"/>
  <c r="B184" i="9"/>
  <c r="B185" i="9"/>
  <c r="B189" i="9"/>
  <c r="B190" i="9"/>
  <c r="B181" i="9"/>
  <c r="K56" i="9" l="1"/>
  <c r="K89" i="9"/>
  <c r="K34" i="9"/>
  <c r="K122" i="9"/>
  <c r="K67" i="9"/>
  <c r="K12" i="9"/>
  <c r="K111" i="9"/>
  <c r="K155" i="9"/>
  <c r="K144" i="9"/>
  <c r="K78" i="9"/>
  <c r="K45" i="9"/>
  <c r="J154" i="9"/>
  <c r="J143" i="9"/>
  <c r="J110" i="9"/>
  <c r="J121" i="9"/>
  <c r="J88" i="9"/>
  <c r="J44" i="9"/>
  <c r="J77" i="9"/>
  <c r="J33" i="9"/>
  <c r="J66" i="9"/>
  <c r="J11" i="9"/>
  <c r="J55" i="9"/>
  <c r="J166" i="9"/>
  <c r="K178" i="9"/>
  <c r="K174" i="9"/>
  <c r="K179" i="9"/>
  <c r="K176" i="9"/>
  <c r="K175" i="9"/>
  <c r="J46" i="10"/>
  <c r="J53" i="10"/>
  <c r="J124" i="10"/>
  <c r="I141" i="11"/>
  <c r="J130" i="10"/>
  <c r="I14" i="11"/>
  <c r="I64" i="11"/>
  <c r="I91" i="11"/>
  <c r="I53" i="11"/>
  <c r="I25" i="11"/>
  <c r="J74" i="10"/>
  <c r="J116" i="10"/>
  <c r="I159" i="11"/>
  <c r="I159" i="17" s="1"/>
  <c r="I60" i="17" s="1"/>
  <c r="I60" i="13" s="1"/>
  <c r="I119" i="11"/>
  <c r="I102" i="11"/>
  <c r="I31" i="11"/>
  <c r="J101" i="10"/>
  <c r="J41" i="10"/>
  <c r="J14" i="10"/>
  <c r="I97" i="11"/>
  <c r="I47" i="11"/>
  <c r="J154" i="11"/>
  <c r="J110" i="11"/>
  <c r="J88" i="11"/>
  <c r="J66" i="11"/>
  <c r="J44" i="11"/>
  <c r="J143" i="11"/>
  <c r="J121" i="11"/>
  <c r="J77" i="11"/>
  <c r="J55" i="11"/>
  <c r="J33" i="11"/>
  <c r="J11" i="11"/>
  <c r="I112" i="11"/>
  <c r="I156" i="11"/>
  <c r="I162" i="11"/>
  <c r="I162" i="17" s="1"/>
  <c r="J27" i="11"/>
  <c r="J82" i="11"/>
  <c r="J137" i="11"/>
  <c r="J60" i="11"/>
  <c r="J71" i="11"/>
  <c r="J49" i="11"/>
  <c r="J115" i="11"/>
  <c r="J104" i="11"/>
  <c r="J38" i="11"/>
  <c r="J93" i="11"/>
  <c r="J16" i="11"/>
  <c r="J5" i="11"/>
  <c r="J126" i="11"/>
  <c r="J148" i="11"/>
  <c r="J7" i="10"/>
  <c r="I166" i="10"/>
  <c r="I166" i="16" s="1"/>
  <c r="I134" i="11"/>
  <c r="I35" i="11"/>
  <c r="I149" i="11"/>
  <c r="I17" i="11"/>
  <c r="I72" i="11"/>
  <c r="I39" i="11"/>
  <c r="I94" i="11"/>
  <c r="I127" i="11"/>
  <c r="I138" i="11"/>
  <c r="I83" i="11"/>
  <c r="I61" i="11"/>
  <c r="I116" i="11"/>
  <c r="I28" i="11"/>
  <c r="I105" i="11"/>
  <c r="I6" i="11"/>
  <c r="I50" i="11"/>
  <c r="J145" i="11"/>
  <c r="J123" i="11"/>
  <c r="J79" i="11"/>
  <c r="J156" i="11"/>
  <c r="J134" i="11"/>
  <c r="J112" i="11"/>
  <c r="J68" i="11"/>
  <c r="J46" i="11"/>
  <c r="J24" i="11"/>
  <c r="J13" i="11"/>
  <c r="J35" i="11"/>
  <c r="J101" i="11"/>
  <c r="J57" i="11"/>
  <c r="J90" i="11"/>
  <c r="J65" i="11"/>
  <c r="J109" i="11"/>
  <c r="J153" i="11"/>
  <c r="J10" i="11"/>
  <c r="J76" i="11"/>
  <c r="J87" i="11"/>
  <c r="J98" i="11"/>
  <c r="J131" i="11"/>
  <c r="J21" i="11"/>
  <c r="J43" i="11"/>
  <c r="J54" i="11"/>
  <c r="J120" i="11"/>
  <c r="J32" i="11"/>
  <c r="J142" i="11"/>
  <c r="J117" i="10"/>
  <c r="J123" i="10"/>
  <c r="J107" i="10"/>
  <c r="I36" i="11"/>
  <c r="I24" i="11"/>
  <c r="I68" i="11"/>
  <c r="I123" i="11"/>
  <c r="I58" i="11"/>
  <c r="I124" i="11"/>
  <c r="I157" i="11"/>
  <c r="I164" i="11"/>
  <c r="I164" i="17" s="1"/>
  <c r="I10" i="17" s="1"/>
  <c r="I10" i="13" s="1"/>
  <c r="I135" i="11"/>
  <c r="J166" i="11"/>
  <c r="J166" i="17" s="1"/>
  <c r="I13" i="11"/>
  <c r="K89" i="11"/>
  <c r="K78" i="11"/>
  <c r="K144" i="11"/>
  <c r="K111" i="11"/>
  <c r="K122" i="11"/>
  <c r="K155" i="11"/>
  <c r="K34" i="11"/>
  <c r="K67" i="11"/>
  <c r="K56" i="11"/>
  <c r="K12" i="11"/>
  <c r="K45" i="11"/>
  <c r="I117" i="11"/>
  <c r="I18" i="11"/>
  <c r="I73" i="11"/>
  <c r="I62" i="11"/>
  <c r="I150" i="11"/>
  <c r="I29" i="11"/>
  <c r="I40" i="11"/>
  <c r="I84" i="11"/>
  <c r="I7" i="11"/>
  <c r="I95" i="11"/>
  <c r="I139" i="11"/>
  <c r="I128" i="11"/>
  <c r="I106" i="11"/>
  <c r="I51" i="11"/>
  <c r="J129" i="11"/>
  <c r="J74" i="11"/>
  <c r="J151" i="11"/>
  <c r="J41" i="11"/>
  <c r="J140" i="11"/>
  <c r="J85" i="11"/>
  <c r="J118" i="11"/>
  <c r="J30" i="11"/>
  <c r="J52" i="11"/>
  <c r="J96" i="11"/>
  <c r="J8" i="11"/>
  <c r="J107" i="11"/>
  <c r="J19" i="11"/>
  <c r="J63" i="11"/>
  <c r="J105" i="10"/>
  <c r="I90" i="11"/>
  <c r="I79" i="11"/>
  <c r="I20" i="11"/>
  <c r="I75" i="11"/>
  <c r="I113" i="11"/>
  <c r="I146" i="11"/>
  <c r="J108" i="11"/>
  <c r="J42" i="11"/>
  <c r="J141" i="11"/>
  <c r="J152" i="11"/>
  <c r="J20" i="11"/>
  <c r="J86" i="11"/>
  <c r="J53" i="11"/>
  <c r="J130" i="11"/>
  <c r="J9" i="11"/>
  <c r="J31" i="11"/>
  <c r="J75" i="11"/>
  <c r="J64" i="11"/>
  <c r="J119" i="11"/>
  <c r="J97" i="11"/>
  <c r="J14" i="11"/>
  <c r="J36" i="11"/>
  <c r="J113" i="11"/>
  <c r="J25" i="11"/>
  <c r="J69" i="11"/>
  <c r="J80" i="11"/>
  <c r="J157" i="11"/>
  <c r="J135" i="11"/>
  <c r="J91" i="11"/>
  <c r="J124" i="11"/>
  <c r="J47" i="11"/>
  <c r="J58" i="11"/>
  <c r="J102" i="11"/>
  <c r="J146" i="11"/>
  <c r="J84" i="10"/>
  <c r="J35" i="10"/>
  <c r="J19" i="10"/>
  <c r="J135" i="10"/>
  <c r="J50" i="10"/>
  <c r="J141" i="10"/>
  <c r="I152" i="11"/>
  <c r="I166" i="11"/>
  <c r="I166" i="17" s="1"/>
  <c r="I57" i="11"/>
  <c r="I46" i="11"/>
  <c r="I145" i="11"/>
  <c r="I108" i="11"/>
  <c r="I69" i="11"/>
  <c r="I130" i="11"/>
  <c r="I9" i="11"/>
  <c r="I86" i="11"/>
  <c r="J18" i="10"/>
  <c r="J139" i="10"/>
  <c r="J29" i="10"/>
  <c r="J71" i="10"/>
  <c r="J82" i="10"/>
  <c r="J126" i="10"/>
  <c r="J137" i="10"/>
  <c r="J24" i="10"/>
  <c r="J57" i="10"/>
  <c r="J112" i="10"/>
  <c r="J118" i="10"/>
  <c r="J129" i="10"/>
  <c r="J140" i="10"/>
  <c r="K140" i="10"/>
  <c r="K8" i="10"/>
  <c r="K52" i="10"/>
  <c r="K30" i="10"/>
  <c r="K96" i="10"/>
  <c r="K129" i="10"/>
  <c r="K41" i="10"/>
  <c r="K19" i="10"/>
  <c r="K85" i="10"/>
  <c r="K118" i="10"/>
  <c r="K74" i="10"/>
  <c r="K63" i="10"/>
  <c r="K107" i="10"/>
  <c r="K151" i="10"/>
  <c r="J91" i="10"/>
  <c r="J36" i="10"/>
  <c r="J146" i="10"/>
  <c r="J157" i="10"/>
  <c r="J87" i="10"/>
  <c r="J43" i="10"/>
  <c r="J98" i="10"/>
  <c r="K21" i="10"/>
  <c r="K98" i="10"/>
  <c r="K65" i="10"/>
  <c r="K43" i="10"/>
  <c r="K54" i="10"/>
  <c r="K142" i="10"/>
  <c r="K153" i="10"/>
  <c r="K109" i="10"/>
  <c r="K120" i="10"/>
  <c r="K87" i="10"/>
  <c r="K32" i="10"/>
  <c r="K10" i="10"/>
  <c r="K131" i="10"/>
  <c r="K76" i="10"/>
  <c r="J28" i="10"/>
  <c r="J83" i="10"/>
  <c r="J149" i="10"/>
  <c r="J108" i="10"/>
  <c r="J64" i="10"/>
  <c r="J97" i="10"/>
  <c r="J154" i="10"/>
  <c r="J110" i="10"/>
  <c r="J88" i="10"/>
  <c r="J66" i="10"/>
  <c r="J44" i="10"/>
  <c r="J121" i="10"/>
  <c r="J55" i="10"/>
  <c r="J33" i="10"/>
  <c r="J11" i="10"/>
  <c r="J143" i="10"/>
  <c r="J77" i="10"/>
  <c r="J16" i="10"/>
  <c r="J5" i="10"/>
  <c r="J32" i="10"/>
  <c r="J65" i="10"/>
  <c r="K149" i="10"/>
  <c r="K105" i="10"/>
  <c r="K72" i="10"/>
  <c r="K28" i="10"/>
  <c r="K6" i="10"/>
  <c r="K39" i="10"/>
  <c r="K116" i="10"/>
  <c r="K83" i="10"/>
  <c r="K61" i="10"/>
  <c r="K94" i="10"/>
  <c r="K127" i="10"/>
  <c r="K138" i="10"/>
  <c r="K50" i="10"/>
  <c r="K17" i="10"/>
  <c r="I139" i="10"/>
  <c r="I40" i="10"/>
  <c r="I62" i="10"/>
  <c r="I18" i="10"/>
  <c r="I106" i="10"/>
  <c r="I7" i="10"/>
  <c r="I51" i="10"/>
  <c r="I73" i="10"/>
  <c r="I150" i="10"/>
  <c r="I84" i="10"/>
  <c r="I95" i="10"/>
  <c r="I128" i="10"/>
  <c r="I29" i="10"/>
  <c r="I117" i="10"/>
  <c r="I42" i="10"/>
  <c r="I108" i="10"/>
  <c r="I152" i="10"/>
  <c r="I119" i="10"/>
  <c r="I130" i="10"/>
  <c r="I64" i="10"/>
  <c r="I53" i="10"/>
  <c r="I31" i="10"/>
  <c r="I20" i="10"/>
  <c r="I75" i="10"/>
  <c r="I97" i="10"/>
  <c r="I86" i="10"/>
  <c r="I9" i="10"/>
  <c r="I141" i="10"/>
  <c r="I134" i="10"/>
  <c r="I68" i="10"/>
  <c r="I57" i="10"/>
  <c r="I90" i="10"/>
  <c r="I145" i="10"/>
  <c r="I156" i="10"/>
  <c r="I24" i="10"/>
  <c r="I101" i="10"/>
  <c r="I79" i="10"/>
  <c r="I123" i="10"/>
  <c r="I112" i="10"/>
  <c r="I35" i="10"/>
  <c r="I13" i="10"/>
  <c r="I46" i="10"/>
  <c r="K176" i="10"/>
  <c r="J95" i="10"/>
  <c r="J40" i="10"/>
  <c r="J51" i="10"/>
  <c r="J128" i="10"/>
  <c r="J166" i="10"/>
  <c r="J166" i="16" s="1"/>
  <c r="J38" i="10"/>
  <c r="J49" i="10"/>
  <c r="J27" i="10"/>
  <c r="J90" i="10"/>
  <c r="J68" i="10"/>
  <c r="J156" i="10"/>
  <c r="K156" i="10"/>
  <c r="K134" i="10"/>
  <c r="K112" i="10"/>
  <c r="K68" i="10"/>
  <c r="K46" i="10"/>
  <c r="K123" i="10"/>
  <c r="K145" i="10"/>
  <c r="K79" i="10"/>
  <c r="K35" i="10"/>
  <c r="K57" i="10"/>
  <c r="K90" i="10"/>
  <c r="K13" i="10"/>
  <c r="K101" i="10"/>
  <c r="K24" i="10"/>
  <c r="J52" i="10"/>
  <c r="J96" i="10"/>
  <c r="J113" i="10"/>
  <c r="J25" i="10"/>
  <c r="J80" i="10"/>
  <c r="J120" i="10"/>
  <c r="J153" i="10"/>
  <c r="J39" i="10"/>
  <c r="J138" i="10"/>
  <c r="J6" i="10"/>
  <c r="J42" i="10"/>
  <c r="J20" i="10"/>
  <c r="J119" i="10"/>
  <c r="J31" i="10"/>
  <c r="I71" i="10"/>
  <c r="I126" i="10"/>
  <c r="I104" i="10"/>
  <c r="I27" i="10"/>
  <c r="I16" i="10"/>
  <c r="I137" i="10"/>
  <c r="I82" i="10"/>
  <c r="I49" i="10"/>
  <c r="I38" i="10"/>
  <c r="I115" i="10"/>
  <c r="I148" i="10"/>
  <c r="I93" i="10"/>
  <c r="I5" i="10"/>
  <c r="I60" i="10"/>
  <c r="I142" i="10"/>
  <c r="I120" i="10"/>
  <c r="I32" i="10"/>
  <c r="I109" i="10"/>
  <c r="I153" i="10"/>
  <c r="I76" i="10"/>
  <c r="I98" i="10"/>
  <c r="I87" i="10"/>
  <c r="I43" i="10"/>
  <c r="I21" i="10"/>
  <c r="I10" i="10"/>
  <c r="I131" i="10"/>
  <c r="I65" i="10"/>
  <c r="I54" i="10"/>
  <c r="J148" i="10"/>
  <c r="J21" i="10"/>
  <c r="J131" i="10"/>
  <c r="I138" i="10"/>
  <c r="I94" i="10"/>
  <c r="I28" i="10"/>
  <c r="I116" i="10"/>
  <c r="I6" i="10"/>
  <c r="I105" i="10"/>
  <c r="I83" i="10"/>
  <c r="I39" i="10"/>
  <c r="I72" i="10"/>
  <c r="I50" i="10"/>
  <c r="I149" i="10"/>
  <c r="I127" i="10"/>
  <c r="I17" i="10"/>
  <c r="I61" i="10"/>
  <c r="I102" i="10"/>
  <c r="I14" i="10"/>
  <c r="I36" i="10"/>
  <c r="I146" i="10"/>
  <c r="I157" i="10"/>
  <c r="I135" i="10"/>
  <c r="I91" i="10"/>
  <c r="I58" i="10"/>
  <c r="I47" i="10"/>
  <c r="I113" i="10"/>
  <c r="I69" i="10"/>
  <c r="I124" i="10"/>
  <c r="I80" i="10"/>
  <c r="I25" i="10"/>
  <c r="I8" i="10"/>
  <c r="I140" i="10"/>
  <c r="I63" i="10"/>
  <c r="I96" i="10"/>
  <c r="I19" i="10"/>
  <c r="I41" i="10"/>
  <c r="I129" i="10"/>
  <c r="I107" i="10"/>
  <c r="I74" i="10"/>
  <c r="I151" i="10"/>
  <c r="I30" i="10"/>
  <c r="I52" i="10"/>
  <c r="I118" i="10"/>
  <c r="I85" i="10"/>
  <c r="J73" i="10"/>
  <c r="J106" i="10"/>
  <c r="J62" i="10"/>
  <c r="K40" i="10"/>
  <c r="K51" i="10"/>
  <c r="K106" i="10"/>
  <c r="K117" i="10"/>
  <c r="K73" i="10"/>
  <c r="K7" i="10"/>
  <c r="K128" i="10"/>
  <c r="K150" i="10"/>
  <c r="K139" i="10"/>
  <c r="K84" i="10"/>
  <c r="K29" i="10"/>
  <c r="K95" i="10"/>
  <c r="K18" i="10"/>
  <c r="K62" i="10"/>
  <c r="K144" i="10"/>
  <c r="K67" i="10"/>
  <c r="K122" i="10"/>
  <c r="K155" i="10"/>
  <c r="K56" i="10"/>
  <c r="K78" i="10"/>
  <c r="K89" i="10"/>
  <c r="K12" i="10"/>
  <c r="K45" i="10"/>
  <c r="K111" i="10"/>
  <c r="K34" i="10"/>
  <c r="J93" i="10"/>
  <c r="J115" i="10"/>
  <c r="J60" i="10"/>
  <c r="K148" i="10"/>
  <c r="K115" i="10"/>
  <c r="K49" i="10"/>
  <c r="K71" i="10"/>
  <c r="K16" i="10"/>
  <c r="K93" i="10"/>
  <c r="K27" i="10"/>
  <c r="K82" i="10"/>
  <c r="K104" i="10"/>
  <c r="K137" i="10"/>
  <c r="K126" i="10"/>
  <c r="K60" i="10"/>
  <c r="K38" i="10"/>
  <c r="K5" i="10"/>
  <c r="J13" i="10"/>
  <c r="J134" i="10"/>
  <c r="J79" i="10"/>
  <c r="J63" i="10"/>
  <c r="J8" i="10"/>
  <c r="J151" i="10"/>
  <c r="J30" i="10"/>
  <c r="J69" i="10"/>
  <c r="J58" i="10"/>
  <c r="J102" i="10"/>
  <c r="K102" i="10"/>
  <c r="K80" i="10"/>
  <c r="K146" i="10"/>
  <c r="K25" i="10"/>
  <c r="K14" i="10"/>
  <c r="K135" i="10"/>
  <c r="K69" i="10"/>
  <c r="K58" i="10"/>
  <c r="K113" i="10"/>
  <c r="K36" i="10"/>
  <c r="K47" i="10"/>
  <c r="K91" i="10"/>
  <c r="K157" i="10"/>
  <c r="K124" i="10"/>
  <c r="J10" i="10"/>
  <c r="J142" i="10"/>
  <c r="J54" i="10"/>
  <c r="J76" i="10"/>
  <c r="J17" i="10"/>
  <c r="J127" i="10"/>
  <c r="J72" i="10"/>
  <c r="J61" i="10"/>
  <c r="J152" i="10"/>
  <c r="J9" i="10"/>
  <c r="J75" i="10"/>
  <c r="K141" i="10"/>
  <c r="K9" i="10"/>
  <c r="K64" i="10"/>
  <c r="K42" i="10"/>
  <c r="K152" i="10"/>
  <c r="K119" i="10"/>
  <c r="K130" i="10"/>
  <c r="K53" i="10"/>
  <c r="K20" i="10"/>
  <c r="K108" i="10"/>
  <c r="K31" i="10"/>
  <c r="K86" i="10"/>
  <c r="K97" i="10"/>
  <c r="K75" i="10"/>
  <c r="B163" i="16"/>
  <c r="B164" i="16"/>
  <c r="B10" i="16" s="1"/>
  <c r="B10" i="12" s="1"/>
  <c r="B168" i="16"/>
  <c r="B80" i="16" s="1"/>
  <c r="B80" i="12" s="1"/>
  <c r="B162" i="16"/>
  <c r="K170" i="11"/>
  <c r="K178" i="11"/>
  <c r="K175" i="11"/>
  <c r="K176" i="11"/>
  <c r="K174" i="11"/>
  <c r="K173" i="11"/>
  <c r="K179" i="11"/>
  <c r="J172" i="11"/>
  <c r="J171" i="11"/>
  <c r="I166" i="9"/>
  <c r="I166" i="18" s="1"/>
  <c r="I78" i="18" s="1"/>
  <c r="I78" i="6" s="1"/>
  <c r="B161" i="16"/>
  <c r="B160" i="16"/>
  <c r="B116" i="16" s="1"/>
  <c r="B116" i="12" s="1"/>
  <c r="B159" i="16"/>
  <c r="B167" i="17"/>
  <c r="B163" i="17"/>
  <c r="B168" i="17"/>
  <c r="B153" i="17"/>
  <c r="B153" i="13" s="1"/>
  <c r="B154" i="17"/>
  <c r="B154" i="13" s="1"/>
  <c r="M170" i="11"/>
  <c r="M171" i="11"/>
  <c r="B155" i="16"/>
  <c r="B155" i="12" s="1"/>
  <c r="M177" i="10"/>
  <c r="B122" i="18"/>
  <c r="B122" i="6" s="1"/>
  <c r="B110" i="18"/>
  <c r="B110" i="6" s="1"/>
  <c r="B121" i="18"/>
  <c r="B121" i="6" s="1"/>
  <c r="B154" i="18"/>
  <c r="B154" i="6" s="1"/>
  <c r="B143" i="18"/>
  <c r="B143" i="6" s="1"/>
  <c r="B144" i="16"/>
  <c r="B144" i="12" s="1"/>
  <c r="B34" i="16"/>
  <c r="B34" i="12" s="1"/>
  <c r="B56" i="16"/>
  <c r="B56" i="12" s="1"/>
  <c r="B122" i="16"/>
  <c r="B122" i="12" s="1"/>
  <c r="B89" i="16"/>
  <c r="B89" i="12" s="1"/>
  <c r="B78" i="16"/>
  <c r="B78" i="12" s="1"/>
  <c r="B12" i="16"/>
  <c r="B12" i="12" s="1"/>
  <c r="B67" i="16"/>
  <c r="B67" i="12" s="1"/>
  <c r="B144" i="18"/>
  <c r="B144" i="6" s="1"/>
  <c r="B111" i="16"/>
  <c r="B111" i="12" s="1"/>
  <c r="B45" i="16"/>
  <c r="B45" i="12" s="1"/>
  <c r="B34" i="18"/>
  <c r="B34" i="6" s="1"/>
  <c r="B78" i="18"/>
  <c r="B78" i="6" s="1"/>
  <c r="B171" i="9"/>
  <c r="K127" i="9" s="1"/>
  <c r="B179" i="9"/>
  <c r="J14" i="9" s="1"/>
  <c r="B170" i="9"/>
  <c r="K38" i="9" s="1"/>
  <c r="B173" i="9"/>
  <c r="K63" i="9" s="1"/>
  <c r="B45" i="18"/>
  <c r="B45" i="6" s="1"/>
  <c r="B155" i="18"/>
  <c r="B155" i="6" s="1"/>
  <c r="B12" i="18"/>
  <c r="B12" i="6" s="1"/>
  <c r="B56" i="18"/>
  <c r="B56" i="6" s="1"/>
  <c r="B111" i="18"/>
  <c r="B111" i="6" s="1"/>
  <c r="B178" i="9"/>
  <c r="J145" i="9" s="1"/>
  <c r="B175" i="9"/>
  <c r="J98" i="9" s="1"/>
  <c r="B174" i="9"/>
  <c r="J119" i="9" s="1"/>
  <c r="B172" i="9"/>
  <c r="K84" i="9" s="1"/>
  <c r="B89" i="18"/>
  <c r="B89" i="6" s="1"/>
  <c r="B67" i="18"/>
  <c r="B67" i="6" s="1"/>
  <c r="B150" i="17"/>
  <c r="B150" i="13" s="1"/>
  <c r="B151" i="17"/>
  <c r="B151" i="13" s="1"/>
  <c r="B144" i="17"/>
  <c r="B144" i="13" s="1"/>
  <c r="B155" i="17"/>
  <c r="B155" i="13" s="1"/>
  <c r="B143" i="17"/>
  <c r="B143" i="13" s="1"/>
  <c r="B132" i="17"/>
  <c r="B132" i="13" s="1"/>
  <c r="B127" i="17"/>
  <c r="B127" i="13" s="1"/>
  <c r="B138" i="17"/>
  <c r="B138" i="13" s="1"/>
  <c r="B142" i="17"/>
  <c r="B142" i="13" s="1"/>
  <c r="B131" i="17"/>
  <c r="B131" i="13" s="1"/>
  <c r="B126" i="17"/>
  <c r="B126" i="13" s="1"/>
  <c r="B137" i="17"/>
  <c r="B137" i="13" s="1"/>
  <c r="B111" i="17"/>
  <c r="B111" i="13" s="1"/>
  <c r="B122" i="17"/>
  <c r="B122" i="13" s="1"/>
  <c r="B98" i="17"/>
  <c r="B98" i="13" s="1"/>
  <c r="B109" i="17"/>
  <c r="B109" i="13" s="1"/>
  <c r="B120" i="17"/>
  <c r="B120" i="13" s="1"/>
  <c r="B121" i="17"/>
  <c r="B121" i="13" s="1"/>
  <c r="B110" i="17"/>
  <c r="B110" i="13" s="1"/>
  <c r="B116" i="17"/>
  <c r="B116" i="13" s="1"/>
  <c r="B105" i="17"/>
  <c r="B105" i="13" s="1"/>
  <c r="B104" i="17"/>
  <c r="B104" i="13" s="1"/>
  <c r="B115" i="17"/>
  <c r="B89" i="17"/>
  <c r="B89" i="13" s="1"/>
  <c r="B78" i="17"/>
  <c r="B78" i="13" s="1"/>
  <c r="B88" i="17"/>
  <c r="B88" i="13" s="1"/>
  <c r="B77" i="17"/>
  <c r="B77" i="13" s="1"/>
  <c r="B72" i="17"/>
  <c r="B72" i="13" s="1"/>
  <c r="B83" i="17"/>
  <c r="B83" i="13" s="1"/>
  <c r="B76" i="17"/>
  <c r="B76" i="13" s="1"/>
  <c r="B87" i="17"/>
  <c r="B87" i="13" s="1"/>
  <c r="B82" i="17"/>
  <c r="B71" i="17"/>
  <c r="B45" i="17"/>
  <c r="B45" i="13" s="1"/>
  <c r="B56" i="17"/>
  <c r="B56" i="13" s="1"/>
  <c r="B67" i="17"/>
  <c r="B67" i="13" s="1"/>
  <c r="B44" i="17"/>
  <c r="B44" i="13" s="1"/>
  <c r="B66" i="17"/>
  <c r="B66" i="13" s="1"/>
  <c r="B55" i="17"/>
  <c r="B55" i="13" s="1"/>
  <c r="B39" i="17"/>
  <c r="B39" i="13" s="1"/>
  <c r="B61" i="17"/>
  <c r="B61" i="13" s="1"/>
  <c r="B50" i="17"/>
  <c r="B50" i="13" s="1"/>
  <c r="B43" i="17"/>
  <c r="B43" i="13" s="1"/>
  <c r="B54" i="17"/>
  <c r="B65" i="17"/>
  <c r="B65" i="13" s="1"/>
  <c r="B38" i="17"/>
  <c r="B49" i="17"/>
  <c r="B60" i="17"/>
  <c r="B60" i="13" s="1"/>
  <c r="B28" i="17"/>
  <c r="B28" i="13" s="1"/>
  <c r="B32" i="17"/>
  <c r="B32" i="13" s="1"/>
  <c r="B34" i="17"/>
  <c r="B34" i="13" s="1"/>
  <c r="B33" i="17"/>
  <c r="B33" i="13" s="1"/>
  <c r="B27" i="17"/>
  <c r="B12" i="17"/>
  <c r="B12" i="13" s="1"/>
  <c r="B11" i="17"/>
  <c r="B11" i="13" s="1"/>
  <c r="B6" i="17"/>
  <c r="B6" i="13" s="1"/>
  <c r="B21" i="17"/>
  <c r="B21" i="13" s="1"/>
  <c r="B10" i="17"/>
  <c r="B10" i="13" s="1"/>
  <c r="B5" i="17"/>
  <c r="B5" i="13" s="1"/>
  <c r="B154" i="16"/>
  <c r="B154" i="12" s="1"/>
  <c r="B143" i="16"/>
  <c r="B143" i="12" s="1"/>
  <c r="B132" i="16"/>
  <c r="B132" i="12" s="1"/>
  <c r="B121" i="16"/>
  <c r="B121" i="12" s="1"/>
  <c r="B110" i="16"/>
  <c r="B110" i="12" s="1"/>
  <c r="B88" i="16"/>
  <c r="B88" i="12" s="1"/>
  <c r="B77" i="16"/>
  <c r="B77" i="12" s="1"/>
  <c r="B66" i="16"/>
  <c r="B66" i="12" s="1"/>
  <c r="B55" i="16"/>
  <c r="B55" i="12" s="1"/>
  <c r="B44" i="16"/>
  <c r="B44" i="12" s="1"/>
  <c r="B33" i="16"/>
  <c r="B33" i="12" s="1"/>
  <c r="B11" i="16"/>
  <c r="B11" i="12" s="1"/>
  <c r="B149" i="13"/>
  <c r="B148" i="13"/>
  <c r="B133" i="13"/>
  <c r="B77" i="18"/>
  <c r="B77" i="6" s="1"/>
  <c r="B88" i="18"/>
  <c r="B88" i="6" s="1"/>
  <c r="B55" i="18"/>
  <c r="B55" i="6" s="1"/>
  <c r="B66" i="18"/>
  <c r="B66" i="6" s="1"/>
  <c r="B33" i="18"/>
  <c r="B33" i="6" s="1"/>
  <c r="B44" i="18"/>
  <c r="B44" i="6" s="1"/>
  <c r="B11" i="18"/>
  <c r="B11" i="6" s="1"/>
  <c r="K7" i="9" l="1"/>
  <c r="J58" i="9"/>
  <c r="J112" i="9"/>
  <c r="K83" i="9"/>
  <c r="J142" i="9"/>
  <c r="K128" i="9"/>
  <c r="J43" i="9"/>
  <c r="J157" i="9"/>
  <c r="K49" i="9"/>
  <c r="K61" i="9"/>
  <c r="K29" i="9"/>
  <c r="J153" i="9"/>
  <c r="J135" i="9"/>
  <c r="J24" i="9"/>
  <c r="K16" i="9"/>
  <c r="K17" i="9"/>
  <c r="J120" i="9"/>
  <c r="J69" i="9"/>
  <c r="J46" i="9"/>
  <c r="K149" i="9"/>
  <c r="J42" i="9"/>
  <c r="J152" i="9"/>
  <c r="K151" i="9"/>
  <c r="J38" i="9"/>
  <c r="J93" i="9"/>
  <c r="J137" i="9"/>
  <c r="J5" i="9"/>
  <c r="J82" i="9"/>
  <c r="J104" i="9"/>
  <c r="J126" i="9"/>
  <c r="J49" i="9"/>
  <c r="J16" i="9"/>
  <c r="J60" i="9"/>
  <c r="J71" i="9"/>
  <c r="J27" i="9"/>
  <c r="J115" i="9"/>
  <c r="J148" i="9"/>
  <c r="K150" i="9"/>
  <c r="K62" i="9"/>
  <c r="K117" i="9"/>
  <c r="K40" i="9"/>
  <c r="J65" i="9"/>
  <c r="J109" i="9"/>
  <c r="J87" i="9"/>
  <c r="J91" i="9"/>
  <c r="J47" i="9"/>
  <c r="J80" i="9"/>
  <c r="J25" i="9"/>
  <c r="J13" i="9"/>
  <c r="J68" i="9"/>
  <c r="J123" i="9"/>
  <c r="J64" i="9"/>
  <c r="J31" i="9"/>
  <c r="J53" i="9"/>
  <c r="J130" i="9"/>
  <c r="K5" i="9"/>
  <c r="K27" i="9"/>
  <c r="K148" i="9"/>
  <c r="K105" i="9"/>
  <c r="K28" i="9"/>
  <c r="K6" i="9"/>
  <c r="K39" i="9"/>
  <c r="K52" i="9"/>
  <c r="K118" i="9"/>
  <c r="J107" i="9"/>
  <c r="J41" i="9"/>
  <c r="J52" i="9"/>
  <c r="J63" i="9"/>
  <c r="J140" i="9"/>
  <c r="J96" i="9"/>
  <c r="J85" i="9"/>
  <c r="J30" i="9"/>
  <c r="J118" i="9"/>
  <c r="J19" i="9"/>
  <c r="J129" i="9"/>
  <c r="J151" i="9"/>
  <c r="J74" i="9"/>
  <c r="J8" i="9"/>
  <c r="K153" i="9"/>
  <c r="K98" i="9"/>
  <c r="K131" i="9"/>
  <c r="K87" i="9"/>
  <c r="K43" i="9"/>
  <c r="K54" i="9"/>
  <c r="K76" i="9"/>
  <c r="K109" i="9"/>
  <c r="K142" i="9"/>
  <c r="K65" i="9"/>
  <c r="K120" i="9"/>
  <c r="K32" i="9"/>
  <c r="K10" i="9"/>
  <c r="K21" i="9"/>
  <c r="J108" i="9"/>
  <c r="J75" i="9"/>
  <c r="K107" i="9"/>
  <c r="K156" i="9"/>
  <c r="K145" i="9"/>
  <c r="K134" i="9"/>
  <c r="K123" i="9"/>
  <c r="K112" i="9"/>
  <c r="K79" i="9"/>
  <c r="K68" i="9"/>
  <c r="K46" i="9"/>
  <c r="K90" i="9"/>
  <c r="K101" i="9"/>
  <c r="K24" i="9"/>
  <c r="K57" i="9"/>
  <c r="K13" i="9"/>
  <c r="K35" i="9"/>
  <c r="K106" i="9"/>
  <c r="K139" i="9"/>
  <c r="K95" i="9"/>
  <c r="J21" i="9"/>
  <c r="J76" i="9"/>
  <c r="J131" i="9"/>
  <c r="K166" i="9"/>
  <c r="J102" i="9"/>
  <c r="J146" i="9"/>
  <c r="J36" i="9"/>
  <c r="J35" i="9"/>
  <c r="J90" i="9"/>
  <c r="J79" i="9"/>
  <c r="J134" i="9"/>
  <c r="J141" i="9"/>
  <c r="J97" i="9"/>
  <c r="J9" i="9"/>
  <c r="K93" i="9"/>
  <c r="K137" i="9"/>
  <c r="K126" i="9"/>
  <c r="K60" i="9"/>
  <c r="K50" i="9"/>
  <c r="K72" i="9"/>
  <c r="K74" i="9"/>
  <c r="K8" i="9"/>
  <c r="K129" i="9"/>
  <c r="K19" i="9"/>
  <c r="K25" i="9"/>
  <c r="K157" i="9"/>
  <c r="K14" i="9"/>
  <c r="K36" i="9"/>
  <c r="K80" i="9"/>
  <c r="K58" i="9"/>
  <c r="K113" i="9"/>
  <c r="K146" i="9"/>
  <c r="K47" i="9"/>
  <c r="K102" i="9"/>
  <c r="K91" i="9"/>
  <c r="K69" i="9"/>
  <c r="K124" i="9"/>
  <c r="K135" i="9"/>
  <c r="K41" i="9"/>
  <c r="K9" i="9"/>
  <c r="K53" i="9"/>
  <c r="K75" i="9"/>
  <c r="K20" i="9"/>
  <c r="K97" i="9"/>
  <c r="K31" i="9"/>
  <c r="K42" i="9"/>
  <c r="K86" i="9"/>
  <c r="K130" i="9"/>
  <c r="K152" i="9"/>
  <c r="K119" i="9"/>
  <c r="K141" i="9"/>
  <c r="K64" i="9"/>
  <c r="K108" i="9"/>
  <c r="J84" i="9"/>
  <c r="J18" i="9"/>
  <c r="J150" i="9"/>
  <c r="J51" i="9"/>
  <c r="J95" i="9"/>
  <c r="J73" i="9"/>
  <c r="J128" i="9"/>
  <c r="J40" i="9"/>
  <c r="J106" i="9"/>
  <c r="J139" i="9"/>
  <c r="J7" i="9"/>
  <c r="J29" i="9"/>
  <c r="J117" i="9"/>
  <c r="J62" i="9"/>
  <c r="J149" i="9"/>
  <c r="J17" i="9"/>
  <c r="J61" i="9"/>
  <c r="J83" i="9"/>
  <c r="J6" i="9"/>
  <c r="J116" i="9"/>
  <c r="J138" i="9"/>
  <c r="J94" i="9"/>
  <c r="J28" i="9"/>
  <c r="J127" i="9"/>
  <c r="J72" i="9"/>
  <c r="J50" i="9"/>
  <c r="J39" i="9"/>
  <c r="J105" i="9"/>
  <c r="K11" i="9"/>
  <c r="K154" i="9"/>
  <c r="K143" i="9"/>
  <c r="K121" i="9"/>
  <c r="K110" i="9"/>
  <c r="K88" i="9"/>
  <c r="K77" i="9"/>
  <c r="K66" i="9"/>
  <c r="K55" i="9"/>
  <c r="K44" i="9"/>
  <c r="K33" i="9"/>
  <c r="K51" i="9"/>
  <c r="K18" i="9"/>
  <c r="K73" i="9"/>
  <c r="J32" i="9"/>
  <c r="J10" i="9"/>
  <c r="J54" i="9"/>
  <c r="J124" i="9"/>
  <c r="J113" i="9"/>
  <c r="J57" i="9"/>
  <c r="J101" i="9"/>
  <c r="J156" i="9"/>
  <c r="J86" i="9"/>
  <c r="J20" i="9"/>
  <c r="K115" i="9"/>
  <c r="K71" i="9"/>
  <c r="K104" i="9"/>
  <c r="K82" i="9"/>
  <c r="K94" i="9"/>
  <c r="K138" i="9"/>
  <c r="K116" i="9"/>
  <c r="K30" i="9"/>
  <c r="K85" i="9"/>
  <c r="K96" i="9"/>
  <c r="K140" i="9"/>
  <c r="I12" i="18"/>
  <c r="I12" i="6" s="1"/>
  <c r="I155" i="18"/>
  <c r="I155" i="6" s="1"/>
  <c r="I67" i="18"/>
  <c r="I67" i="6" s="1"/>
  <c r="I34" i="18"/>
  <c r="I34" i="6" s="1"/>
  <c r="I89" i="18"/>
  <c r="I89" i="6" s="1"/>
  <c r="I56" i="18"/>
  <c r="I56" i="6" s="1"/>
  <c r="I111" i="18"/>
  <c r="I111" i="6" s="1"/>
  <c r="I45" i="18"/>
  <c r="I45" i="6" s="1"/>
  <c r="I144" i="18"/>
  <c r="I144" i="6" s="1"/>
  <c r="I122" i="18"/>
  <c r="I122" i="6" s="1"/>
  <c r="B113" i="16"/>
  <c r="B113" i="12" s="1"/>
  <c r="I155" i="17"/>
  <c r="I155" i="13" s="1"/>
  <c r="B32" i="16"/>
  <c r="B32" i="12" s="1"/>
  <c r="B54" i="16"/>
  <c r="B54" i="12" s="1"/>
  <c r="M175" i="10"/>
  <c r="J162" i="11"/>
  <c r="J162" i="17" s="1"/>
  <c r="I168" i="11"/>
  <c r="I168" i="17" s="1"/>
  <c r="J18" i="11"/>
  <c r="J73" i="11"/>
  <c r="J62" i="11"/>
  <c r="J150" i="11"/>
  <c r="J29" i="11"/>
  <c r="J51" i="11"/>
  <c r="J40" i="11"/>
  <c r="J95" i="11"/>
  <c r="J139" i="11"/>
  <c r="J128" i="11"/>
  <c r="J106" i="11"/>
  <c r="J117" i="11"/>
  <c r="J84" i="11"/>
  <c r="J7" i="11"/>
  <c r="K113" i="11"/>
  <c r="K25" i="11"/>
  <c r="K157" i="11"/>
  <c r="K91" i="11"/>
  <c r="K146" i="11"/>
  <c r="K47" i="11"/>
  <c r="K58" i="11"/>
  <c r="K135" i="11"/>
  <c r="K124" i="11"/>
  <c r="K69" i="11"/>
  <c r="K80" i="11"/>
  <c r="K14" i="11"/>
  <c r="K36" i="11"/>
  <c r="K102" i="11"/>
  <c r="K151" i="11"/>
  <c r="K41" i="11"/>
  <c r="K140" i="11"/>
  <c r="K30" i="11"/>
  <c r="K107" i="11"/>
  <c r="K96" i="11"/>
  <c r="K8" i="11"/>
  <c r="K85" i="11"/>
  <c r="K118" i="11"/>
  <c r="K129" i="11"/>
  <c r="K74" i="11"/>
  <c r="K19" i="11"/>
  <c r="K63" i="11"/>
  <c r="K52" i="11"/>
  <c r="I167" i="10"/>
  <c r="J83" i="11"/>
  <c r="J138" i="11"/>
  <c r="J39" i="11"/>
  <c r="J94" i="11"/>
  <c r="J6" i="11"/>
  <c r="J50" i="11"/>
  <c r="J28" i="11"/>
  <c r="J127" i="11"/>
  <c r="J149" i="11"/>
  <c r="J72" i="11"/>
  <c r="J105" i="11"/>
  <c r="J61" i="11"/>
  <c r="J116" i="11"/>
  <c r="J17" i="11"/>
  <c r="J168" i="10"/>
  <c r="J168" i="16" s="1"/>
  <c r="I163" i="11"/>
  <c r="I163" i="17" s="1"/>
  <c r="J168" i="11"/>
  <c r="J168" i="17" s="1"/>
  <c r="K166" i="11"/>
  <c r="K166" i="17" s="1"/>
  <c r="J159" i="11"/>
  <c r="J159" i="17" s="1"/>
  <c r="K143" i="11"/>
  <c r="K121" i="11"/>
  <c r="K77" i="11"/>
  <c r="K55" i="11"/>
  <c r="K110" i="11"/>
  <c r="K154" i="11"/>
  <c r="K44" i="11"/>
  <c r="K66" i="11"/>
  <c r="K88" i="11"/>
  <c r="K33" i="11"/>
  <c r="K11" i="11"/>
  <c r="K153" i="11"/>
  <c r="K10" i="11"/>
  <c r="K76" i="11"/>
  <c r="K87" i="11"/>
  <c r="K21" i="11"/>
  <c r="K142" i="11"/>
  <c r="K32" i="11"/>
  <c r="K43" i="11"/>
  <c r="K109" i="11"/>
  <c r="K131" i="11"/>
  <c r="K65" i="11"/>
  <c r="K54" i="11"/>
  <c r="K98" i="11"/>
  <c r="K120" i="11"/>
  <c r="J163" i="11"/>
  <c r="J163" i="17" s="1"/>
  <c r="I161" i="11"/>
  <c r="I161" i="17" s="1"/>
  <c r="I167" i="11"/>
  <c r="I167" i="17" s="1"/>
  <c r="J164" i="11"/>
  <c r="J164" i="17" s="1"/>
  <c r="J167" i="11"/>
  <c r="J167" i="17" s="1"/>
  <c r="B14" i="16"/>
  <c r="B14" i="12" s="1"/>
  <c r="B135" i="16"/>
  <c r="B135" i="12" s="1"/>
  <c r="K156" i="11"/>
  <c r="K134" i="11"/>
  <c r="K112" i="11"/>
  <c r="K68" i="11"/>
  <c r="K46" i="11"/>
  <c r="K79" i="11"/>
  <c r="K145" i="11"/>
  <c r="K123" i="11"/>
  <c r="K101" i="11"/>
  <c r="K57" i="11"/>
  <c r="K13" i="11"/>
  <c r="K90" i="11"/>
  <c r="K24" i="11"/>
  <c r="K35" i="11"/>
  <c r="J161" i="10"/>
  <c r="J161" i="16" s="1"/>
  <c r="K53" i="11"/>
  <c r="K152" i="11"/>
  <c r="K86" i="11"/>
  <c r="K130" i="11"/>
  <c r="K119" i="11"/>
  <c r="K31" i="11"/>
  <c r="K141" i="11"/>
  <c r="K75" i="11"/>
  <c r="K64" i="11"/>
  <c r="K42" i="11"/>
  <c r="K20" i="11"/>
  <c r="K9" i="11"/>
  <c r="K108" i="11"/>
  <c r="K97" i="11"/>
  <c r="K148" i="11"/>
  <c r="K93" i="11"/>
  <c r="K16" i="11"/>
  <c r="K5" i="11"/>
  <c r="K126" i="11"/>
  <c r="K137" i="11"/>
  <c r="K49" i="11"/>
  <c r="K82" i="11"/>
  <c r="K60" i="11"/>
  <c r="K115" i="11"/>
  <c r="K27" i="11"/>
  <c r="K71" i="11"/>
  <c r="K104" i="11"/>
  <c r="K38" i="11"/>
  <c r="K159" i="10"/>
  <c r="K159" i="16" s="1"/>
  <c r="K166" i="10"/>
  <c r="K166" i="16" s="1"/>
  <c r="K161" i="10"/>
  <c r="K161" i="16" s="1"/>
  <c r="I160" i="11"/>
  <c r="I160" i="17" s="1"/>
  <c r="K168" i="10"/>
  <c r="K168" i="16" s="1"/>
  <c r="J159" i="10"/>
  <c r="J159" i="16" s="1"/>
  <c r="K162" i="10"/>
  <c r="K162" i="16" s="1"/>
  <c r="J163" i="10"/>
  <c r="J163" i="16" s="1"/>
  <c r="I162" i="10"/>
  <c r="I162" i="16" s="1"/>
  <c r="I160" i="10"/>
  <c r="I160" i="16" s="1"/>
  <c r="K143" i="10"/>
  <c r="K121" i="10"/>
  <c r="K77" i="10"/>
  <c r="K55" i="10"/>
  <c r="K154" i="10"/>
  <c r="K110" i="10"/>
  <c r="K44" i="10"/>
  <c r="K66" i="10"/>
  <c r="K88" i="10"/>
  <c r="K33" i="10"/>
  <c r="K11" i="10"/>
  <c r="I163" i="10"/>
  <c r="I163" i="16" s="1"/>
  <c r="K160" i="10"/>
  <c r="K160" i="16" s="1"/>
  <c r="K164" i="10"/>
  <c r="K164" i="16" s="1"/>
  <c r="K163" i="10"/>
  <c r="K163" i="16" s="1"/>
  <c r="J164" i="10"/>
  <c r="J164" i="16" s="1"/>
  <c r="J162" i="10"/>
  <c r="J162" i="16" s="1"/>
  <c r="J167" i="10"/>
  <c r="I168" i="10"/>
  <c r="I168" i="16" s="1"/>
  <c r="I164" i="10"/>
  <c r="I164" i="16" s="1"/>
  <c r="I159" i="10"/>
  <c r="I159" i="16" s="1"/>
  <c r="J160" i="10"/>
  <c r="J160" i="16" s="1"/>
  <c r="K167" i="10"/>
  <c r="I161" i="10"/>
  <c r="I161" i="16" s="1"/>
  <c r="B127" i="16"/>
  <c r="B127" i="12" s="1"/>
  <c r="I131" i="17"/>
  <c r="I131" i="13" s="1"/>
  <c r="I45" i="17"/>
  <c r="I45" i="13" s="1"/>
  <c r="I148" i="17"/>
  <c r="I148" i="13" s="1"/>
  <c r="I126" i="17"/>
  <c r="I98" i="17"/>
  <c r="I98" i="13" s="1"/>
  <c r="I27" i="17"/>
  <c r="I27" i="13" s="1"/>
  <c r="I49" i="17"/>
  <c r="I49" i="13" s="1"/>
  <c r="K172" i="11"/>
  <c r="I43" i="17"/>
  <c r="I43" i="13" s="1"/>
  <c r="I89" i="17"/>
  <c r="I89" i="13" s="1"/>
  <c r="I56" i="17"/>
  <c r="I56" i="13" s="1"/>
  <c r="I78" i="17"/>
  <c r="I78" i="13" s="1"/>
  <c r="I122" i="17"/>
  <c r="I122" i="13" s="1"/>
  <c r="I34" i="17"/>
  <c r="I34" i="13" s="1"/>
  <c r="I67" i="17"/>
  <c r="I67" i="13" s="1"/>
  <c r="I111" i="17"/>
  <c r="I111" i="13" s="1"/>
  <c r="I142" i="17"/>
  <c r="I142" i="13" s="1"/>
  <c r="I76" i="17"/>
  <c r="I76" i="13" s="1"/>
  <c r="I87" i="17"/>
  <c r="I87" i="13" s="1"/>
  <c r="I65" i="17"/>
  <c r="I65" i="13" s="1"/>
  <c r="I109" i="17"/>
  <c r="I109" i="13" s="1"/>
  <c r="I153" i="17"/>
  <c r="I153" i="13" s="1"/>
  <c r="I32" i="17"/>
  <c r="I32" i="13" s="1"/>
  <c r="I54" i="17"/>
  <c r="I54" i="13" s="1"/>
  <c r="I144" i="17"/>
  <c r="I144" i="13" s="1"/>
  <c r="I12" i="17"/>
  <c r="I12" i="13" s="1"/>
  <c r="I21" i="17"/>
  <c r="I21" i="13" s="1"/>
  <c r="I120" i="17"/>
  <c r="I120" i="13" s="1"/>
  <c r="K171" i="11"/>
  <c r="I5" i="17"/>
  <c r="I137" i="17"/>
  <c r="I104" i="17"/>
  <c r="I71" i="17"/>
  <c r="I71" i="13" s="1"/>
  <c r="I38" i="17"/>
  <c r="I115" i="17"/>
  <c r="I82" i="17"/>
  <c r="I145" i="9"/>
  <c r="I123" i="9"/>
  <c r="I79" i="9"/>
  <c r="I156" i="9"/>
  <c r="I112" i="9"/>
  <c r="I46" i="9"/>
  <c r="I134" i="9"/>
  <c r="I68" i="9"/>
  <c r="I35" i="9"/>
  <c r="I90" i="9"/>
  <c r="I101" i="9"/>
  <c r="I13" i="9"/>
  <c r="I24" i="9"/>
  <c r="I57" i="9"/>
  <c r="B124" i="16"/>
  <c r="B124" i="12" s="1"/>
  <c r="I102" i="9"/>
  <c r="I14" i="9"/>
  <c r="I47" i="9"/>
  <c r="I36" i="9"/>
  <c r="I25" i="9"/>
  <c r="I69" i="9"/>
  <c r="I146" i="9"/>
  <c r="I157" i="9"/>
  <c r="I124" i="9"/>
  <c r="I58" i="9"/>
  <c r="I113" i="9"/>
  <c r="I91" i="9"/>
  <c r="I80" i="9"/>
  <c r="I135" i="9"/>
  <c r="B86" i="16"/>
  <c r="B86" i="12" s="1"/>
  <c r="I141" i="9"/>
  <c r="I119" i="9"/>
  <c r="I75" i="9"/>
  <c r="I86" i="9"/>
  <c r="I53" i="9"/>
  <c r="I9" i="9"/>
  <c r="I97" i="9"/>
  <c r="I108" i="9"/>
  <c r="I31" i="9"/>
  <c r="I64" i="9"/>
  <c r="I130" i="9"/>
  <c r="I42" i="9"/>
  <c r="I20" i="9"/>
  <c r="I152" i="9"/>
  <c r="M173" i="10"/>
  <c r="I129" i="9"/>
  <c r="I41" i="9"/>
  <c r="I8" i="9"/>
  <c r="I140" i="9"/>
  <c r="I96" i="9"/>
  <c r="I107" i="9"/>
  <c r="I19" i="9"/>
  <c r="I118" i="9"/>
  <c r="I63" i="9"/>
  <c r="I30" i="9"/>
  <c r="I85" i="9"/>
  <c r="I52" i="9"/>
  <c r="I74" i="9"/>
  <c r="I151" i="9"/>
  <c r="J166" i="18"/>
  <c r="J45" i="18" s="1"/>
  <c r="J45" i="6" s="1"/>
  <c r="M172" i="10"/>
  <c r="I18" i="9"/>
  <c r="I7" i="9"/>
  <c r="I150" i="9"/>
  <c r="I117" i="9"/>
  <c r="I73" i="9"/>
  <c r="I62" i="9"/>
  <c r="I139" i="9"/>
  <c r="I51" i="9"/>
  <c r="I106" i="9"/>
  <c r="I128" i="9"/>
  <c r="I40" i="9"/>
  <c r="I95" i="9"/>
  <c r="I29" i="9"/>
  <c r="I84" i="9"/>
  <c r="I138" i="9"/>
  <c r="I149" i="9"/>
  <c r="I116" i="9"/>
  <c r="I127" i="9"/>
  <c r="I105" i="9"/>
  <c r="I6" i="9"/>
  <c r="I28" i="9"/>
  <c r="I72" i="9"/>
  <c r="I61" i="9"/>
  <c r="I94" i="9"/>
  <c r="I17" i="9"/>
  <c r="I39" i="9"/>
  <c r="I83" i="9"/>
  <c r="I50" i="9"/>
  <c r="B87" i="16"/>
  <c r="B87" i="12" s="1"/>
  <c r="I10" i="9"/>
  <c r="I120" i="9"/>
  <c r="I43" i="9"/>
  <c r="I98" i="9"/>
  <c r="I54" i="9"/>
  <c r="I109" i="9"/>
  <c r="I153" i="9"/>
  <c r="I32" i="9"/>
  <c r="I21" i="9"/>
  <c r="I76" i="9"/>
  <c r="I142" i="9"/>
  <c r="I65" i="9"/>
  <c r="I87" i="9"/>
  <c r="I131" i="9"/>
  <c r="I60" i="9"/>
  <c r="I148" i="9"/>
  <c r="I115" i="9"/>
  <c r="I49" i="9"/>
  <c r="I104" i="9"/>
  <c r="I93" i="9"/>
  <c r="I137" i="9"/>
  <c r="I27" i="9"/>
  <c r="I5" i="9"/>
  <c r="I71" i="9"/>
  <c r="I126" i="9"/>
  <c r="I16" i="9"/>
  <c r="I38" i="9"/>
  <c r="I82" i="9"/>
  <c r="B105" i="16"/>
  <c r="B105" i="12" s="1"/>
  <c r="B83" i="16"/>
  <c r="B83" i="12" s="1"/>
  <c r="B138" i="16"/>
  <c r="B138" i="12" s="1"/>
  <c r="M171" i="10"/>
  <c r="B50" i="16"/>
  <c r="B50" i="12" s="1"/>
  <c r="J122" i="17"/>
  <c r="J122" i="13" s="1"/>
  <c r="B157" i="17"/>
  <c r="B157" i="13" s="1"/>
  <c r="M179" i="11"/>
  <c r="B152" i="17"/>
  <c r="B152" i="13" s="1"/>
  <c r="M174" i="11"/>
  <c r="B156" i="17"/>
  <c r="B156" i="13" s="1"/>
  <c r="M178" i="11"/>
  <c r="B20" i="16"/>
  <c r="B20" i="12" s="1"/>
  <c r="B130" i="16"/>
  <c r="B130" i="12" s="1"/>
  <c r="B97" i="16"/>
  <c r="B97" i="12" s="1"/>
  <c r="B141" i="16"/>
  <c r="B141" i="12" s="1"/>
  <c r="B142" i="16"/>
  <c r="B142" i="12" s="1"/>
  <c r="B21" i="16"/>
  <c r="B21" i="12" s="1"/>
  <c r="B43" i="16"/>
  <c r="B43" i="12" s="1"/>
  <c r="B98" i="16"/>
  <c r="B98" i="12" s="1"/>
  <c r="B149" i="16"/>
  <c r="B149" i="12" s="1"/>
  <c r="B153" i="16"/>
  <c r="B153" i="12" s="1"/>
  <c r="B53" i="16"/>
  <c r="B58" i="16"/>
  <c r="B58" i="12" s="1"/>
  <c r="B25" i="16"/>
  <c r="B25" i="12" s="1"/>
  <c r="B64" i="16"/>
  <c r="B64" i="12" s="1"/>
  <c r="B31" i="16"/>
  <c r="B31" i="12" s="1"/>
  <c r="B6" i="16"/>
  <c r="B6" i="12" s="1"/>
  <c r="B91" i="16"/>
  <c r="B91" i="12" s="1"/>
  <c r="B69" i="16"/>
  <c r="B69" i="12" s="1"/>
  <c r="B131" i="16"/>
  <c r="B131" i="12" s="1"/>
  <c r="B152" i="16"/>
  <c r="B152" i="12" s="1"/>
  <c r="B102" i="16"/>
  <c r="B102" i="12" s="1"/>
  <c r="B134" i="16"/>
  <c r="B68" i="16"/>
  <c r="B68" i="12" s="1"/>
  <c r="B145" i="16"/>
  <c r="B145" i="12" s="1"/>
  <c r="B79" i="16"/>
  <c r="B79" i="12" s="1"/>
  <c r="B156" i="16"/>
  <c r="B156" i="12" s="1"/>
  <c r="B112" i="16"/>
  <c r="B112" i="12" s="1"/>
  <c r="B123" i="16"/>
  <c r="B123" i="12" s="1"/>
  <c r="B46" i="16"/>
  <c r="B46" i="12" s="1"/>
  <c r="B90" i="16"/>
  <c r="B90" i="12" s="1"/>
  <c r="B57" i="16"/>
  <c r="B57" i="12" s="1"/>
  <c r="B35" i="16"/>
  <c r="B35" i="12" s="1"/>
  <c r="B13" i="16"/>
  <c r="B13" i="12" s="1"/>
  <c r="B101" i="16"/>
  <c r="B101" i="12" s="1"/>
  <c r="M178" i="10"/>
  <c r="B120" i="16"/>
  <c r="B120" i="12" s="1"/>
  <c r="B61" i="16"/>
  <c r="B61" i="12" s="1"/>
  <c r="B39" i="16"/>
  <c r="B39" i="12" s="1"/>
  <c r="B108" i="16"/>
  <c r="B108" i="12" s="1"/>
  <c r="B146" i="16"/>
  <c r="B146" i="12" s="1"/>
  <c r="B119" i="16"/>
  <c r="B119" i="12" s="1"/>
  <c r="B47" i="16"/>
  <c r="B47" i="12" s="1"/>
  <c r="B42" i="16"/>
  <c r="B42" i="12" s="1"/>
  <c r="B72" i="16"/>
  <c r="B72" i="12" s="1"/>
  <c r="B109" i="16"/>
  <c r="B109" i="12" s="1"/>
  <c r="M174" i="10"/>
  <c r="M179" i="10"/>
  <c r="B159" i="18"/>
  <c r="B115" i="18" s="1"/>
  <c r="B115" i="6" s="1"/>
  <c r="B9" i="16"/>
  <c r="B9" i="12" s="1"/>
  <c r="B28" i="16"/>
  <c r="B28" i="12" s="1"/>
  <c r="B76" i="16"/>
  <c r="B76" i="12" s="1"/>
  <c r="B65" i="16"/>
  <c r="B65" i="12" s="1"/>
  <c r="B36" i="16"/>
  <c r="B36" i="12" s="1"/>
  <c r="B75" i="16"/>
  <c r="B75" i="12" s="1"/>
  <c r="B157" i="16"/>
  <c r="B157" i="12" s="1"/>
  <c r="B164" i="18"/>
  <c r="B162" i="18"/>
  <c r="B161" i="18"/>
  <c r="B168" i="18"/>
  <c r="B163" i="18"/>
  <c r="B167" i="18"/>
  <c r="B160" i="18"/>
  <c r="B108" i="17"/>
  <c r="B108" i="13" s="1"/>
  <c r="B102" i="17"/>
  <c r="B102" i="13" s="1"/>
  <c r="B141" i="17"/>
  <c r="B141" i="13" s="1"/>
  <c r="B9" i="17"/>
  <c r="B9" i="13" s="1"/>
  <c r="B42" i="17"/>
  <c r="B42" i="13" s="1"/>
  <c r="B69" i="17"/>
  <c r="B69" i="13" s="1"/>
  <c r="B97" i="17"/>
  <c r="B97" i="13" s="1"/>
  <c r="B135" i="17"/>
  <c r="B135" i="13" s="1"/>
  <c r="B130" i="17"/>
  <c r="B130" i="13" s="1"/>
  <c r="B20" i="17"/>
  <c r="B20" i="13" s="1"/>
  <c r="B53" i="17"/>
  <c r="B86" i="17"/>
  <c r="B86" i="13" s="1"/>
  <c r="B119" i="17"/>
  <c r="B119" i="13" s="1"/>
  <c r="B31" i="17"/>
  <c r="B31" i="13" s="1"/>
  <c r="B51" i="17"/>
  <c r="B51" i="13" s="1"/>
  <c r="B64" i="17"/>
  <c r="B64" i="13" s="1"/>
  <c r="B75" i="17"/>
  <c r="B75" i="13" s="1"/>
  <c r="B35" i="17"/>
  <c r="B35" i="13" s="1"/>
  <c r="B25" i="17"/>
  <c r="B25" i="13" s="1"/>
  <c r="B36" i="17"/>
  <c r="B36" i="13" s="1"/>
  <c r="B58" i="17"/>
  <c r="B58" i="13" s="1"/>
  <c r="B80" i="17"/>
  <c r="B80" i="13" s="1"/>
  <c r="B124" i="17"/>
  <c r="B124" i="13" s="1"/>
  <c r="B14" i="17"/>
  <c r="B14" i="13" s="1"/>
  <c r="B91" i="17"/>
  <c r="B91" i="13" s="1"/>
  <c r="B113" i="17"/>
  <c r="B113" i="13" s="1"/>
  <c r="B47" i="17"/>
  <c r="B47" i="13" s="1"/>
  <c r="B46" i="17"/>
  <c r="B46" i="13" s="1"/>
  <c r="B101" i="17"/>
  <c r="B101" i="13" s="1"/>
  <c r="B146" i="17"/>
  <c r="B146" i="13" s="1"/>
  <c r="B57" i="17"/>
  <c r="B57" i="13" s="1"/>
  <c r="B79" i="17"/>
  <c r="B79" i="13" s="1"/>
  <c r="B145" i="17"/>
  <c r="B145" i="13" s="1"/>
  <c r="B112" i="17"/>
  <c r="B112" i="13" s="1"/>
  <c r="B13" i="17"/>
  <c r="B13" i="13" s="1"/>
  <c r="B68" i="17"/>
  <c r="B68" i="13" s="1"/>
  <c r="B90" i="17"/>
  <c r="B90" i="13" s="1"/>
  <c r="B123" i="17"/>
  <c r="B123" i="13" s="1"/>
  <c r="B134" i="17"/>
  <c r="B118" i="17"/>
  <c r="B118" i="13" s="1"/>
  <c r="B115" i="13"/>
  <c r="B139" i="17"/>
  <c r="B139" i="13" s="1"/>
  <c r="B74" i="17"/>
  <c r="B74" i="13" s="1"/>
  <c r="B140" i="17"/>
  <c r="B140" i="13" s="1"/>
  <c r="B40" i="17"/>
  <c r="B40" i="13" s="1"/>
  <c r="B38" i="13"/>
  <c r="B84" i="17"/>
  <c r="B84" i="13" s="1"/>
  <c r="B82" i="13"/>
  <c r="B106" i="17"/>
  <c r="B106" i="13" s="1"/>
  <c r="B129" i="17"/>
  <c r="B129" i="13" s="1"/>
  <c r="B128" i="17"/>
  <c r="B128" i="13" s="1"/>
  <c r="B49" i="13"/>
  <c r="B117" i="17"/>
  <c r="B117" i="13" s="1"/>
  <c r="B71" i="13"/>
  <c r="B73" i="17"/>
  <c r="B73" i="13" s="1"/>
  <c r="B107" i="17"/>
  <c r="B107" i="13" s="1"/>
  <c r="B30" i="17"/>
  <c r="B30" i="13" s="1"/>
  <c r="B52" i="17"/>
  <c r="B52" i="13" s="1"/>
  <c r="B63" i="17"/>
  <c r="B63" i="13" s="1"/>
  <c r="B41" i="17"/>
  <c r="B41" i="13" s="1"/>
  <c r="B85" i="17"/>
  <c r="B85" i="13" s="1"/>
  <c r="B27" i="13"/>
  <c r="B62" i="17"/>
  <c r="B62" i="13" s="1"/>
  <c r="B8" i="17"/>
  <c r="B8" i="13" s="1"/>
  <c r="B7" i="17"/>
  <c r="B7" i="13" s="1"/>
  <c r="B29" i="17"/>
  <c r="B29" i="13" s="1"/>
  <c r="B54" i="13"/>
  <c r="B164" i="13" s="1"/>
  <c r="J168" i="9" l="1"/>
  <c r="K161" i="9"/>
  <c r="K164" i="9"/>
  <c r="J164" i="9"/>
  <c r="K162" i="9"/>
  <c r="J162" i="9"/>
  <c r="J163" i="9"/>
  <c r="J160" i="9"/>
  <c r="J161" i="9"/>
  <c r="K163" i="9"/>
  <c r="K167" i="9"/>
  <c r="K160" i="9"/>
  <c r="J167" i="9"/>
  <c r="J159" i="9"/>
  <c r="K168" i="9"/>
  <c r="K159" i="9"/>
  <c r="J144" i="18"/>
  <c r="J144" i="6" s="1"/>
  <c r="J89" i="18"/>
  <c r="J89" i="6" s="1"/>
  <c r="J67" i="18"/>
  <c r="J67" i="6" s="1"/>
  <c r="J111" i="18"/>
  <c r="J111" i="6" s="1"/>
  <c r="J34" i="18"/>
  <c r="J34" i="6" s="1"/>
  <c r="J122" i="18"/>
  <c r="J122" i="6" s="1"/>
  <c r="J78" i="18"/>
  <c r="J78" i="6" s="1"/>
  <c r="J155" i="18"/>
  <c r="J155" i="6" s="1"/>
  <c r="J12" i="18"/>
  <c r="J12" i="6" s="1"/>
  <c r="J56" i="18"/>
  <c r="J56" i="6" s="1"/>
  <c r="I157" i="17"/>
  <c r="I157" i="13" s="1"/>
  <c r="I141" i="17"/>
  <c r="I134" i="17"/>
  <c r="I134" i="13" s="1"/>
  <c r="J131" i="17"/>
  <c r="J131" i="13" s="1"/>
  <c r="I83" i="17"/>
  <c r="I83" i="13" s="1"/>
  <c r="I39" i="17"/>
  <c r="I39" i="13" s="1"/>
  <c r="I61" i="17"/>
  <c r="I61" i="13" s="1"/>
  <c r="K138" i="11"/>
  <c r="K39" i="11"/>
  <c r="K94" i="11"/>
  <c r="K149" i="11"/>
  <c r="K116" i="11"/>
  <c r="K105" i="11"/>
  <c r="K28" i="11"/>
  <c r="K83" i="11"/>
  <c r="K6" i="11"/>
  <c r="K72" i="11"/>
  <c r="K61" i="11"/>
  <c r="K50" i="11"/>
  <c r="K127" i="11"/>
  <c r="K17" i="11"/>
  <c r="K164" i="11"/>
  <c r="K164" i="17" s="1"/>
  <c r="J160" i="11"/>
  <c r="J160" i="17" s="1"/>
  <c r="K7" i="11"/>
  <c r="K51" i="11"/>
  <c r="K95" i="11"/>
  <c r="K139" i="11"/>
  <c r="K84" i="11"/>
  <c r="K150" i="11"/>
  <c r="K62" i="11"/>
  <c r="K128" i="11"/>
  <c r="K18" i="11"/>
  <c r="K40" i="11"/>
  <c r="K29" i="11"/>
  <c r="K73" i="11"/>
  <c r="K117" i="11"/>
  <c r="K106" i="11"/>
  <c r="K163" i="11"/>
  <c r="K163" i="17" s="1"/>
  <c r="K167" i="11"/>
  <c r="K167" i="17" s="1"/>
  <c r="K168" i="11"/>
  <c r="K168" i="17" s="1"/>
  <c r="J161" i="11"/>
  <c r="J161" i="17" s="1"/>
  <c r="K159" i="11"/>
  <c r="K159" i="17" s="1"/>
  <c r="K162" i="11"/>
  <c r="K162" i="17" s="1"/>
  <c r="I6" i="17"/>
  <c r="I6" i="13" s="1"/>
  <c r="I105" i="17"/>
  <c r="I105" i="13" s="1"/>
  <c r="I72" i="17"/>
  <c r="I72" i="13" s="1"/>
  <c r="I116" i="17"/>
  <c r="I116" i="13" s="1"/>
  <c r="I50" i="17"/>
  <c r="I50" i="13" s="1"/>
  <c r="I127" i="17"/>
  <c r="I129" i="17" s="1"/>
  <c r="I149" i="17"/>
  <c r="I149" i="13" s="1"/>
  <c r="I138" i="17"/>
  <c r="I138" i="13" s="1"/>
  <c r="I28" i="17"/>
  <c r="I28" i="13" s="1"/>
  <c r="J34" i="17"/>
  <c r="J34" i="13" s="1"/>
  <c r="I53" i="17"/>
  <c r="I130" i="17"/>
  <c r="I64" i="17"/>
  <c r="I164" i="13"/>
  <c r="I31" i="17"/>
  <c r="J153" i="17"/>
  <c r="J153" i="13" s="1"/>
  <c r="J109" i="17"/>
  <c r="J109" i="13" s="1"/>
  <c r="J65" i="17"/>
  <c r="J65" i="13" s="1"/>
  <c r="J142" i="17"/>
  <c r="J142" i="13" s="1"/>
  <c r="J10" i="17"/>
  <c r="J10" i="13" s="1"/>
  <c r="J32" i="17"/>
  <c r="J32" i="13" s="1"/>
  <c r="I36" i="17"/>
  <c r="I36" i="13" s="1"/>
  <c r="I38" i="13"/>
  <c r="I146" i="17"/>
  <c r="I146" i="13" s="1"/>
  <c r="I79" i="17"/>
  <c r="I79" i="13" s="1"/>
  <c r="I14" i="17"/>
  <c r="I14" i="13" s="1"/>
  <c r="I115" i="13"/>
  <c r="I97" i="17"/>
  <c r="J67" i="17"/>
  <c r="J67" i="13" s="1"/>
  <c r="I104" i="13"/>
  <c r="J111" i="17"/>
  <c r="J111" i="13" s="1"/>
  <c r="I46" i="17"/>
  <c r="I46" i="13" s="1"/>
  <c r="I75" i="17"/>
  <c r="I80" i="17"/>
  <c r="I80" i="13" s="1"/>
  <c r="I57" i="17"/>
  <c r="I57" i="13" s="1"/>
  <c r="I152" i="17"/>
  <c r="J98" i="17"/>
  <c r="J98" i="13" s="1"/>
  <c r="J56" i="17"/>
  <c r="J56" i="13" s="1"/>
  <c r="I82" i="13"/>
  <c r="I86" i="17"/>
  <c r="I69" i="17"/>
  <c r="I69" i="13" s="1"/>
  <c r="J21" i="17"/>
  <c r="J21" i="13" s="1"/>
  <c r="J12" i="17"/>
  <c r="J12" i="13" s="1"/>
  <c r="I108" i="17"/>
  <c r="I58" i="17"/>
  <c r="I58" i="13" s="1"/>
  <c r="J76" i="17"/>
  <c r="J76" i="13" s="1"/>
  <c r="J45" i="17"/>
  <c r="J45" i="13" s="1"/>
  <c r="I145" i="17"/>
  <c r="I145" i="13" s="1"/>
  <c r="I20" i="17"/>
  <c r="I124" i="17"/>
  <c r="I124" i="13" s="1"/>
  <c r="J120" i="17"/>
  <c r="J120" i="13" s="1"/>
  <c r="I42" i="17"/>
  <c r="I102" i="17"/>
  <c r="I102" i="13" s="1"/>
  <c r="J43" i="17"/>
  <c r="J43" i="13" s="1"/>
  <c r="J144" i="17"/>
  <c r="J144" i="13" s="1"/>
  <c r="I5" i="13"/>
  <c r="I135" i="17"/>
  <c r="I135" i="13" s="1"/>
  <c r="I47" i="17"/>
  <c r="I47" i="13" s="1"/>
  <c r="I119" i="17"/>
  <c r="I25" i="17"/>
  <c r="I25" i="13" s="1"/>
  <c r="J89" i="17"/>
  <c r="J89" i="13" s="1"/>
  <c r="J155" i="17"/>
  <c r="J155" i="13" s="1"/>
  <c r="I113" i="17"/>
  <c r="I113" i="13" s="1"/>
  <c r="J54" i="17"/>
  <c r="J54" i="13" s="1"/>
  <c r="J78" i="17"/>
  <c r="J78" i="13" s="1"/>
  <c r="I137" i="13"/>
  <c r="I9" i="17"/>
  <c r="I91" i="17"/>
  <c r="I91" i="13" s="1"/>
  <c r="J87" i="17"/>
  <c r="J87" i="13" s="1"/>
  <c r="I167" i="9"/>
  <c r="I167" i="18" s="1"/>
  <c r="I156" i="18" s="1"/>
  <c r="I163" i="9"/>
  <c r="I163" i="18" s="1"/>
  <c r="I31" i="18" s="1"/>
  <c r="I164" i="9"/>
  <c r="I164" i="18" s="1"/>
  <c r="I131" i="18" s="1"/>
  <c r="I131" i="6" s="1"/>
  <c r="I161" i="9"/>
  <c r="I161" i="18" s="1"/>
  <c r="I162" i="9"/>
  <c r="I162" i="18" s="1"/>
  <c r="I159" i="9"/>
  <c r="I159" i="18" s="1"/>
  <c r="I82" i="18" s="1"/>
  <c r="I160" i="9"/>
  <c r="I160" i="18" s="1"/>
  <c r="I39" i="18" s="1"/>
  <c r="I39" i="6" s="1"/>
  <c r="I168" i="9"/>
  <c r="I168" i="18" s="1"/>
  <c r="I157" i="18" s="1"/>
  <c r="I157" i="6" s="1"/>
  <c r="J131" i="16"/>
  <c r="J131" i="12" s="1"/>
  <c r="J120" i="16"/>
  <c r="J120" i="12" s="1"/>
  <c r="J89" i="16"/>
  <c r="J89" i="12" s="1"/>
  <c r="J54" i="16"/>
  <c r="J54" i="12" s="1"/>
  <c r="J109" i="16"/>
  <c r="J109" i="12" s="1"/>
  <c r="J34" i="16"/>
  <c r="J34" i="12" s="1"/>
  <c r="J56" i="16"/>
  <c r="J56" i="12" s="1"/>
  <c r="J32" i="16"/>
  <c r="J32" i="12" s="1"/>
  <c r="J12" i="16"/>
  <c r="J12" i="12" s="1"/>
  <c r="J21" i="16"/>
  <c r="J21" i="12" s="1"/>
  <c r="J98" i="16"/>
  <c r="J98" i="12" s="1"/>
  <c r="J145" i="16"/>
  <c r="J145" i="12" s="1"/>
  <c r="J123" i="16"/>
  <c r="J123" i="12" s="1"/>
  <c r="J79" i="16"/>
  <c r="J79" i="12" s="1"/>
  <c r="J156" i="16"/>
  <c r="J156" i="12" s="1"/>
  <c r="J134" i="16"/>
  <c r="J134" i="12" s="1"/>
  <c r="J112" i="16"/>
  <c r="J112" i="12" s="1"/>
  <c r="J68" i="16"/>
  <c r="J68" i="12" s="1"/>
  <c r="J46" i="16"/>
  <c r="J46" i="12" s="1"/>
  <c r="J90" i="16"/>
  <c r="J90" i="12" s="1"/>
  <c r="J57" i="16"/>
  <c r="J57" i="12" s="1"/>
  <c r="J35" i="16"/>
  <c r="J35" i="12" s="1"/>
  <c r="J13" i="16"/>
  <c r="J13" i="12" s="1"/>
  <c r="J101" i="16"/>
  <c r="J101" i="12" s="1"/>
  <c r="J45" i="16"/>
  <c r="J45" i="12" s="1"/>
  <c r="J60" i="17"/>
  <c r="B53" i="12"/>
  <c r="M170" i="9"/>
  <c r="B148" i="18"/>
  <c r="B148" i="6" s="1"/>
  <c r="B82" i="18"/>
  <c r="B82" i="6" s="1"/>
  <c r="B5" i="18"/>
  <c r="B5" i="6" s="1"/>
  <c r="B137" i="18"/>
  <c r="B137" i="6" s="1"/>
  <c r="B60" i="18"/>
  <c r="B60" i="6" s="1"/>
  <c r="B49" i="18"/>
  <c r="B49" i="6" s="1"/>
  <c r="B38" i="18"/>
  <c r="B38" i="6" s="1"/>
  <c r="B126" i="18"/>
  <c r="B126" i="6" s="1"/>
  <c r="B137" i="16"/>
  <c r="B38" i="16"/>
  <c r="B126" i="16"/>
  <c r="B5" i="16"/>
  <c r="M170" i="10"/>
  <c r="B82" i="16"/>
  <c r="B148" i="16"/>
  <c r="B71" i="16"/>
  <c r="B115" i="16"/>
  <c r="B49" i="16"/>
  <c r="B27" i="16"/>
  <c r="B104" i="16"/>
  <c r="B60" i="16"/>
  <c r="B101" i="18"/>
  <c r="B101" i="6" s="1"/>
  <c r="M178" i="9"/>
  <c r="B151" i="18"/>
  <c r="B151" i="6" s="1"/>
  <c r="M173" i="9"/>
  <c r="B50" i="18"/>
  <c r="B50" i="6" s="1"/>
  <c r="M171" i="9"/>
  <c r="B97" i="18"/>
  <c r="B97" i="6" s="1"/>
  <c r="M174" i="9"/>
  <c r="B128" i="18"/>
  <c r="B128" i="6" s="1"/>
  <c r="M172" i="9"/>
  <c r="B98" i="18"/>
  <c r="B98" i="6" s="1"/>
  <c r="M175" i="9"/>
  <c r="B102" i="18"/>
  <c r="B102" i="6" s="1"/>
  <c r="M179" i="9"/>
  <c r="B62" i="18"/>
  <c r="B62" i="6" s="1"/>
  <c r="B131" i="18"/>
  <c r="B131" i="6" s="1"/>
  <c r="B106" i="18"/>
  <c r="B106" i="6" s="1"/>
  <c r="B39" i="18"/>
  <c r="B39" i="6" s="1"/>
  <c r="B152" i="18"/>
  <c r="B152" i="6" s="1"/>
  <c r="B9" i="18"/>
  <c r="B9" i="6" s="1"/>
  <c r="B119" i="18"/>
  <c r="B119" i="6" s="1"/>
  <c r="B61" i="18"/>
  <c r="B61" i="6" s="1"/>
  <c r="B75" i="18"/>
  <c r="B75" i="6" s="1"/>
  <c r="B139" i="18"/>
  <c r="B139" i="6" s="1"/>
  <c r="B8" i="18"/>
  <c r="B8" i="6" s="1"/>
  <c r="B68" i="18"/>
  <c r="B68" i="6" s="1"/>
  <c r="B118" i="18"/>
  <c r="B118" i="6" s="1"/>
  <c r="B157" i="18"/>
  <c r="B157" i="6" s="1"/>
  <c r="B14" i="18"/>
  <c r="B14" i="6" s="1"/>
  <c r="B30" i="18"/>
  <c r="B30" i="6" s="1"/>
  <c r="B74" i="18"/>
  <c r="B74" i="6" s="1"/>
  <c r="B146" i="18"/>
  <c r="B146" i="6" s="1"/>
  <c r="B41" i="18"/>
  <c r="B41" i="6" s="1"/>
  <c r="B123" i="18"/>
  <c r="B123" i="6" s="1"/>
  <c r="B156" i="18"/>
  <c r="B156" i="6" s="1"/>
  <c r="B63" i="18"/>
  <c r="B63" i="6" s="1"/>
  <c r="B52" i="18"/>
  <c r="B52" i="6" s="1"/>
  <c r="B113" i="18"/>
  <c r="B113" i="6" s="1"/>
  <c r="B85" i="18"/>
  <c r="B85" i="6" s="1"/>
  <c r="B90" i="18"/>
  <c r="B90" i="6" s="1"/>
  <c r="B46" i="18"/>
  <c r="B46" i="6" s="1"/>
  <c r="B36" i="18"/>
  <c r="B36" i="6" s="1"/>
  <c r="B145" i="18"/>
  <c r="B145" i="6" s="1"/>
  <c r="B25" i="18"/>
  <c r="B25" i="6" s="1"/>
  <c r="B13" i="18"/>
  <c r="B13" i="6" s="1"/>
  <c r="B47" i="18"/>
  <c r="B47" i="6" s="1"/>
  <c r="B58" i="18"/>
  <c r="B58" i="6" s="1"/>
  <c r="B69" i="18"/>
  <c r="B69" i="6" s="1"/>
  <c r="B135" i="18"/>
  <c r="B135" i="6" s="1"/>
  <c r="B57" i="18"/>
  <c r="B57" i="6" s="1"/>
  <c r="B107" i="18"/>
  <c r="B107" i="6" s="1"/>
  <c r="B140" i="18"/>
  <c r="B140" i="6" s="1"/>
  <c r="B79" i="18"/>
  <c r="B79" i="6" s="1"/>
  <c r="B129" i="18"/>
  <c r="B129" i="6" s="1"/>
  <c r="B80" i="18"/>
  <c r="B80" i="6" s="1"/>
  <c r="B53" i="13"/>
  <c r="B163" i="13" s="1"/>
  <c r="B105" i="18"/>
  <c r="B105" i="6" s="1"/>
  <c r="B120" i="18"/>
  <c r="B120" i="6" s="1"/>
  <c r="B7" i="18"/>
  <c r="B7" i="6" s="1"/>
  <c r="B31" i="18"/>
  <c r="B31" i="6" s="1"/>
  <c r="B117" i="18"/>
  <c r="B117" i="6" s="1"/>
  <c r="B150" i="18"/>
  <c r="B150" i="6" s="1"/>
  <c r="B51" i="18"/>
  <c r="B51" i="6" s="1"/>
  <c r="B64" i="18"/>
  <c r="B64" i="6" s="1"/>
  <c r="B127" i="18"/>
  <c r="B127" i="6" s="1"/>
  <c r="B21" i="18"/>
  <c r="B21" i="6" s="1"/>
  <c r="B43" i="18"/>
  <c r="B43" i="6" s="1"/>
  <c r="B138" i="18"/>
  <c r="B138" i="6" s="1"/>
  <c r="B149" i="18"/>
  <c r="B149" i="6" s="1"/>
  <c r="B116" i="18"/>
  <c r="B116" i="6" s="1"/>
  <c r="B72" i="18"/>
  <c r="B72" i="6" s="1"/>
  <c r="B6" i="18"/>
  <c r="B6" i="6" s="1"/>
  <c r="B142" i="18"/>
  <c r="B142" i="6" s="1"/>
  <c r="B65" i="18"/>
  <c r="B65" i="6" s="1"/>
  <c r="B10" i="18"/>
  <c r="B10" i="6" s="1"/>
  <c r="B91" i="18"/>
  <c r="B91" i="6" s="1"/>
  <c r="B124" i="18"/>
  <c r="B124" i="6" s="1"/>
  <c r="B87" i="18"/>
  <c r="B87" i="6" s="1"/>
  <c r="B112" i="18"/>
  <c r="B112" i="6" s="1"/>
  <c r="B42" i="18"/>
  <c r="B42" i="6" s="1"/>
  <c r="B53" i="18"/>
  <c r="B20" i="18"/>
  <c r="B20" i="6" s="1"/>
  <c r="B134" i="18"/>
  <c r="B130" i="18"/>
  <c r="B130" i="6" s="1"/>
  <c r="B109" i="18"/>
  <c r="B109" i="6" s="1"/>
  <c r="B84" i="18"/>
  <c r="B84" i="6" s="1"/>
  <c r="B35" i="18"/>
  <c r="B35" i="6" s="1"/>
  <c r="B73" i="18"/>
  <c r="B73" i="6" s="1"/>
  <c r="B141" i="18"/>
  <c r="B141" i="6" s="1"/>
  <c r="B83" i="18"/>
  <c r="B83" i="6" s="1"/>
  <c r="B108" i="18"/>
  <c r="B108" i="6" s="1"/>
  <c r="B28" i="18"/>
  <c r="B28" i="6" s="1"/>
  <c r="B76" i="18"/>
  <c r="B76" i="6" s="1"/>
  <c r="B32" i="18"/>
  <c r="B32" i="6" s="1"/>
  <c r="B153" i="18"/>
  <c r="B153" i="6" s="1"/>
  <c r="B86" i="18"/>
  <c r="B86" i="6" s="1"/>
  <c r="B29" i="18"/>
  <c r="B29" i="6" s="1"/>
  <c r="B54" i="18"/>
  <c r="B54" i="6" s="1"/>
  <c r="B40" i="18"/>
  <c r="B40" i="6" s="1"/>
  <c r="B168" i="13"/>
  <c r="B104" i="18"/>
  <c r="B104" i="6" s="1"/>
  <c r="B71" i="18"/>
  <c r="B71" i="6" s="1"/>
  <c r="B27" i="18"/>
  <c r="B27" i="6" s="1"/>
  <c r="B168" i="12"/>
  <c r="B164" i="12"/>
  <c r="I30" i="17" l="1"/>
  <c r="I30" i="13" s="1"/>
  <c r="I62" i="17"/>
  <c r="I62" i="13" s="1"/>
  <c r="I84" i="17"/>
  <c r="I84" i="13" s="1"/>
  <c r="I63" i="17"/>
  <c r="I63" i="13" s="1"/>
  <c r="I35" i="18"/>
  <c r="I35" i="6" s="1"/>
  <c r="I116" i="18"/>
  <c r="I116" i="6" s="1"/>
  <c r="I134" i="18"/>
  <c r="I135" i="18"/>
  <c r="I135" i="6" s="1"/>
  <c r="I65" i="18"/>
  <c r="I65" i="6" s="1"/>
  <c r="I91" i="18"/>
  <c r="I91" i="6" s="1"/>
  <c r="I149" i="18"/>
  <c r="I149" i="6" s="1"/>
  <c r="I68" i="18"/>
  <c r="I68" i="6" s="1"/>
  <c r="I90" i="18"/>
  <c r="I90" i="6" s="1"/>
  <c r="I102" i="18"/>
  <c r="I102" i="6" s="1"/>
  <c r="I10" i="18"/>
  <c r="I10" i="6" s="1"/>
  <c r="I153" i="18"/>
  <c r="I153" i="6" s="1"/>
  <c r="I138" i="18"/>
  <c r="I138" i="6" s="1"/>
  <c r="I113" i="18"/>
  <c r="I113" i="6" s="1"/>
  <c r="I120" i="18"/>
  <c r="I120" i="6" s="1"/>
  <c r="I124" i="18"/>
  <c r="I124" i="6" s="1"/>
  <c r="I82" i="6"/>
  <c r="I156" i="6"/>
  <c r="I134" i="6"/>
  <c r="I115" i="18"/>
  <c r="I14" i="18"/>
  <c r="I14" i="6" s="1"/>
  <c r="I75" i="18"/>
  <c r="I6" i="18"/>
  <c r="I6" i="6" s="1"/>
  <c r="I142" i="18"/>
  <c r="I142" i="6" s="1"/>
  <c r="I38" i="18"/>
  <c r="I38" i="6" s="1"/>
  <c r="I25" i="18"/>
  <c r="I25" i="6" s="1"/>
  <c r="I83" i="18"/>
  <c r="I83" i="6" s="1"/>
  <c r="I57" i="18"/>
  <c r="I57" i="6" s="1"/>
  <c r="I86" i="18"/>
  <c r="I28" i="18"/>
  <c r="I28" i="6" s="1"/>
  <c r="I148" i="18"/>
  <c r="I80" i="18"/>
  <c r="I80" i="6" s="1"/>
  <c r="I76" i="18"/>
  <c r="I76" i="6" s="1"/>
  <c r="I101" i="18"/>
  <c r="I101" i="6" s="1"/>
  <c r="I141" i="18"/>
  <c r="I127" i="18"/>
  <c r="I54" i="18"/>
  <c r="I54" i="6" s="1"/>
  <c r="I137" i="18"/>
  <c r="I137" i="6" s="1"/>
  <c r="I9" i="18"/>
  <c r="I13" i="18"/>
  <c r="I13" i="6" s="1"/>
  <c r="I145" i="18"/>
  <c r="I145" i="6" s="1"/>
  <c r="I69" i="18"/>
  <c r="I69" i="6" s="1"/>
  <c r="I97" i="18"/>
  <c r="I50" i="18"/>
  <c r="I50" i="6" s="1"/>
  <c r="I60" i="18"/>
  <c r="I119" i="18"/>
  <c r="I109" i="18"/>
  <c r="I109" i="6" s="1"/>
  <c r="I123" i="18"/>
  <c r="I123" i="6" s="1"/>
  <c r="I47" i="18"/>
  <c r="I47" i="6" s="1"/>
  <c r="I108" i="18"/>
  <c r="I98" i="18"/>
  <c r="I98" i="6" s="1"/>
  <c r="I71" i="18"/>
  <c r="I64" i="18"/>
  <c r="I27" i="18"/>
  <c r="I27" i="6" s="1"/>
  <c r="I36" i="18"/>
  <c r="I36" i="6" s="1"/>
  <c r="I53" i="18"/>
  <c r="I72" i="18"/>
  <c r="I72" i="6" s="1"/>
  <c r="I21" i="18"/>
  <c r="I21" i="6" s="1"/>
  <c r="I126" i="18"/>
  <c r="I61" i="18"/>
  <c r="I61" i="6" s="1"/>
  <c r="I5" i="18"/>
  <c r="I20" i="18"/>
  <c r="I112" i="18"/>
  <c r="I112" i="6" s="1"/>
  <c r="I58" i="18"/>
  <c r="I58" i="6" s="1"/>
  <c r="I130" i="18"/>
  <c r="I43" i="18"/>
  <c r="I43" i="6" s="1"/>
  <c r="I104" i="18"/>
  <c r="I152" i="18"/>
  <c r="I49" i="18"/>
  <c r="I46" i="18"/>
  <c r="I46" i="6" s="1"/>
  <c r="I146" i="18"/>
  <c r="I146" i="6" s="1"/>
  <c r="I42" i="18"/>
  <c r="I32" i="18"/>
  <c r="I32" i="6" s="1"/>
  <c r="I105" i="18"/>
  <c r="I105" i="6" s="1"/>
  <c r="I79" i="18"/>
  <c r="I79" i="6" s="1"/>
  <c r="I87" i="18"/>
  <c r="I87" i="6" s="1"/>
  <c r="I85" i="17"/>
  <c r="I85" i="13" s="1"/>
  <c r="I13" i="17"/>
  <c r="I13" i="13" s="1"/>
  <c r="I112" i="17"/>
  <c r="I112" i="13" s="1"/>
  <c r="I35" i="17"/>
  <c r="I35" i="13" s="1"/>
  <c r="I90" i="17"/>
  <c r="I90" i="13" s="1"/>
  <c r="I123" i="17"/>
  <c r="I123" i="13" s="1"/>
  <c r="I156" i="17"/>
  <c r="I156" i="13" s="1"/>
  <c r="I41" i="17"/>
  <c r="I41" i="13" s="1"/>
  <c r="I68" i="17"/>
  <c r="I68" i="13" s="1"/>
  <c r="I101" i="17"/>
  <c r="I101" i="13" s="1"/>
  <c r="I40" i="17"/>
  <c r="I40" i="13" s="1"/>
  <c r="J116" i="17"/>
  <c r="J116" i="13" s="1"/>
  <c r="I51" i="17"/>
  <c r="I51" i="13" s="1"/>
  <c r="K161" i="11"/>
  <c r="K161" i="17" s="1"/>
  <c r="K160" i="11"/>
  <c r="K160" i="17" s="1"/>
  <c r="I8" i="17"/>
  <c r="I8" i="13" s="1"/>
  <c r="I52" i="17"/>
  <c r="I52" i="13" s="1"/>
  <c r="I29" i="17"/>
  <c r="I29" i="13" s="1"/>
  <c r="I107" i="17"/>
  <c r="I107" i="13" s="1"/>
  <c r="I106" i="17"/>
  <c r="I106" i="13" s="1"/>
  <c r="I7" i="17"/>
  <c r="I7" i="13" s="1"/>
  <c r="I128" i="17"/>
  <c r="I127" i="13" s="1"/>
  <c r="I151" i="17"/>
  <c r="I151" i="13" s="1"/>
  <c r="I139" i="17"/>
  <c r="I139" i="13" s="1"/>
  <c r="I140" i="17"/>
  <c r="I140" i="13" s="1"/>
  <c r="I73" i="17"/>
  <c r="I73" i="13" s="1"/>
  <c r="I118" i="17"/>
  <c r="I118" i="13" s="1"/>
  <c r="I150" i="17"/>
  <c r="I150" i="13" s="1"/>
  <c r="I74" i="17"/>
  <c r="I74" i="13" s="1"/>
  <c r="I117" i="17"/>
  <c r="I117" i="13" s="1"/>
  <c r="J82" i="17"/>
  <c r="J82" i="13" s="1"/>
  <c r="J115" i="17"/>
  <c r="J115" i="13" s="1"/>
  <c r="J49" i="17"/>
  <c r="J49" i="13" s="1"/>
  <c r="J148" i="17"/>
  <c r="J126" i="17"/>
  <c r="J28" i="17"/>
  <c r="J28" i="13" s="1"/>
  <c r="J6" i="17"/>
  <c r="J6" i="13" s="1"/>
  <c r="J60" i="13"/>
  <c r="J38" i="17"/>
  <c r="J27" i="17"/>
  <c r="I168" i="13"/>
  <c r="J5" i="17"/>
  <c r="J104" i="17"/>
  <c r="J137" i="17"/>
  <c r="J164" i="13"/>
  <c r="J71" i="17"/>
  <c r="J157" i="16"/>
  <c r="J157" i="12" s="1"/>
  <c r="J69" i="16"/>
  <c r="J69" i="12" s="1"/>
  <c r="J28" i="16"/>
  <c r="J28" i="12" s="1"/>
  <c r="J78" i="16"/>
  <c r="J78" i="12" s="1"/>
  <c r="J144" i="16"/>
  <c r="J144" i="12" s="1"/>
  <c r="J6" i="16"/>
  <c r="J6" i="12" s="1"/>
  <c r="J14" i="16"/>
  <c r="J14" i="12" s="1"/>
  <c r="J75" i="16"/>
  <c r="J65" i="16"/>
  <c r="J65" i="12" s="1"/>
  <c r="J122" i="16"/>
  <c r="J122" i="12" s="1"/>
  <c r="J87" i="16"/>
  <c r="J87" i="12" s="1"/>
  <c r="J76" i="16"/>
  <c r="J76" i="12" s="1"/>
  <c r="J153" i="16"/>
  <c r="J153" i="12" s="1"/>
  <c r="J67" i="16"/>
  <c r="J67" i="12" s="1"/>
  <c r="J50" i="16"/>
  <c r="J50" i="12" s="1"/>
  <c r="J146" i="16"/>
  <c r="J146" i="12" s="1"/>
  <c r="J31" i="16"/>
  <c r="J83" i="16"/>
  <c r="J83" i="12" s="1"/>
  <c r="J135" i="16"/>
  <c r="J135" i="12" s="1"/>
  <c r="J155" i="16"/>
  <c r="J155" i="12" s="1"/>
  <c r="J138" i="16"/>
  <c r="J138" i="12" s="1"/>
  <c r="J25" i="16"/>
  <c r="J25" i="12" s="1"/>
  <c r="J102" i="16"/>
  <c r="J102" i="12" s="1"/>
  <c r="J20" i="16"/>
  <c r="J10" i="16"/>
  <c r="J10" i="12" s="1"/>
  <c r="J111" i="16"/>
  <c r="J111" i="12" s="1"/>
  <c r="J142" i="16"/>
  <c r="J142" i="12" s="1"/>
  <c r="J43" i="16"/>
  <c r="J43" i="12" s="1"/>
  <c r="J91" i="16"/>
  <c r="J91" i="12" s="1"/>
  <c r="J152" i="16"/>
  <c r="J86" i="17"/>
  <c r="J146" i="17"/>
  <c r="J146" i="13" s="1"/>
  <c r="J112" i="17"/>
  <c r="J112" i="13" s="1"/>
  <c r="B163" i="12"/>
  <c r="B70" i="6"/>
  <c r="B114" i="6"/>
  <c r="B147" i="6"/>
  <c r="B136" i="6"/>
  <c r="B103" i="6"/>
  <c r="B81" i="6"/>
  <c r="B59" i="6"/>
  <c r="B26" i="6"/>
  <c r="B37" i="6"/>
  <c r="B4" i="6"/>
  <c r="B106" i="16"/>
  <c r="B106" i="12" s="1"/>
  <c r="B104" i="12"/>
  <c r="B107" i="16"/>
  <c r="B107" i="12" s="1"/>
  <c r="B71" i="12"/>
  <c r="B73" i="16"/>
  <c r="B73" i="12" s="1"/>
  <c r="B74" i="16"/>
  <c r="B74" i="12" s="1"/>
  <c r="B5" i="12"/>
  <c r="B7" i="16"/>
  <c r="B7" i="12" s="1"/>
  <c r="B8" i="16"/>
  <c r="B8" i="12" s="1"/>
  <c r="B148" i="12"/>
  <c r="B150" i="16"/>
  <c r="B150" i="12" s="1"/>
  <c r="B151" i="16"/>
  <c r="B151" i="12" s="1"/>
  <c r="B60" i="12"/>
  <c r="B63" i="16"/>
  <c r="B63" i="12" s="1"/>
  <c r="B62" i="16"/>
  <c r="B62" i="12" s="1"/>
  <c r="B115" i="12"/>
  <c r="B118" i="16"/>
  <c r="B118" i="12" s="1"/>
  <c r="B117" i="16"/>
  <c r="B117" i="12" s="1"/>
  <c r="B137" i="12"/>
  <c r="B140" i="16"/>
  <c r="B140" i="12" s="1"/>
  <c r="B139" i="16"/>
  <c r="B139" i="12" s="1"/>
  <c r="B27" i="12"/>
  <c r="B29" i="16"/>
  <c r="B29" i="12" s="1"/>
  <c r="B30" i="16"/>
  <c r="B30" i="12" s="1"/>
  <c r="B126" i="12"/>
  <c r="B129" i="16"/>
  <c r="B129" i="12" s="1"/>
  <c r="B128" i="16"/>
  <c r="B128" i="12" s="1"/>
  <c r="B49" i="12"/>
  <c r="B52" i="16"/>
  <c r="B51" i="16"/>
  <c r="B51" i="12" s="1"/>
  <c r="B82" i="12"/>
  <c r="B84" i="16"/>
  <c r="B84" i="12" s="1"/>
  <c r="B85" i="16"/>
  <c r="B85" i="12" s="1"/>
  <c r="B38" i="12"/>
  <c r="B41" i="16"/>
  <c r="B41" i="12" s="1"/>
  <c r="B40" i="16"/>
  <c r="B40" i="12" s="1"/>
  <c r="B134" i="6"/>
  <c r="B125" i="6" s="1"/>
  <c r="B53" i="6"/>
  <c r="B48" i="6" s="1"/>
  <c r="B168" i="6"/>
  <c r="I31" i="13" l="1"/>
  <c r="I151" i="18"/>
  <c r="I151" i="6" s="1"/>
  <c r="I53" i="13"/>
  <c r="I64" i="13"/>
  <c r="I86" i="13"/>
  <c r="I118" i="18"/>
  <c r="I118" i="6" s="1"/>
  <c r="I7" i="18"/>
  <c r="I7" i="6" s="1"/>
  <c r="I52" i="18"/>
  <c r="I84" i="18"/>
  <c r="I84" i="6" s="1"/>
  <c r="I74" i="18"/>
  <c r="I74" i="6" s="1"/>
  <c r="I128" i="18"/>
  <c r="I128" i="6" s="1"/>
  <c r="I164" i="6"/>
  <c r="I168" i="6"/>
  <c r="I104" i="6"/>
  <c r="I107" i="18"/>
  <c r="I107" i="6" s="1"/>
  <c r="I106" i="18"/>
  <c r="I106" i="6" s="1"/>
  <c r="I30" i="18"/>
  <c r="I30" i="6" s="1"/>
  <c r="I41" i="18"/>
  <c r="I41" i="6" s="1"/>
  <c r="I5" i="6"/>
  <c r="I8" i="18"/>
  <c r="I8" i="6" s="1"/>
  <c r="I60" i="6"/>
  <c r="I62" i="18"/>
  <c r="I62" i="6" s="1"/>
  <c r="I29" i="18"/>
  <c r="I29" i="6" s="1"/>
  <c r="I148" i="6"/>
  <c r="I150" i="18"/>
  <c r="I150" i="6" s="1"/>
  <c r="I129" i="18"/>
  <c r="I139" i="18"/>
  <c r="I139" i="6" s="1"/>
  <c r="I85" i="18"/>
  <c r="I85" i="6" s="1"/>
  <c r="I115" i="6"/>
  <c r="I117" i="18"/>
  <c r="I117" i="6" s="1"/>
  <c r="I49" i="6"/>
  <c r="I51" i="18"/>
  <c r="I51" i="6" s="1"/>
  <c r="I71" i="6"/>
  <c r="I73" i="18"/>
  <c r="I73" i="6" s="1"/>
  <c r="I40" i="18"/>
  <c r="I40" i="6" s="1"/>
  <c r="I63" i="18"/>
  <c r="I63" i="6" s="1"/>
  <c r="I140" i="18"/>
  <c r="I140" i="6" s="1"/>
  <c r="I108" i="13"/>
  <c r="I42" i="13"/>
  <c r="J127" i="17"/>
  <c r="J128" i="17" s="1"/>
  <c r="J61" i="17"/>
  <c r="J61" i="13" s="1"/>
  <c r="J105" i="17"/>
  <c r="J105" i="13" s="1"/>
  <c r="J83" i="17"/>
  <c r="J83" i="13" s="1"/>
  <c r="J50" i="17"/>
  <c r="J52" i="17" s="1"/>
  <c r="J52" i="13" s="1"/>
  <c r="J39" i="17"/>
  <c r="J39" i="13" s="1"/>
  <c r="J138" i="17"/>
  <c r="J138" i="13" s="1"/>
  <c r="J72" i="17"/>
  <c r="J72" i="13" s="1"/>
  <c r="J149" i="17"/>
  <c r="J149" i="13" s="1"/>
  <c r="I9" i="13"/>
  <c r="I141" i="13"/>
  <c r="I129" i="13"/>
  <c r="I128" i="13"/>
  <c r="I133" i="13"/>
  <c r="I126" i="13"/>
  <c r="I152" i="13"/>
  <c r="I119" i="13"/>
  <c r="I75" i="13"/>
  <c r="J118" i="17"/>
  <c r="J118" i="13" s="1"/>
  <c r="J157" i="17"/>
  <c r="J157" i="13" s="1"/>
  <c r="J145" i="17"/>
  <c r="J145" i="13" s="1"/>
  <c r="J57" i="17"/>
  <c r="J57" i="13" s="1"/>
  <c r="J58" i="17"/>
  <c r="J58" i="13" s="1"/>
  <c r="J35" i="17"/>
  <c r="J35" i="13" s="1"/>
  <c r="J25" i="17"/>
  <c r="J25" i="13" s="1"/>
  <c r="J148" i="13"/>
  <c r="J68" i="17"/>
  <c r="J68" i="13" s="1"/>
  <c r="J14" i="17"/>
  <c r="J14" i="13" s="1"/>
  <c r="J90" i="17"/>
  <c r="J90" i="13" s="1"/>
  <c r="J46" i="17"/>
  <c r="J46" i="13" s="1"/>
  <c r="J36" i="17"/>
  <c r="J36" i="13" s="1"/>
  <c r="J117" i="17"/>
  <c r="J117" i="13" s="1"/>
  <c r="J141" i="17"/>
  <c r="J71" i="13"/>
  <c r="J137" i="13"/>
  <c r="J97" i="17"/>
  <c r="J9" i="17"/>
  <c r="J5" i="13"/>
  <c r="J7" i="17"/>
  <c r="J7" i="13" s="1"/>
  <c r="J8" i="17"/>
  <c r="J8" i="13" s="1"/>
  <c r="J27" i="13"/>
  <c r="J30" i="17"/>
  <c r="J30" i="13" s="1"/>
  <c r="J29" i="17"/>
  <c r="J29" i="13" s="1"/>
  <c r="J80" i="17"/>
  <c r="J80" i="13" s="1"/>
  <c r="J75" i="17"/>
  <c r="J47" i="17"/>
  <c r="J47" i="13" s="1"/>
  <c r="J20" i="17"/>
  <c r="J119" i="17"/>
  <c r="J64" i="17"/>
  <c r="J101" i="17"/>
  <c r="J101" i="13" s="1"/>
  <c r="J134" i="17"/>
  <c r="J134" i="13" s="1"/>
  <c r="J113" i="17"/>
  <c r="J113" i="13" s="1"/>
  <c r="J108" i="17"/>
  <c r="J156" i="17"/>
  <c r="J156" i="13" s="1"/>
  <c r="J124" i="17"/>
  <c r="J124" i="13" s="1"/>
  <c r="J38" i="13"/>
  <c r="J31" i="17"/>
  <c r="J130" i="17"/>
  <c r="J79" i="17"/>
  <c r="J79" i="13" s="1"/>
  <c r="J69" i="17"/>
  <c r="J69" i="13" s="1"/>
  <c r="J104" i="13"/>
  <c r="J42" i="17"/>
  <c r="J91" i="17"/>
  <c r="J91" i="13" s="1"/>
  <c r="J53" i="17"/>
  <c r="J102" i="17"/>
  <c r="J102" i="13" s="1"/>
  <c r="J152" i="17"/>
  <c r="J13" i="17"/>
  <c r="J13" i="13" s="1"/>
  <c r="J135" i="17"/>
  <c r="J135" i="13" s="1"/>
  <c r="J123" i="17"/>
  <c r="J123" i="13" s="1"/>
  <c r="J164" i="12"/>
  <c r="J168" i="18"/>
  <c r="J113" i="18" s="1"/>
  <c r="J113" i="6" s="1"/>
  <c r="J159" i="18"/>
  <c r="J38" i="18" s="1"/>
  <c r="J167" i="18"/>
  <c r="J123" i="18" s="1"/>
  <c r="J123" i="6" s="1"/>
  <c r="J160" i="18"/>
  <c r="J72" i="18" s="1"/>
  <c r="J72" i="6" s="1"/>
  <c r="J161" i="18"/>
  <c r="J162" i="18"/>
  <c r="J163" i="18"/>
  <c r="J119" i="18" s="1"/>
  <c r="J164" i="18"/>
  <c r="J142" i="18" s="1"/>
  <c r="J142" i="6" s="1"/>
  <c r="J64" i="16"/>
  <c r="J105" i="16"/>
  <c r="J105" i="12" s="1"/>
  <c r="J149" i="16"/>
  <c r="J149" i="12" s="1"/>
  <c r="J97" i="16"/>
  <c r="J72" i="16"/>
  <c r="J72" i="12" s="1"/>
  <c r="J86" i="16"/>
  <c r="J47" i="16"/>
  <c r="J47" i="12" s="1"/>
  <c r="J127" i="16"/>
  <c r="J80" i="16"/>
  <c r="J80" i="12" s="1"/>
  <c r="J113" i="16"/>
  <c r="J113" i="12" s="1"/>
  <c r="J9" i="16"/>
  <c r="J124" i="16"/>
  <c r="J124" i="12" s="1"/>
  <c r="J130" i="16"/>
  <c r="J141" i="16"/>
  <c r="J61" i="16"/>
  <c r="J61" i="12" s="1"/>
  <c r="J27" i="16"/>
  <c r="J53" i="16"/>
  <c r="J39" i="16"/>
  <c r="J39" i="12" s="1"/>
  <c r="J126" i="16"/>
  <c r="J108" i="16"/>
  <c r="J36" i="16"/>
  <c r="J36" i="12" s="1"/>
  <c r="J58" i="16"/>
  <c r="J58" i="12" s="1"/>
  <c r="J116" i="16"/>
  <c r="J116" i="12" s="1"/>
  <c r="J119" i="16"/>
  <c r="J42" i="16"/>
  <c r="J115" i="16"/>
  <c r="J115" i="12" s="1"/>
  <c r="B52" i="12"/>
  <c r="I152" i="6" l="1"/>
  <c r="I9" i="6"/>
  <c r="I119" i="6"/>
  <c r="I133" i="6"/>
  <c r="I86" i="6"/>
  <c r="I52" i="6"/>
  <c r="I53" i="6" s="1"/>
  <c r="J50" i="13"/>
  <c r="J129" i="17"/>
  <c r="J129" i="13" s="1"/>
  <c r="J150" i="17"/>
  <c r="J150" i="13" s="1"/>
  <c r="I75" i="6"/>
  <c r="J139" i="17"/>
  <c r="J139" i="13" s="1"/>
  <c r="J106" i="17"/>
  <c r="J106" i="13" s="1"/>
  <c r="J107" i="17"/>
  <c r="J107" i="13" s="1"/>
  <c r="J140" i="17"/>
  <c r="J140" i="13" s="1"/>
  <c r="I108" i="6"/>
  <c r="J62" i="17"/>
  <c r="J62" i="13" s="1"/>
  <c r="J14" i="18"/>
  <c r="J14" i="6" s="1"/>
  <c r="I42" i="6"/>
  <c r="J80" i="18"/>
  <c r="J80" i="6" s="1"/>
  <c r="J39" i="18"/>
  <c r="J39" i="6" s="1"/>
  <c r="J86" i="18"/>
  <c r="J46" i="18"/>
  <c r="J46" i="6" s="1"/>
  <c r="J137" i="18"/>
  <c r="J137" i="6" s="1"/>
  <c r="J31" i="18"/>
  <c r="J112" i="18"/>
  <c r="J112" i="6" s="1"/>
  <c r="J131" i="18"/>
  <c r="J131" i="6" s="1"/>
  <c r="J141" i="18"/>
  <c r="J43" i="18"/>
  <c r="J43" i="6" s="1"/>
  <c r="J49" i="18"/>
  <c r="J49" i="6" s="1"/>
  <c r="J71" i="18"/>
  <c r="J71" i="6" s="1"/>
  <c r="J36" i="18"/>
  <c r="J36" i="6" s="1"/>
  <c r="J127" i="18"/>
  <c r="J102" i="18"/>
  <c r="J102" i="6" s="1"/>
  <c r="J28" i="18"/>
  <c r="J28" i="6" s="1"/>
  <c r="J10" i="18"/>
  <c r="J10" i="6" s="1"/>
  <c r="I64" i="6"/>
  <c r="J6" i="18"/>
  <c r="J6" i="6" s="1"/>
  <c r="J50" i="18"/>
  <c r="J50" i="6" s="1"/>
  <c r="J38" i="6"/>
  <c r="I126" i="6"/>
  <c r="J130" i="18"/>
  <c r="J148" i="18"/>
  <c r="J148" i="6" s="1"/>
  <c r="J109" i="18"/>
  <c r="J109" i="6" s="1"/>
  <c r="J83" i="18"/>
  <c r="J83" i="6" s="1"/>
  <c r="J90" i="18"/>
  <c r="J90" i="6" s="1"/>
  <c r="J152" i="18"/>
  <c r="J116" i="18"/>
  <c r="J116" i="6" s="1"/>
  <c r="J42" i="18"/>
  <c r="J76" i="18"/>
  <c r="J76" i="6" s="1"/>
  <c r="J91" i="18"/>
  <c r="J91" i="6" s="1"/>
  <c r="J149" i="18"/>
  <c r="J149" i="6" s="1"/>
  <c r="J101" i="18"/>
  <c r="J101" i="6" s="1"/>
  <c r="J82" i="18"/>
  <c r="J82" i="6" s="1"/>
  <c r="J156" i="18"/>
  <c r="J97" i="18"/>
  <c r="J5" i="18"/>
  <c r="J120" i="18"/>
  <c r="J120" i="6" s="1"/>
  <c r="J135" i="18"/>
  <c r="J135" i="6" s="1"/>
  <c r="J79" i="18"/>
  <c r="J79" i="6" s="1"/>
  <c r="J27" i="18"/>
  <c r="J35" i="18"/>
  <c r="J35" i="6" s="1"/>
  <c r="J75" i="18"/>
  <c r="J115" i="18"/>
  <c r="J146" i="18"/>
  <c r="J146" i="6" s="1"/>
  <c r="J138" i="18"/>
  <c r="J138" i="6" s="1"/>
  <c r="J57" i="18"/>
  <c r="J57" i="6" s="1"/>
  <c r="J60" i="18"/>
  <c r="J60" i="6" s="1"/>
  <c r="J9" i="18"/>
  <c r="J126" i="18"/>
  <c r="J54" i="18"/>
  <c r="J54" i="6" s="1"/>
  <c r="J25" i="18"/>
  <c r="J25" i="6" s="1"/>
  <c r="J105" i="18"/>
  <c r="J105" i="6" s="1"/>
  <c r="J13" i="18"/>
  <c r="J13" i="6" s="1"/>
  <c r="J21" i="18"/>
  <c r="J21" i="6" s="1"/>
  <c r="J68" i="18"/>
  <c r="J68" i="6" s="1"/>
  <c r="J20" i="18"/>
  <c r="J32" i="18"/>
  <c r="J32" i="6" s="1"/>
  <c r="J157" i="18"/>
  <c r="J157" i="6" s="1"/>
  <c r="J61" i="18"/>
  <c r="J61" i="6" s="1"/>
  <c r="J134" i="18"/>
  <c r="J65" i="18"/>
  <c r="J65" i="6" s="1"/>
  <c r="I127" i="6"/>
  <c r="I129" i="6"/>
  <c r="I130" i="6" s="1"/>
  <c r="I132" i="6"/>
  <c r="J53" i="18"/>
  <c r="J104" i="18"/>
  <c r="J87" i="18"/>
  <c r="J87" i="6" s="1"/>
  <c r="J124" i="18"/>
  <c r="J124" i="6" s="1"/>
  <c r="J145" i="18"/>
  <c r="J145" i="6" s="1"/>
  <c r="J98" i="18"/>
  <c r="J98" i="6" s="1"/>
  <c r="I141" i="6"/>
  <c r="I31" i="6"/>
  <c r="J64" i="18"/>
  <c r="J153" i="18"/>
  <c r="J153" i="6" s="1"/>
  <c r="J69" i="18"/>
  <c r="J69" i="6" s="1"/>
  <c r="J108" i="18"/>
  <c r="J58" i="18"/>
  <c r="J58" i="6" s="1"/>
  <c r="J47" i="18"/>
  <c r="J47" i="6" s="1"/>
  <c r="J41" i="17"/>
  <c r="J41" i="13" s="1"/>
  <c r="J40" i="17"/>
  <c r="J40" i="13" s="1"/>
  <c r="J51" i="17"/>
  <c r="J51" i="13" s="1"/>
  <c r="J53" i="13" s="1"/>
  <c r="J151" i="17"/>
  <c r="J151" i="13" s="1"/>
  <c r="J63" i="17"/>
  <c r="J63" i="13" s="1"/>
  <c r="I130" i="13"/>
  <c r="J84" i="17"/>
  <c r="J84" i="13" s="1"/>
  <c r="J73" i="17"/>
  <c r="J73" i="13" s="1"/>
  <c r="J74" i="17"/>
  <c r="J74" i="13" s="1"/>
  <c r="J85" i="17"/>
  <c r="J85" i="13" s="1"/>
  <c r="J119" i="13"/>
  <c r="J31" i="13"/>
  <c r="J128" i="13"/>
  <c r="J168" i="13"/>
  <c r="J9" i="13"/>
  <c r="J168" i="12"/>
  <c r="J129" i="16"/>
  <c r="J29" i="16"/>
  <c r="J29" i="12" s="1"/>
  <c r="J27" i="12"/>
  <c r="J118" i="16"/>
  <c r="J118" i="12" s="1"/>
  <c r="J117" i="16"/>
  <c r="J117" i="12" s="1"/>
  <c r="J82" i="16"/>
  <c r="J82" i="12" s="1"/>
  <c r="J49" i="16"/>
  <c r="J49" i="12" s="1"/>
  <c r="J30" i="16"/>
  <c r="J30" i="12" s="1"/>
  <c r="J128" i="16"/>
  <c r="J137" i="16"/>
  <c r="J137" i="12" s="1"/>
  <c r="J71" i="16"/>
  <c r="J71" i="12" s="1"/>
  <c r="J104" i="16"/>
  <c r="J104" i="12" s="1"/>
  <c r="J60" i="16"/>
  <c r="J60" i="12" s="1"/>
  <c r="J5" i="16"/>
  <c r="J5" i="12" s="1"/>
  <c r="J148" i="16"/>
  <c r="J148" i="12" s="1"/>
  <c r="J38" i="16"/>
  <c r="J38" i="12" s="1"/>
  <c r="B163" i="6"/>
  <c r="B164" i="6"/>
  <c r="J74" i="18" l="1"/>
  <c r="J74" i="6" s="1"/>
  <c r="J41" i="18"/>
  <c r="J41" i="6" s="1"/>
  <c r="J152" i="13"/>
  <c r="J141" i="13"/>
  <c r="J127" i="13"/>
  <c r="J133" i="13"/>
  <c r="J126" i="13"/>
  <c r="J108" i="13"/>
  <c r="J64" i="13"/>
  <c r="J150" i="18"/>
  <c r="J150" i="6" s="1"/>
  <c r="J128" i="18"/>
  <c r="J128" i="6" s="1"/>
  <c r="J40" i="18"/>
  <c r="J40" i="6" s="1"/>
  <c r="J42" i="13"/>
  <c r="J7" i="18"/>
  <c r="J7" i="6" s="1"/>
  <c r="J129" i="18"/>
  <c r="J117" i="18"/>
  <c r="J117" i="6" s="1"/>
  <c r="J51" i="18"/>
  <c r="J51" i="6" s="1"/>
  <c r="J52" i="18"/>
  <c r="J29" i="18"/>
  <c r="J29" i="6" s="1"/>
  <c r="J73" i="18"/>
  <c r="J73" i="6" s="1"/>
  <c r="J164" i="6"/>
  <c r="J168" i="6"/>
  <c r="J139" i="18"/>
  <c r="J139" i="6" s="1"/>
  <c r="J63" i="18"/>
  <c r="J63" i="6" s="1"/>
  <c r="J104" i="6"/>
  <c r="J107" i="18"/>
  <c r="J107" i="6" s="1"/>
  <c r="I125" i="6"/>
  <c r="J151" i="18"/>
  <c r="J151" i="6" s="1"/>
  <c r="J27" i="6"/>
  <c r="J30" i="18"/>
  <c r="J30" i="6" s="1"/>
  <c r="J5" i="6"/>
  <c r="J8" i="18"/>
  <c r="J8" i="6" s="1"/>
  <c r="J62" i="18"/>
  <c r="J62" i="6" s="1"/>
  <c r="J85" i="18"/>
  <c r="J85" i="6" s="1"/>
  <c r="J84" i="18"/>
  <c r="J84" i="6" s="1"/>
  <c r="J106" i="18"/>
  <c r="J106" i="6" s="1"/>
  <c r="J115" i="6"/>
  <c r="J118" i="18"/>
  <c r="J118" i="6" s="1"/>
  <c r="J134" i="6"/>
  <c r="J156" i="6"/>
  <c r="J140" i="18"/>
  <c r="J140" i="6" s="1"/>
  <c r="J75" i="13"/>
  <c r="J86" i="13"/>
  <c r="J130" i="13"/>
  <c r="J119" i="12"/>
  <c r="J31" i="12"/>
  <c r="J129" i="12"/>
  <c r="J127" i="12"/>
  <c r="J128" i="12"/>
  <c r="J133" i="12"/>
  <c r="J126" i="12"/>
  <c r="J106" i="16"/>
  <c r="J106" i="12" s="1"/>
  <c r="J107" i="16"/>
  <c r="J107" i="12" s="1"/>
  <c r="J73" i="16"/>
  <c r="J73" i="12" s="1"/>
  <c r="J74" i="16"/>
  <c r="J74" i="12" s="1"/>
  <c r="J40" i="16"/>
  <c r="J40" i="12" s="1"/>
  <c r="J41" i="16"/>
  <c r="J41" i="12" s="1"/>
  <c r="J139" i="16"/>
  <c r="J139" i="12" s="1"/>
  <c r="J140" i="16"/>
  <c r="J140" i="12" s="1"/>
  <c r="J150" i="16"/>
  <c r="J150" i="12" s="1"/>
  <c r="J151" i="16"/>
  <c r="J151" i="12" s="1"/>
  <c r="J84" i="16"/>
  <c r="J84" i="12" s="1"/>
  <c r="J85" i="16"/>
  <c r="J85" i="12" s="1"/>
  <c r="J8" i="16"/>
  <c r="J8" i="12" s="1"/>
  <c r="J7" i="16"/>
  <c r="J7" i="12" s="1"/>
  <c r="J62" i="16"/>
  <c r="J62" i="12" s="1"/>
  <c r="J63" i="16"/>
  <c r="J63" i="12" s="1"/>
  <c r="J51" i="16"/>
  <c r="J51" i="12" s="1"/>
  <c r="J52" i="16"/>
  <c r="J75" i="6" l="1"/>
  <c r="J42" i="6"/>
  <c r="J119" i="6"/>
  <c r="J127" i="6"/>
  <c r="J141" i="6"/>
  <c r="J9" i="6"/>
  <c r="J152" i="6"/>
  <c r="J133" i="6"/>
  <c r="J126" i="6"/>
  <c r="J132" i="6"/>
  <c r="J129" i="6"/>
  <c r="J130" i="6" s="1"/>
  <c r="J31" i="6"/>
  <c r="J52" i="6"/>
  <c r="J64" i="6"/>
  <c r="J108" i="6"/>
  <c r="J86" i="6"/>
  <c r="J152" i="12"/>
  <c r="J42" i="12"/>
  <c r="J130" i="12"/>
  <c r="J108" i="12"/>
  <c r="J64" i="12"/>
  <c r="J141" i="12"/>
  <c r="J75" i="12"/>
  <c r="J86" i="12"/>
  <c r="J52" i="12"/>
  <c r="J9" i="12"/>
  <c r="J53" i="12" l="1"/>
  <c r="J125" i="6"/>
  <c r="J53" i="6"/>
  <c r="C4" i="7" l="1"/>
  <c r="D4" i="7"/>
  <c r="E4" i="7"/>
  <c r="F4" i="7"/>
  <c r="G4" i="7"/>
  <c r="H4" i="7"/>
  <c r="C15" i="7"/>
  <c r="D15" i="7"/>
  <c r="E15" i="7"/>
  <c r="F15" i="7"/>
  <c r="G15" i="7"/>
  <c r="H15" i="7"/>
  <c r="C26" i="7"/>
  <c r="D26" i="7"/>
  <c r="E26" i="7"/>
  <c r="F26" i="7"/>
  <c r="G26" i="7"/>
  <c r="H26" i="7"/>
  <c r="C37" i="7"/>
  <c r="D37" i="7"/>
  <c r="E37" i="7"/>
  <c r="F37" i="7"/>
  <c r="G37" i="7"/>
  <c r="H37" i="7"/>
  <c r="C48" i="7"/>
  <c r="D48" i="7"/>
  <c r="E48" i="7"/>
  <c r="F48" i="7"/>
  <c r="G48" i="7"/>
  <c r="H48" i="7"/>
  <c r="C59" i="7"/>
  <c r="D59" i="7"/>
  <c r="E59" i="7"/>
  <c r="F59" i="7"/>
  <c r="G59" i="7"/>
  <c r="H59" i="7"/>
  <c r="C70" i="7"/>
  <c r="D70" i="7"/>
  <c r="E70" i="7"/>
  <c r="F70" i="7"/>
  <c r="G70" i="7"/>
  <c r="H70" i="7"/>
  <c r="C81" i="7"/>
  <c r="D81" i="7"/>
  <c r="E81" i="7"/>
  <c r="F81" i="7"/>
  <c r="G81" i="7"/>
  <c r="H81" i="7"/>
  <c r="C92" i="7"/>
  <c r="D92" i="7"/>
  <c r="E92" i="7"/>
  <c r="F92" i="7"/>
  <c r="G92" i="7"/>
  <c r="H92" i="7"/>
  <c r="C103" i="7"/>
  <c r="D103" i="7"/>
  <c r="E103" i="7"/>
  <c r="F103" i="7"/>
  <c r="G103" i="7"/>
  <c r="H103" i="7"/>
  <c r="C114" i="7"/>
  <c r="D114" i="7"/>
  <c r="E114" i="7"/>
  <c r="F114" i="7"/>
  <c r="G114" i="7"/>
  <c r="H114" i="7"/>
  <c r="C125" i="7"/>
  <c r="D125" i="7"/>
  <c r="E125" i="7"/>
  <c r="F125" i="7"/>
  <c r="G125" i="7"/>
  <c r="H125" i="7"/>
  <c r="C136" i="7"/>
  <c r="D136" i="7"/>
  <c r="E136" i="7"/>
  <c r="F136" i="7"/>
  <c r="G136" i="7"/>
  <c r="H136" i="7"/>
  <c r="C147" i="7"/>
  <c r="D147" i="7"/>
  <c r="E147" i="7"/>
  <c r="F147" i="7"/>
  <c r="G147" i="7"/>
  <c r="H147" i="7"/>
  <c r="K23" i="10" l="1"/>
  <c r="K22" i="9"/>
  <c r="I23" i="11"/>
  <c r="K23" i="9"/>
  <c r="I22" i="10"/>
  <c r="J22" i="11"/>
  <c r="I23" i="10"/>
  <c r="I23" i="9"/>
  <c r="J23" i="11"/>
  <c r="J23" i="10"/>
  <c r="J22" i="9"/>
  <c r="J23" i="9"/>
  <c r="K22" i="10"/>
  <c r="I22" i="11"/>
  <c r="K23" i="11"/>
  <c r="K22" i="11"/>
  <c r="I22" i="9"/>
  <c r="J22" i="10"/>
  <c r="I99" i="9"/>
  <c r="I99" i="11"/>
  <c r="K100" i="10"/>
  <c r="K99" i="9"/>
  <c r="K100" i="9"/>
  <c r="I100" i="11"/>
  <c r="K99" i="10"/>
  <c r="J100" i="9"/>
  <c r="K100" i="11"/>
  <c r="J99" i="10"/>
  <c r="I100" i="9"/>
  <c r="J100" i="10"/>
  <c r="J100" i="11"/>
  <c r="I99" i="10"/>
  <c r="K99" i="11"/>
  <c r="J99" i="9"/>
  <c r="J99" i="11"/>
  <c r="I100" i="10"/>
  <c r="I145" i="3"/>
  <c r="J145" i="3" s="1"/>
  <c r="K145" i="3" s="1"/>
  <c r="I143" i="4"/>
  <c r="J143" i="4" s="1"/>
  <c r="K143" i="4" s="1"/>
  <c r="I143" i="3"/>
  <c r="J143" i="3" s="1"/>
  <c r="K143" i="3" s="1"/>
  <c r="I145" i="4"/>
  <c r="J145" i="4" s="1"/>
  <c r="K145" i="4" s="1"/>
  <c r="I137" i="4"/>
  <c r="J137" i="4" s="1"/>
  <c r="K137" i="4" s="1"/>
  <c r="I141" i="4"/>
  <c r="J141" i="4" s="1"/>
  <c r="K141" i="4" s="1"/>
  <c r="I138" i="4"/>
  <c r="J138" i="4" s="1"/>
  <c r="K138" i="4" s="1"/>
  <c r="I144" i="4"/>
  <c r="J144" i="4" s="1"/>
  <c r="K144" i="4" s="1"/>
  <c r="I144" i="3"/>
  <c r="J144" i="3" s="1"/>
  <c r="K144" i="3" s="1"/>
  <c r="I139" i="3"/>
  <c r="J139" i="3" s="1"/>
  <c r="K139" i="3" s="1"/>
  <c r="I139" i="4"/>
  <c r="J139" i="4" s="1"/>
  <c r="K139" i="4" s="1"/>
  <c r="I146" i="3"/>
  <c r="J146" i="3" s="1"/>
  <c r="K146" i="3" s="1"/>
  <c r="I138" i="3"/>
  <c r="J138" i="3" s="1"/>
  <c r="K138" i="3" s="1"/>
  <c r="I141" i="3"/>
  <c r="J141" i="3" s="1"/>
  <c r="K141" i="3" s="1"/>
  <c r="I140" i="4"/>
  <c r="J140" i="4" s="1"/>
  <c r="K140" i="4" s="1"/>
  <c r="I142" i="4"/>
  <c r="J142" i="4" s="1"/>
  <c r="K142" i="4" s="1"/>
  <c r="I137" i="3"/>
  <c r="J137" i="3" s="1"/>
  <c r="K137" i="3" s="1"/>
  <c r="I142" i="3"/>
  <c r="J142" i="3" s="1"/>
  <c r="K142" i="3" s="1"/>
  <c r="I140" i="3"/>
  <c r="J140" i="3" s="1"/>
  <c r="K140" i="3" s="1"/>
  <c r="I146" i="4"/>
  <c r="J146" i="4" s="1"/>
  <c r="K146" i="4" s="1"/>
  <c r="I123" i="3"/>
  <c r="J123" i="3" s="1"/>
  <c r="K123" i="3" s="1"/>
  <c r="I121" i="3"/>
  <c r="J121" i="3" s="1"/>
  <c r="K121" i="3" s="1"/>
  <c r="I123" i="4"/>
  <c r="J123" i="4" s="1"/>
  <c r="K123" i="4" s="1"/>
  <c r="I121" i="4"/>
  <c r="J121" i="4" s="1"/>
  <c r="K121" i="4" s="1"/>
  <c r="I115" i="3"/>
  <c r="J115" i="3" s="1"/>
  <c r="K115" i="3" s="1"/>
  <c r="I119" i="4"/>
  <c r="J119" i="4" s="1"/>
  <c r="K119" i="4" s="1"/>
  <c r="I122" i="3"/>
  <c r="J122" i="3" s="1"/>
  <c r="K122" i="3" s="1"/>
  <c r="I117" i="3"/>
  <c r="J117" i="3" s="1"/>
  <c r="K117" i="3" s="1"/>
  <c r="I115" i="4"/>
  <c r="J115" i="4" s="1"/>
  <c r="K115" i="4" s="1"/>
  <c r="I116" i="4"/>
  <c r="J116" i="4" s="1"/>
  <c r="K116" i="4" s="1"/>
  <c r="I118" i="4"/>
  <c r="J118" i="4" s="1"/>
  <c r="K118" i="4" s="1"/>
  <c r="I124" i="4"/>
  <c r="J124" i="4" s="1"/>
  <c r="K124" i="4" s="1"/>
  <c r="I119" i="3"/>
  <c r="J119" i="3" s="1"/>
  <c r="K119" i="3" s="1"/>
  <c r="I120" i="3"/>
  <c r="J120" i="3" s="1"/>
  <c r="K120" i="3" s="1"/>
  <c r="I122" i="4"/>
  <c r="J122" i="4" s="1"/>
  <c r="K122" i="4" s="1"/>
  <c r="I118" i="3"/>
  <c r="J118" i="3" s="1"/>
  <c r="K118" i="3" s="1"/>
  <c r="I120" i="4"/>
  <c r="J120" i="4" s="1"/>
  <c r="K120" i="4" s="1"/>
  <c r="I124" i="3"/>
  <c r="J124" i="3" s="1"/>
  <c r="K124" i="3" s="1"/>
  <c r="I116" i="3"/>
  <c r="J116" i="3" s="1"/>
  <c r="K116" i="3" s="1"/>
  <c r="I117" i="4"/>
  <c r="J117" i="4" s="1"/>
  <c r="K117" i="4" s="1"/>
  <c r="I96" i="4"/>
  <c r="J96" i="4" s="1"/>
  <c r="K96" i="4" s="1"/>
  <c r="I95" i="3"/>
  <c r="J95" i="3" s="1"/>
  <c r="K95" i="3" s="1"/>
  <c r="I97" i="4"/>
  <c r="J97" i="4" s="1"/>
  <c r="K97" i="4" s="1"/>
  <c r="I93" i="4"/>
  <c r="J93" i="4" s="1"/>
  <c r="K93" i="4" s="1"/>
  <c r="I102" i="3"/>
  <c r="J102" i="3" s="1"/>
  <c r="K102" i="3" s="1"/>
  <c r="I97" i="3"/>
  <c r="J97" i="3" s="1"/>
  <c r="K97" i="3" s="1"/>
  <c r="I96" i="3"/>
  <c r="J96" i="3" s="1"/>
  <c r="K96" i="3" s="1"/>
  <c r="I95" i="4"/>
  <c r="J95" i="4" s="1"/>
  <c r="K95" i="4" s="1"/>
  <c r="I93" i="3"/>
  <c r="J93" i="3" s="1"/>
  <c r="K93" i="3" s="1"/>
  <c r="I94" i="4"/>
  <c r="J94" i="4" s="1"/>
  <c r="K94" i="4" s="1"/>
  <c r="I101" i="3"/>
  <c r="J101" i="3" s="1"/>
  <c r="K101" i="3" s="1"/>
  <c r="I94" i="3"/>
  <c r="J94" i="3" s="1"/>
  <c r="K94" i="3" s="1"/>
  <c r="I98" i="4"/>
  <c r="J98" i="4" s="1"/>
  <c r="K98" i="4" s="1"/>
  <c r="I102" i="4"/>
  <c r="J102" i="4" s="1"/>
  <c r="K102" i="4" s="1"/>
  <c r="I98" i="3"/>
  <c r="J98" i="3" s="1"/>
  <c r="K98" i="3" s="1"/>
  <c r="I101" i="4"/>
  <c r="J101" i="4" s="1"/>
  <c r="K101" i="4" s="1"/>
  <c r="I99" i="4"/>
  <c r="I99" i="3"/>
  <c r="I100" i="3"/>
  <c r="I100" i="4"/>
  <c r="I79" i="4"/>
  <c r="J79" i="4" s="1"/>
  <c r="K79" i="4" s="1"/>
  <c r="I79" i="3"/>
  <c r="J79" i="3" s="1"/>
  <c r="K79" i="3" s="1"/>
  <c r="I72" i="3"/>
  <c r="J72" i="3" s="1"/>
  <c r="K72" i="3" s="1"/>
  <c r="I74" i="4"/>
  <c r="J74" i="4" s="1"/>
  <c r="K74" i="4" s="1"/>
  <c r="I71" i="3"/>
  <c r="J71" i="3" s="1"/>
  <c r="K71" i="3" s="1"/>
  <c r="I78" i="3"/>
  <c r="J78" i="3" s="1"/>
  <c r="K78" i="3" s="1"/>
  <c r="I75" i="3"/>
  <c r="J75" i="3" s="1"/>
  <c r="K75" i="3" s="1"/>
  <c r="I71" i="4"/>
  <c r="J71" i="4" s="1"/>
  <c r="K71" i="4" s="1"/>
  <c r="I78" i="4"/>
  <c r="J78" i="4" s="1"/>
  <c r="K78" i="4" s="1"/>
  <c r="I76" i="3"/>
  <c r="J76" i="3" s="1"/>
  <c r="K76" i="3" s="1"/>
  <c r="I76" i="4"/>
  <c r="J76" i="4" s="1"/>
  <c r="K76" i="4" s="1"/>
  <c r="I80" i="3"/>
  <c r="J80" i="3" s="1"/>
  <c r="K80" i="3" s="1"/>
  <c r="I77" i="4"/>
  <c r="J77" i="4" s="1"/>
  <c r="K77" i="4" s="1"/>
  <c r="I72" i="4"/>
  <c r="J72" i="4" s="1"/>
  <c r="K72" i="4" s="1"/>
  <c r="I74" i="3"/>
  <c r="J74" i="3" s="1"/>
  <c r="K74" i="3" s="1"/>
  <c r="I73" i="3"/>
  <c r="J73" i="3" s="1"/>
  <c r="K73" i="3" s="1"/>
  <c r="I77" i="3"/>
  <c r="J77" i="3" s="1"/>
  <c r="K77" i="3" s="1"/>
  <c r="I80" i="4"/>
  <c r="J80" i="4" s="1"/>
  <c r="K80" i="4" s="1"/>
  <c r="I73" i="4"/>
  <c r="J73" i="4" s="1"/>
  <c r="K73" i="4" s="1"/>
  <c r="I75" i="4"/>
  <c r="J75" i="4" s="1"/>
  <c r="K75" i="4" s="1"/>
  <c r="I11" i="4"/>
  <c r="I11" i="3"/>
  <c r="I13" i="3"/>
  <c r="I7" i="4"/>
  <c r="I10" i="3"/>
  <c r="I5" i="4"/>
  <c r="I12" i="3"/>
  <c r="I5" i="3"/>
  <c r="I9" i="3"/>
  <c r="I13" i="4"/>
  <c r="I14" i="3"/>
  <c r="I6" i="3"/>
  <c r="I12" i="4"/>
  <c r="I9" i="4"/>
  <c r="I10" i="4"/>
  <c r="I14" i="4"/>
  <c r="I8" i="3"/>
  <c r="I6" i="4"/>
  <c r="I7" i="3"/>
  <c r="I8" i="4"/>
  <c r="I156" i="3"/>
  <c r="J156" i="3" s="1"/>
  <c r="K156" i="3" s="1"/>
  <c r="I154" i="4"/>
  <c r="J154" i="4" s="1"/>
  <c r="K154" i="4" s="1"/>
  <c r="I156" i="4"/>
  <c r="J156" i="4" s="1"/>
  <c r="K156" i="4" s="1"/>
  <c r="I154" i="3"/>
  <c r="J154" i="3" s="1"/>
  <c r="K154" i="3" s="1"/>
  <c r="I149" i="3"/>
  <c r="J149" i="3" s="1"/>
  <c r="K149" i="3" s="1"/>
  <c r="I148" i="4"/>
  <c r="J148" i="4" s="1"/>
  <c r="K148" i="4" s="1"/>
  <c r="I155" i="4"/>
  <c r="J155" i="4" s="1"/>
  <c r="K155" i="4" s="1"/>
  <c r="I152" i="3"/>
  <c r="J152" i="3" s="1"/>
  <c r="K152" i="3" s="1"/>
  <c r="I155" i="3"/>
  <c r="J155" i="3" s="1"/>
  <c r="K155" i="3" s="1"/>
  <c r="I150" i="3"/>
  <c r="J150" i="3" s="1"/>
  <c r="K150" i="3" s="1"/>
  <c r="I149" i="4"/>
  <c r="J149" i="4" s="1"/>
  <c r="K149" i="4" s="1"/>
  <c r="I153" i="3"/>
  <c r="J153" i="3" s="1"/>
  <c r="K153" i="3" s="1"/>
  <c r="I157" i="3"/>
  <c r="J157" i="3" s="1"/>
  <c r="K157" i="3" s="1"/>
  <c r="I157" i="4"/>
  <c r="J157" i="4" s="1"/>
  <c r="K157" i="4" s="1"/>
  <c r="I153" i="4"/>
  <c r="J153" i="4" s="1"/>
  <c r="K153" i="4" s="1"/>
  <c r="I151" i="3"/>
  <c r="J151" i="3" s="1"/>
  <c r="K151" i="3" s="1"/>
  <c r="I151" i="4"/>
  <c r="J151" i="4" s="1"/>
  <c r="K151" i="4" s="1"/>
  <c r="I150" i="4"/>
  <c r="J150" i="4" s="1"/>
  <c r="K150" i="4" s="1"/>
  <c r="I152" i="4"/>
  <c r="J152" i="4" s="1"/>
  <c r="K152" i="4" s="1"/>
  <c r="I148" i="3"/>
  <c r="J148" i="3" s="1"/>
  <c r="K148" i="3" s="1"/>
  <c r="I134" i="4"/>
  <c r="J134" i="4" s="1"/>
  <c r="K134" i="4" s="1"/>
  <c r="I134" i="3"/>
  <c r="J134" i="3" s="1"/>
  <c r="K134" i="3" s="1"/>
  <c r="I129" i="4"/>
  <c r="J129" i="4" s="1"/>
  <c r="K129" i="4" s="1"/>
  <c r="I135" i="3"/>
  <c r="J135" i="3" s="1"/>
  <c r="K135" i="3" s="1"/>
  <c r="I130" i="4"/>
  <c r="J130" i="4" s="1"/>
  <c r="K130" i="4" s="1"/>
  <c r="I127" i="3"/>
  <c r="J127" i="3" s="1"/>
  <c r="K127" i="3" s="1"/>
  <c r="I129" i="3"/>
  <c r="J129" i="3" s="1"/>
  <c r="K129" i="3" s="1"/>
  <c r="I130" i="3"/>
  <c r="J130" i="3" s="1"/>
  <c r="K130" i="3" s="1"/>
  <c r="I131" i="4"/>
  <c r="J131" i="4" s="1"/>
  <c r="K131" i="4" s="1"/>
  <c r="I126" i="3"/>
  <c r="J126" i="3" s="1"/>
  <c r="K126" i="3" s="1"/>
  <c r="I131" i="3"/>
  <c r="J131" i="3" s="1"/>
  <c r="K131" i="3" s="1"/>
  <c r="I135" i="4"/>
  <c r="J135" i="4" s="1"/>
  <c r="K135" i="4" s="1"/>
  <c r="I127" i="4"/>
  <c r="J127" i="4" s="1"/>
  <c r="K127" i="4" s="1"/>
  <c r="I128" i="4"/>
  <c r="J128" i="4" s="1"/>
  <c r="K128" i="4" s="1"/>
  <c r="I126" i="4"/>
  <c r="J126" i="4" s="1"/>
  <c r="K126" i="4" s="1"/>
  <c r="I128" i="3"/>
  <c r="J128" i="3" s="1"/>
  <c r="K128" i="3" s="1"/>
  <c r="I133" i="3"/>
  <c r="J133" i="3" s="1"/>
  <c r="K133" i="3" s="1"/>
  <c r="I132" i="4"/>
  <c r="J132" i="4" s="1"/>
  <c r="K132" i="4" s="1"/>
  <c r="I133" i="4"/>
  <c r="J133" i="4" s="1"/>
  <c r="K133" i="4" s="1"/>
  <c r="I132" i="3"/>
  <c r="J132" i="3" s="1"/>
  <c r="K132" i="3" s="1"/>
  <c r="I112" i="3"/>
  <c r="J112" i="3" s="1"/>
  <c r="K112" i="3" s="1"/>
  <c r="I112" i="4"/>
  <c r="J112" i="4" s="1"/>
  <c r="K112" i="4" s="1"/>
  <c r="I105" i="4"/>
  <c r="J105" i="4" s="1"/>
  <c r="K105" i="4" s="1"/>
  <c r="I106" i="3"/>
  <c r="J106" i="3" s="1"/>
  <c r="K106" i="3" s="1"/>
  <c r="I113" i="4"/>
  <c r="J113" i="4" s="1"/>
  <c r="K113" i="4" s="1"/>
  <c r="I108" i="4"/>
  <c r="J108" i="4" s="1"/>
  <c r="K108" i="4" s="1"/>
  <c r="I107" i="3"/>
  <c r="J107" i="3" s="1"/>
  <c r="K107" i="3" s="1"/>
  <c r="I104" i="3"/>
  <c r="J104" i="3" s="1"/>
  <c r="K104" i="3" s="1"/>
  <c r="I107" i="4"/>
  <c r="J107" i="4" s="1"/>
  <c r="K107" i="4" s="1"/>
  <c r="I104" i="4"/>
  <c r="J104" i="4" s="1"/>
  <c r="K104" i="4" s="1"/>
  <c r="I105" i="3"/>
  <c r="J105" i="3" s="1"/>
  <c r="K105" i="3" s="1"/>
  <c r="I113" i="3"/>
  <c r="J113" i="3" s="1"/>
  <c r="K113" i="3" s="1"/>
  <c r="I111" i="3"/>
  <c r="J111" i="3" s="1"/>
  <c r="K111" i="3" s="1"/>
  <c r="I108" i="3"/>
  <c r="J108" i="3" s="1"/>
  <c r="K108" i="3" s="1"/>
  <c r="I110" i="4"/>
  <c r="J110" i="4" s="1"/>
  <c r="K110" i="4" s="1"/>
  <c r="I109" i="3"/>
  <c r="J109" i="3" s="1"/>
  <c r="K109" i="3" s="1"/>
  <c r="I110" i="3"/>
  <c r="J110" i="3" s="1"/>
  <c r="K110" i="3" s="1"/>
  <c r="I109" i="4"/>
  <c r="J109" i="4" s="1"/>
  <c r="K109" i="4" s="1"/>
  <c r="I106" i="4"/>
  <c r="J106" i="4" s="1"/>
  <c r="K106" i="4" s="1"/>
  <c r="I111" i="4"/>
  <c r="J111" i="4" s="1"/>
  <c r="K111" i="4" s="1"/>
  <c r="I88" i="4"/>
  <c r="J88" i="4" s="1"/>
  <c r="K88" i="4" s="1"/>
  <c r="I88" i="3"/>
  <c r="J88" i="3" s="1"/>
  <c r="K88" i="3" s="1"/>
  <c r="I90" i="4"/>
  <c r="J90" i="4" s="1"/>
  <c r="K90" i="4" s="1"/>
  <c r="I91" i="3"/>
  <c r="J91" i="3" s="1"/>
  <c r="K91" i="3" s="1"/>
  <c r="I91" i="4"/>
  <c r="J91" i="4" s="1"/>
  <c r="K91" i="4" s="1"/>
  <c r="I87" i="3"/>
  <c r="J87" i="3" s="1"/>
  <c r="K87" i="3" s="1"/>
  <c r="I82" i="3"/>
  <c r="J82" i="3" s="1"/>
  <c r="K82" i="3" s="1"/>
  <c r="I87" i="4"/>
  <c r="J87" i="4" s="1"/>
  <c r="K87" i="4" s="1"/>
  <c r="I84" i="4"/>
  <c r="J84" i="4" s="1"/>
  <c r="K84" i="4" s="1"/>
  <c r="I86" i="4"/>
  <c r="J86" i="4" s="1"/>
  <c r="K86" i="4" s="1"/>
  <c r="I84" i="3"/>
  <c r="J84" i="3" s="1"/>
  <c r="K84" i="3" s="1"/>
  <c r="I89" i="3"/>
  <c r="J89" i="3" s="1"/>
  <c r="K89" i="3" s="1"/>
  <c r="I89" i="4"/>
  <c r="J89" i="4" s="1"/>
  <c r="K89" i="4" s="1"/>
  <c r="I83" i="3"/>
  <c r="J83" i="3" s="1"/>
  <c r="K83" i="3" s="1"/>
  <c r="I90" i="3"/>
  <c r="J90" i="3" s="1"/>
  <c r="K90" i="3" s="1"/>
  <c r="I83" i="4"/>
  <c r="J83" i="4" s="1"/>
  <c r="K83" i="4" s="1"/>
  <c r="I85" i="4"/>
  <c r="J85" i="4" s="1"/>
  <c r="K85" i="4" s="1"/>
  <c r="I85" i="3"/>
  <c r="J85" i="3" s="1"/>
  <c r="K85" i="3" s="1"/>
  <c r="I82" i="4"/>
  <c r="J82" i="4" s="1"/>
  <c r="K82" i="4" s="1"/>
  <c r="I86" i="3"/>
  <c r="J86" i="3" s="1"/>
  <c r="K86" i="3" s="1"/>
  <c r="I68" i="4"/>
  <c r="J68" i="4" s="1"/>
  <c r="K68" i="4" s="1"/>
  <c r="I66" i="4"/>
  <c r="J66" i="4" s="1"/>
  <c r="K66" i="4" s="1"/>
  <c r="I66" i="3"/>
  <c r="J66" i="3" s="1"/>
  <c r="K66" i="3" s="1"/>
  <c r="I68" i="3"/>
  <c r="J68" i="3" s="1"/>
  <c r="K68" i="3" s="1"/>
  <c r="I65" i="3"/>
  <c r="J65" i="3" s="1"/>
  <c r="K65" i="3" s="1"/>
  <c r="I60" i="3"/>
  <c r="J60" i="3" s="1"/>
  <c r="K60" i="3" s="1"/>
  <c r="I62" i="3"/>
  <c r="J62" i="3" s="1"/>
  <c r="K62" i="3" s="1"/>
  <c r="I67" i="4"/>
  <c r="J67" i="4" s="1"/>
  <c r="K67" i="4" s="1"/>
  <c r="I67" i="3"/>
  <c r="J67" i="3" s="1"/>
  <c r="K67" i="3" s="1"/>
  <c r="I63" i="4"/>
  <c r="J63" i="4" s="1"/>
  <c r="K63" i="4" s="1"/>
  <c r="I64" i="4"/>
  <c r="J64" i="4" s="1"/>
  <c r="K64" i="4" s="1"/>
  <c r="I61" i="3"/>
  <c r="J61" i="3" s="1"/>
  <c r="K61" i="3" s="1"/>
  <c r="I65" i="4"/>
  <c r="J65" i="4" s="1"/>
  <c r="K65" i="4" s="1"/>
  <c r="I61" i="4"/>
  <c r="J61" i="4" s="1"/>
  <c r="K61" i="4" s="1"/>
  <c r="I63" i="3"/>
  <c r="J63" i="3" s="1"/>
  <c r="K63" i="3" s="1"/>
  <c r="I60" i="4"/>
  <c r="J60" i="4" s="1"/>
  <c r="K60" i="4" s="1"/>
  <c r="I62" i="4"/>
  <c r="J62" i="4" s="1"/>
  <c r="K62" i="4" s="1"/>
  <c r="I69" i="3"/>
  <c r="J69" i="3" s="1"/>
  <c r="K69" i="3" s="1"/>
  <c r="I69" i="4"/>
  <c r="J69" i="4" s="1"/>
  <c r="K69" i="4" s="1"/>
  <c r="I64" i="3"/>
  <c r="J64" i="3" s="1"/>
  <c r="K64" i="3" s="1"/>
  <c r="I46" i="3"/>
  <c r="J46" i="3" s="1"/>
  <c r="K46" i="3" s="1"/>
  <c r="I46" i="4"/>
  <c r="J46" i="4" s="1"/>
  <c r="K46" i="4" s="1"/>
  <c r="I44" i="3"/>
  <c r="J44" i="3" s="1"/>
  <c r="K44" i="3" s="1"/>
  <c r="I44" i="4"/>
  <c r="J44" i="4" s="1"/>
  <c r="K44" i="4" s="1"/>
  <c r="I38" i="3"/>
  <c r="J38" i="3" s="1"/>
  <c r="K38" i="3" s="1"/>
  <c r="I43" i="3"/>
  <c r="J43" i="3" s="1"/>
  <c r="K43" i="3" s="1"/>
  <c r="I42" i="4"/>
  <c r="J42" i="4" s="1"/>
  <c r="K42" i="4" s="1"/>
  <c r="I40" i="3"/>
  <c r="J40" i="3" s="1"/>
  <c r="K40" i="3" s="1"/>
  <c r="I39" i="4"/>
  <c r="J39" i="4" s="1"/>
  <c r="K39" i="4" s="1"/>
  <c r="I45" i="3"/>
  <c r="J45" i="3" s="1"/>
  <c r="K45" i="3" s="1"/>
  <c r="I43" i="4"/>
  <c r="J43" i="4" s="1"/>
  <c r="K43" i="4" s="1"/>
  <c r="I47" i="3"/>
  <c r="J47" i="3" s="1"/>
  <c r="K47" i="3" s="1"/>
  <c r="I41" i="3"/>
  <c r="J41" i="3" s="1"/>
  <c r="K41" i="3" s="1"/>
  <c r="I41" i="4"/>
  <c r="J41" i="4" s="1"/>
  <c r="K41" i="4" s="1"/>
  <c r="I39" i="3"/>
  <c r="J39" i="3" s="1"/>
  <c r="K39" i="3" s="1"/>
  <c r="I38" i="4"/>
  <c r="J38" i="4" s="1"/>
  <c r="K38" i="4" s="1"/>
  <c r="I45" i="4"/>
  <c r="J45" i="4" s="1"/>
  <c r="K45" i="4" s="1"/>
  <c r="I47" i="4"/>
  <c r="J47" i="4" s="1"/>
  <c r="K47" i="4" s="1"/>
  <c r="I42" i="3"/>
  <c r="J42" i="3" s="1"/>
  <c r="K42" i="3" s="1"/>
  <c r="I40" i="4"/>
  <c r="J40" i="4" s="1"/>
  <c r="K40" i="4" s="1"/>
  <c r="I18" i="4"/>
  <c r="J18" i="4" s="1"/>
  <c r="K18" i="4" s="1"/>
  <c r="I17" i="3"/>
  <c r="J17" i="3" s="1"/>
  <c r="K17" i="3" s="1"/>
  <c r="I25" i="3"/>
  <c r="J25" i="3" s="1"/>
  <c r="K25" i="3" s="1"/>
  <c r="I17" i="4"/>
  <c r="J17" i="4" s="1"/>
  <c r="K17" i="4" s="1"/>
  <c r="I25" i="4"/>
  <c r="J25" i="4" s="1"/>
  <c r="K25" i="4" s="1"/>
  <c r="I24" i="3"/>
  <c r="J24" i="3" s="1"/>
  <c r="K24" i="3" s="1"/>
  <c r="I19" i="4"/>
  <c r="J19" i="4" s="1"/>
  <c r="K19" i="4" s="1"/>
  <c r="I24" i="4"/>
  <c r="J24" i="4" s="1"/>
  <c r="K24" i="4" s="1"/>
  <c r="I19" i="3"/>
  <c r="J19" i="3" s="1"/>
  <c r="K19" i="3" s="1"/>
  <c r="I18" i="3"/>
  <c r="J18" i="3" s="1"/>
  <c r="K18" i="3" s="1"/>
  <c r="I20" i="3"/>
  <c r="J20" i="3" s="1"/>
  <c r="K20" i="3" s="1"/>
  <c r="I20" i="4"/>
  <c r="J20" i="4" s="1"/>
  <c r="K20" i="4" s="1"/>
  <c r="I16" i="4"/>
  <c r="J16" i="4" s="1"/>
  <c r="K16" i="4" s="1"/>
  <c r="I21" i="3"/>
  <c r="J21" i="3" s="1"/>
  <c r="K21" i="3" s="1"/>
  <c r="I16" i="3"/>
  <c r="J16" i="3" s="1"/>
  <c r="K16" i="3" s="1"/>
  <c r="I21" i="4"/>
  <c r="J21" i="4" s="1"/>
  <c r="K21" i="4" s="1"/>
  <c r="I23" i="4"/>
  <c r="I23" i="3"/>
  <c r="I22" i="3"/>
  <c r="I22" i="4"/>
  <c r="I57" i="3"/>
  <c r="J57" i="3" s="1"/>
  <c r="K57" i="3" s="1"/>
  <c r="I50" i="4"/>
  <c r="J50" i="4" s="1"/>
  <c r="K50" i="4" s="1"/>
  <c r="I57" i="4"/>
  <c r="J57" i="4" s="1"/>
  <c r="K57" i="4" s="1"/>
  <c r="I52" i="3"/>
  <c r="J52" i="3" s="1"/>
  <c r="K52" i="3" s="1"/>
  <c r="I54" i="3"/>
  <c r="J54" i="3" s="1"/>
  <c r="K54" i="3" s="1"/>
  <c r="I56" i="3"/>
  <c r="I55" i="4"/>
  <c r="J55" i="4" s="1"/>
  <c r="K55" i="4" s="1"/>
  <c r="I58" i="3"/>
  <c r="J58" i="3" s="1"/>
  <c r="K58" i="3" s="1"/>
  <c r="I53" i="4"/>
  <c r="J53" i="4" s="1"/>
  <c r="K53" i="4" s="1"/>
  <c r="I51" i="3"/>
  <c r="J51" i="3" s="1"/>
  <c r="K51" i="3" s="1"/>
  <c r="I55" i="3"/>
  <c r="J55" i="3" s="1"/>
  <c r="K55" i="3" s="1"/>
  <c r="I53" i="3"/>
  <c r="J53" i="3" s="1"/>
  <c r="K53" i="3" s="1"/>
  <c r="I54" i="4"/>
  <c r="J54" i="4" s="1"/>
  <c r="K54" i="4" s="1"/>
  <c r="I56" i="4"/>
  <c r="J56" i="4" s="1"/>
  <c r="K56" i="4" s="1"/>
  <c r="I51" i="4"/>
  <c r="J51" i="4" s="1"/>
  <c r="K51" i="4" s="1"/>
  <c r="I50" i="3"/>
  <c r="J50" i="3" s="1"/>
  <c r="K50" i="3" s="1"/>
  <c r="I49" i="4"/>
  <c r="J49" i="4" s="1"/>
  <c r="K49" i="4" s="1"/>
  <c r="I49" i="3"/>
  <c r="J49" i="3" s="1"/>
  <c r="K49" i="3" s="1"/>
  <c r="I58" i="4"/>
  <c r="J58" i="4" s="1"/>
  <c r="K58" i="4" s="1"/>
  <c r="I52" i="4"/>
  <c r="J52" i="4" s="1"/>
  <c r="K52" i="4" s="1"/>
  <c r="I33" i="4"/>
  <c r="J33" i="4" s="1"/>
  <c r="K33" i="4" s="1"/>
  <c r="I27" i="4"/>
  <c r="J27" i="4" s="1"/>
  <c r="K27" i="4" s="1"/>
  <c r="I31" i="3"/>
  <c r="J31" i="3" s="1"/>
  <c r="K31" i="3" s="1"/>
  <c r="I29" i="3"/>
  <c r="J29" i="3" s="1"/>
  <c r="K29" i="3" s="1"/>
  <c r="I28" i="3"/>
  <c r="J28" i="3" s="1"/>
  <c r="K28" i="3" s="1"/>
  <c r="I29" i="4"/>
  <c r="J29" i="4" s="1"/>
  <c r="K29" i="4" s="1"/>
  <c r="I34" i="4"/>
  <c r="J34" i="4" s="1"/>
  <c r="K34" i="4" s="1"/>
  <c r="I28" i="4"/>
  <c r="J28" i="4" s="1"/>
  <c r="K28" i="4" s="1"/>
  <c r="I32" i="3"/>
  <c r="J32" i="3" s="1"/>
  <c r="K32" i="3" s="1"/>
  <c r="I33" i="3"/>
  <c r="J33" i="3" s="1"/>
  <c r="K33" i="3" s="1"/>
  <c r="I30" i="4"/>
  <c r="J30" i="4" s="1"/>
  <c r="K30" i="4" s="1"/>
  <c r="I31" i="4"/>
  <c r="J31" i="4" s="1"/>
  <c r="K31" i="4" s="1"/>
  <c r="I35" i="3"/>
  <c r="J35" i="3" s="1"/>
  <c r="K35" i="3" s="1"/>
  <c r="I35" i="4"/>
  <c r="J35" i="4" s="1"/>
  <c r="K35" i="4" s="1"/>
  <c r="I30" i="3"/>
  <c r="J30" i="3" s="1"/>
  <c r="K30" i="3" s="1"/>
  <c r="I34" i="3"/>
  <c r="J34" i="3" s="1"/>
  <c r="K34" i="3" s="1"/>
  <c r="I32" i="4"/>
  <c r="J32" i="4" s="1"/>
  <c r="K32" i="4" s="1"/>
  <c r="I27" i="3"/>
  <c r="J27" i="3" s="1"/>
  <c r="K27" i="3" s="1"/>
  <c r="I36" i="3"/>
  <c r="J36" i="3" s="1"/>
  <c r="K36" i="3" s="1"/>
  <c r="I36" i="4"/>
  <c r="J36" i="4" s="1"/>
  <c r="K36" i="4" s="1"/>
  <c r="I145" i="5"/>
  <c r="J145" i="5" s="1"/>
  <c r="K145" i="5" s="1"/>
  <c r="I143" i="5"/>
  <c r="J143" i="5" s="1"/>
  <c r="K143" i="5" s="1"/>
  <c r="I142" i="5"/>
  <c r="J142" i="5" s="1"/>
  <c r="K142" i="5" s="1"/>
  <c r="I137" i="5"/>
  <c r="J137" i="5" s="1"/>
  <c r="K137" i="5" s="1"/>
  <c r="I146" i="5"/>
  <c r="J146" i="5" s="1"/>
  <c r="K146" i="5" s="1"/>
  <c r="I139" i="5"/>
  <c r="J139" i="5" s="1"/>
  <c r="K139" i="5" s="1"/>
  <c r="I140" i="5"/>
  <c r="J140" i="5" s="1"/>
  <c r="K140" i="5" s="1"/>
  <c r="I141" i="5"/>
  <c r="J141" i="5" s="1"/>
  <c r="K141" i="5" s="1"/>
  <c r="I138" i="5"/>
  <c r="J138" i="5" s="1"/>
  <c r="K138" i="5" s="1"/>
  <c r="I144" i="5"/>
  <c r="J144" i="5" s="1"/>
  <c r="K144" i="5" s="1"/>
  <c r="I123" i="5"/>
  <c r="J123" i="5" s="1"/>
  <c r="K123" i="5" s="1"/>
  <c r="I121" i="5"/>
  <c r="J121" i="5" s="1"/>
  <c r="K121" i="5" s="1"/>
  <c r="I117" i="5"/>
  <c r="J117" i="5" s="1"/>
  <c r="K117" i="5" s="1"/>
  <c r="I116" i="5"/>
  <c r="J116" i="5" s="1"/>
  <c r="K116" i="5" s="1"/>
  <c r="I124" i="5"/>
  <c r="J124" i="5" s="1"/>
  <c r="K124" i="5" s="1"/>
  <c r="I115" i="5"/>
  <c r="J115" i="5" s="1"/>
  <c r="K115" i="5" s="1"/>
  <c r="I119" i="5"/>
  <c r="J119" i="5" s="1"/>
  <c r="K119" i="5" s="1"/>
  <c r="I120" i="5"/>
  <c r="J120" i="5" s="1"/>
  <c r="K120" i="5" s="1"/>
  <c r="I118" i="5"/>
  <c r="J118" i="5" s="1"/>
  <c r="K118" i="5" s="1"/>
  <c r="I122" i="5"/>
  <c r="J122" i="5" s="1"/>
  <c r="K122" i="5" s="1"/>
  <c r="I94" i="5"/>
  <c r="J94" i="5" s="1"/>
  <c r="K94" i="5" s="1"/>
  <c r="I96" i="5"/>
  <c r="J96" i="5" s="1"/>
  <c r="K96" i="5" s="1"/>
  <c r="I97" i="5"/>
  <c r="J97" i="5" s="1"/>
  <c r="K97" i="5" s="1"/>
  <c r="I98" i="5"/>
  <c r="J98" i="5" s="1"/>
  <c r="K98" i="5" s="1"/>
  <c r="I101" i="5"/>
  <c r="J101" i="5" s="1"/>
  <c r="K101" i="5" s="1"/>
  <c r="I102" i="5"/>
  <c r="J102" i="5" s="1"/>
  <c r="K102" i="5" s="1"/>
  <c r="I95" i="5"/>
  <c r="J95" i="5" s="1"/>
  <c r="K95" i="5" s="1"/>
  <c r="I93" i="5"/>
  <c r="J93" i="5" s="1"/>
  <c r="K93" i="5" s="1"/>
  <c r="I100" i="5"/>
  <c r="I99" i="5"/>
  <c r="I79" i="5"/>
  <c r="J79" i="5" s="1"/>
  <c r="K79" i="5" s="1"/>
  <c r="I73" i="5"/>
  <c r="J73" i="5" s="1"/>
  <c r="K73" i="5" s="1"/>
  <c r="I76" i="5"/>
  <c r="J76" i="5" s="1"/>
  <c r="K76" i="5" s="1"/>
  <c r="I77" i="5"/>
  <c r="J77" i="5" s="1"/>
  <c r="K77" i="5" s="1"/>
  <c r="I74" i="5"/>
  <c r="J74" i="5" s="1"/>
  <c r="K74" i="5" s="1"/>
  <c r="I78" i="5"/>
  <c r="J78" i="5" s="1"/>
  <c r="K78" i="5" s="1"/>
  <c r="I75" i="5"/>
  <c r="J75" i="5" s="1"/>
  <c r="K75" i="5" s="1"/>
  <c r="I72" i="5"/>
  <c r="J72" i="5" s="1"/>
  <c r="K72" i="5" s="1"/>
  <c r="I71" i="5"/>
  <c r="J71" i="5" s="1"/>
  <c r="K71" i="5" s="1"/>
  <c r="I80" i="5"/>
  <c r="J80" i="5" s="1"/>
  <c r="K80" i="5" s="1"/>
  <c r="I52" i="5"/>
  <c r="J52" i="5" s="1"/>
  <c r="K52" i="5" s="1"/>
  <c r="I50" i="5"/>
  <c r="J50" i="5" s="1"/>
  <c r="K50" i="5" s="1"/>
  <c r="I55" i="5"/>
  <c r="J55" i="5" s="1"/>
  <c r="K55" i="5" s="1"/>
  <c r="I49" i="5"/>
  <c r="J49" i="5" s="1"/>
  <c r="K49" i="5" s="1"/>
  <c r="I57" i="5"/>
  <c r="J57" i="5" s="1"/>
  <c r="K57" i="5" s="1"/>
  <c r="I53" i="5"/>
  <c r="J53" i="5" s="1"/>
  <c r="K53" i="5" s="1"/>
  <c r="I56" i="5"/>
  <c r="J56" i="5" s="1"/>
  <c r="K56" i="5" s="1"/>
  <c r="I51" i="5"/>
  <c r="J51" i="5" s="1"/>
  <c r="K51" i="5" s="1"/>
  <c r="I58" i="5"/>
  <c r="J58" i="5" s="1"/>
  <c r="K58" i="5" s="1"/>
  <c r="I54" i="5"/>
  <c r="J54" i="5" s="1"/>
  <c r="K54" i="5" s="1"/>
  <c r="I32" i="5"/>
  <c r="J32" i="5" s="1"/>
  <c r="K32" i="5" s="1"/>
  <c r="I31" i="5"/>
  <c r="J31" i="5" s="1"/>
  <c r="K31" i="5" s="1"/>
  <c r="I35" i="5"/>
  <c r="J35" i="5" s="1"/>
  <c r="K35" i="5" s="1"/>
  <c r="I29" i="5"/>
  <c r="J29" i="5" s="1"/>
  <c r="K29" i="5" s="1"/>
  <c r="I27" i="5"/>
  <c r="J27" i="5" s="1"/>
  <c r="K27" i="5" s="1"/>
  <c r="I36" i="5"/>
  <c r="J36" i="5" s="1"/>
  <c r="K36" i="5" s="1"/>
  <c r="I33" i="5"/>
  <c r="J33" i="5" s="1"/>
  <c r="K33" i="5" s="1"/>
  <c r="I30" i="5"/>
  <c r="J30" i="5" s="1"/>
  <c r="K30" i="5" s="1"/>
  <c r="I28" i="5"/>
  <c r="J28" i="5" s="1"/>
  <c r="K28" i="5" s="1"/>
  <c r="I34" i="5"/>
  <c r="J34" i="5" s="1"/>
  <c r="K34" i="5" s="1"/>
  <c r="I11" i="5"/>
  <c r="I8" i="5"/>
  <c r="I7" i="5"/>
  <c r="I13" i="5"/>
  <c r="I12" i="5"/>
  <c r="I10" i="5"/>
  <c r="I14" i="5"/>
  <c r="I5" i="5"/>
  <c r="I9" i="5"/>
  <c r="I6" i="5"/>
  <c r="I156" i="5"/>
  <c r="J156" i="5" s="1"/>
  <c r="K156" i="5" s="1"/>
  <c r="I154" i="5"/>
  <c r="J154" i="5" s="1"/>
  <c r="K154" i="5" s="1"/>
  <c r="I153" i="5"/>
  <c r="J153" i="5" s="1"/>
  <c r="K153" i="5" s="1"/>
  <c r="I149" i="5"/>
  <c r="J149" i="5" s="1"/>
  <c r="K149" i="5" s="1"/>
  <c r="I155" i="5"/>
  <c r="J155" i="5" s="1"/>
  <c r="K155" i="5" s="1"/>
  <c r="I151" i="5"/>
  <c r="J151" i="5" s="1"/>
  <c r="K151" i="5" s="1"/>
  <c r="I150" i="5"/>
  <c r="J150" i="5" s="1"/>
  <c r="K150" i="5" s="1"/>
  <c r="I157" i="5"/>
  <c r="J157" i="5" s="1"/>
  <c r="K157" i="5" s="1"/>
  <c r="I152" i="5"/>
  <c r="J152" i="5" s="1"/>
  <c r="K152" i="5" s="1"/>
  <c r="I148" i="5"/>
  <c r="J148" i="5" s="1"/>
  <c r="K148" i="5" s="1"/>
  <c r="I134" i="5"/>
  <c r="J134" i="5" s="1"/>
  <c r="K134" i="5" s="1"/>
  <c r="I130" i="5"/>
  <c r="J130" i="5" s="1"/>
  <c r="K130" i="5" s="1"/>
  <c r="I131" i="5"/>
  <c r="J131" i="5" s="1"/>
  <c r="K131" i="5" s="1"/>
  <c r="I127" i="5"/>
  <c r="J127" i="5" s="1"/>
  <c r="K127" i="5" s="1"/>
  <c r="I126" i="5"/>
  <c r="J126" i="5" s="1"/>
  <c r="K126" i="5" s="1"/>
  <c r="I129" i="5"/>
  <c r="J129" i="5" s="1"/>
  <c r="K129" i="5" s="1"/>
  <c r="I128" i="5"/>
  <c r="J128" i="5" s="1"/>
  <c r="K128" i="5" s="1"/>
  <c r="I135" i="5"/>
  <c r="J135" i="5" s="1"/>
  <c r="K135" i="5" s="1"/>
  <c r="I132" i="5"/>
  <c r="J132" i="5" s="1"/>
  <c r="K132" i="5" s="1"/>
  <c r="I133" i="5"/>
  <c r="J133" i="5" s="1"/>
  <c r="K133" i="5" s="1"/>
  <c r="I112" i="5"/>
  <c r="J112" i="5" s="1"/>
  <c r="K112" i="5" s="1"/>
  <c r="I105" i="5"/>
  <c r="J105" i="5" s="1"/>
  <c r="K105" i="5" s="1"/>
  <c r="I109" i="5"/>
  <c r="J109" i="5" s="1"/>
  <c r="K109" i="5" s="1"/>
  <c r="I107" i="5"/>
  <c r="J107" i="5" s="1"/>
  <c r="K107" i="5" s="1"/>
  <c r="I111" i="5"/>
  <c r="J111" i="5" s="1"/>
  <c r="K111" i="5" s="1"/>
  <c r="I113" i="5"/>
  <c r="J113" i="5" s="1"/>
  <c r="K113" i="5" s="1"/>
  <c r="I106" i="5"/>
  <c r="J106" i="5" s="1"/>
  <c r="K106" i="5" s="1"/>
  <c r="I110" i="5"/>
  <c r="J110" i="5" s="1"/>
  <c r="K110" i="5" s="1"/>
  <c r="I104" i="5"/>
  <c r="J104" i="5" s="1"/>
  <c r="K104" i="5" s="1"/>
  <c r="I108" i="5"/>
  <c r="J108" i="5" s="1"/>
  <c r="K108" i="5" s="1"/>
  <c r="I88" i="5"/>
  <c r="J88" i="5" s="1"/>
  <c r="K88" i="5" s="1"/>
  <c r="I84" i="5"/>
  <c r="J84" i="5" s="1"/>
  <c r="K84" i="5" s="1"/>
  <c r="I87" i="5"/>
  <c r="J87" i="5" s="1"/>
  <c r="K87" i="5" s="1"/>
  <c r="I90" i="5"/>
  <c r="J90" i="5" s="1"/>
  <c r="K90" i="5" s="1"/>
  <c r="I82" i="5"/>
  <c r="J82" i="5" s="1"/>
  <c r="K82" i="5" s="1"/>
  <c r="I86" i="5"/>
  <c r="J86" i="5" s="1"/>
  <c r="K86" i="5" s="1"/>
  <c r="I91" i="5"/>
  <c r="J91" i="5" s="1"/>
  <c r="K91" i="5" s="1"/>
  <c r="I83" i="5"/>
  <c r="J83" i="5" s="1"/>
  <c r="K83" i="5" s="1"/>
  <c r="I89" i="5"/>
  <c r="J89" i="5" s="1"/>
  <c r="K89" i="5" s="1"/>
  <c r="I85" i="5"/>
  <c r="J85" i="5" s="1"/>
  <c r="K85" i="5" s="1"/>
  <c r="I66" i="5"/>
  <c r="J66" i="5" s="1"/>
  <c r="K66" i="5" s="1"/>
  <c r="I68" i="5"/>
  <c r="J68" i="5" s="1"/>
  <c r="K68" i="5" s="1"/>
  <c r="I63" i="5"/>
  <c r="J63" i="5" s="1"/>
  <c r="K63" i="5" s="1"/>
  <c r="I62" i="5"/>
  <c r="J62" i="5" s="1"/>
  <c r="K62" i="5" s="1"/>
  <c r="I64" i="5"/>
  <c r="J64" i="5" s="1"/>
  <c r="K64" i="5" s="1"/>
  <c r="I65" i="5"/>
  <c r="J65" i="5" s="1"/>
  <c r="K65" i="5" s="1"/>
  <c r="I60" i="5"/>
  <c r="J60" i="5" s="1"/>
  <c r="K60" i="5" s="1"/>
  <c r="I61" i="5"/>
  <c r="J61" i="5" s="1"/>
  <c r="K61" i="5" s="1"/>
  <c r="I67" i="5"/>
  <c r="J67" i="5" s="1"/>
  <c r="K67" i="5" s="1"/>
  <c r="I69" i="5"/>
  <c r="J69" i="5" s="1"/>
  <c r="K69" i="5" s="1"/>
  <c r="I44" i="5"/>
  <c r="J44" i="5" s="1"/>
  <c r="K44" i="5" s="1"/>
  <c r="I46" i="5"/>
  <c r="J46" i="5" s="1"/>
  <c r="K46" i="5" s="1"/>
  <c r="I40" i="5"/>
  <c r="J40" i="5" s="1"/>
  <c r="K40" i="5" s="1"/>
  <c r="I45" i="5"/>
  <c r="J45" i="5" s="1"/>
  <c r="K45" i="5" s="1"/>
  <c r="I39" i="5"/>
  <c r="J39" i="5" s="1"/>
  <c r="K39" i="5" s="1"/>
  <c r="I47" i="5"/>
  <c r="J47" i="5" s="1"/>
  <c r="K47" i="5" s="1"/>
  <c r="I42" i="5"/>
  <c r="J42" i="5" s="1"/>
  <c r="K42" i="5" s="1"/>
  <c r="I41" i="5"/>
  <c r="J41" i="5" s="1"/>
  <c r="K41" i="5" s="1"/>
  <c r="I38" i="5"/>
  <c r="J38" i="5" s="1"/>
  <c r="K38" i="5" s="1"/>
  <c r="I43" i="5"/>
  <c r="J43" i="5" s="1"/>
  <c r="K43" i="5" s="1"/>
  <c r="I16" i="5"/>
  <c r="J16" i="5" s="1"/>
  <c r="K16" i="5" s="1"/>
  <c r="I20" i="5"/>
  <c r="J20" i="5" s="1"/>
  <c r="K20" i="5" s="1"/>
  <c r="I24" i="5"/>
  <c r="J24" i="5" s="1"/>
  <c r="K24" i="5" s="1"/>
  <c r="I21" i="5"/>
  <c r="J21" i="5" s="1"/>
  <c r="K21" i="5" s="1"/>
  <c r="I19" i="5"/>
  <c r="J19" i="5" s="1"/>
  <c r="K19" i="5" s="1"/>
  <c r="I18" i="5"/>
  <c r="J18" i="5" s="1"/>
  <c r="K18" i="5" s="1"/>
  <c r="I17" i="5"/>
  <c r="J17" i="5" s="1"/>
  <c r="K17" i="5" s="1"/>
  <c r="I25" i="5"/>
  <c r="J25" i="5" s="1"/>
  <c r="K25" i="5" s="1"/>
  <c r="I23" i="5"/>
  <c r="I22" i="5"/>
  <c r="G110" i="11"/>
  <c r="G108" i="10"/>
  <c r="G111" i="9"/>
  <c r="G112" i="10"/>
  <c r="G112" i="16" s="1"/>
  <c r="G112" i="12" s="1"/>
  <c r="G111" i="11"/>
  <c r="G109" i="10"/>
  <c r="G104" i="10"/>
  <c r="G111" i="10"/>
  <c r="G113" i="10"/>
  <c r="G106" i="10"/>
  <c r="G107" i="10"/>
  <c r="G105" i="10"/>
  <c r="G110" i="10"/>
  <c r="G110" i="9"/>
  <c r="G105" i="11"/>
  <c r="G104" i="11"/>
  <c r="G109" i="11"/>
  <c r="G113" i="11"/>
  <c r="G108" i="11"/>
  <c r="G106" i="9"/>
  <c r="G108" i="9"/>
  <c r="G112" i="11"/>
  <c r="G109" i="9"/>
  <c r="G113" i="9"/>
  <c r="G107" i="9"/>
  <c r="G104" i="9"/>
  <c r="G105" i="9"/>
  <c r="G112" i="9"/>
  <c r="G106" i="11"/>
  <c r="G107" i="11"/>
  <c r="G79" i="10"/>
  <c r="G79" i="16" s="1"/>
  <c r="G79" i="12" s="1"/>
  <c r="G73" i="10"/>
  <c r="G76" i="10"/>
  <c r="G77" i="10"/>
  <c r="G71" i="10"/>
  <c r="G78" i="9"/>
  <c r="G76" i="11"/>
  <c r="G75" i="10"/>
  <c r="G80" i="10"/>
  <c r="G72" i="10"/>
  <c r="G72" i="11"/>
  <c r="G78" i="11"/>
  <c r="G74" i="10"/>
  <c r="G71" i="11"/>
  <c r="G77" i="11"/>
  <c r="G78" i="10"/>
  <c r="G77" i="9"/>
  <c r="G79" i="9"/>
  <c r="G75" i="11"/>
  <c r="G73" i="9"/>
  <c r="G79" i="11"/>
  <c r="G72" i="9"/>
  <c r="G76" i="9"/>
  <c r="G80" i="9"/>
  <c r="G80" i="11"/>
  <c r="G75" i="9"/>
  <c r="G74" i="9"/>
  <c r="G71" i="9"/>
  <c r="G73" i="11"/>
  <c r="G74" i="11"/>
  <c r="G169" i="7"/>
  <c r="G11" i="11"/>
  <c r="G10" i="10"/>
  <c r="G14" i="10"/>
  <c r="G5" i="10"/>
  <c r="G11" i="10"/>
  <c r="G12" i="9"/>
  <c r="G5" i="11"/>
  <c r="G12" i="11"/>
  <c r="G7" i="10"/>
  <c r="G8" i="10"/>
  <c r="G6" i="10"/>
  <c r="G9" i="10"/>
  <c r="G6" i="11"/>
  <c r="G13" i="10"/>
  <c r="G12" i="10"/>
  <c r="G10" i="11"/>
  <c r="G11" i="9"/>
  <c r="G14" i="11"/>
  <c r="G8" i="9"/>
  <c r="G13" i="9"/>
  <c r="G10" i="9"/>
  <c r="G9" i="11"/>
  <c r="G5" i="9"/>
  <c r="G14" i="9"/>
  <c r="G13" i="11"/>
  <c r="G9" i="9"/>
  <c r="G6" i="9"/>
  <c r="G7" i="9"/>
  <c r="G7" i="11"/>
  <c r="G8" i="11"/>
  <c r="G156" i="10"/>
  <c r="G156" i="16" s="1"/>
  <c r="G156" i="12" s="1"/>
  <c r="G157" i="10"/>
  <c r="G151" i="10"/>
  <c r="G153" i="10"/>
  <c r="G148" i="11"/>
  <c r="G150" i="10"/>
  <c r="G148" i="10"/>
  <c r="G149" i="10"/>
  <c r="G154" i="11"/>
  <c r="G154" i="9"/>
  <c r="G155" i="9"/>
  <c r="G149" i="11"/>
  <c r="G153" i="11"/>
  <c r="G155" i="11"/>
  <c r="G155" i="10"/>
  <c r="G154" i="10"/>
  <c r="G152" i="10"/>
  <c r="G152" i="11"/>
  <c r="G152" i="9"/>
  <c r="G156" i="9"/>
  <c r="G148" i="9"/>
  <c r="G153" i="9"/>
  <c r="G149" i="9"/>
  <c r="G150" i="9"/>
  <c r="G157" i="9"/>
  <c r="G157" i="11"/>
  <c r="G156" i="11"/>
  <c r="G151" i="9"/>
  <c r="G150" i="11"/>
  <c r="G151" i="11"/>
  <c r="G134" i="10"/>
  <c r="G134" i="16" s="1"/>
  <c r="G134" i="12" s="1"/>
  <c r="G135" i="10"/>
  <c r="G131" i="11"/>
  <c r="G127" i="11"/>
  <c r="G131" i="10"/>
  <c r="G126" i="10"/>
  <c r="G130" i="10"/>
  <c r="G129" i="10"/>
  <c r="G126" i="11"/>
  <c r="G127" i="10"/>
  <c r="G128" i="10"/>
  <c r="G134" i="11"/>
  <c r="G129" i="9"/>
  <c r="G128" i="9"/>
  <c r="G131" i="9"/>
  <c r="G134" i="9"/>
  <c r="G135" i="11"/>
  <c r="G135" i="9"/>
  <c r="G126" i="9"/>
  <c r="G127" i="9"/>
  <c r="G130" i="11"/>
  <c r="G130" i="9"/>
  <c r="G128" i="11"/>
  <c r="G129" i="11"/>
  <c r="G89" i="11"/>
  <c r="G88" i="11"/>
  <c r="G86" i="10"/>
  <c r="G87" i="10"/>
  <c r="G89" i="10"/>
  <c r="G83" i="10"/>
  <c r="G83" i="11"/>
  <c r="G87" i="11"/>
  <c r="G90" i="10"/>
  <c r="G90" i="16" s="1"/>
  <c r="G90" i="12" s="1"/>
  <c r="G84" i="10"/>
  <c r="G85" i="10"/>
  <c r="G89" i="9"/>
  <c r="G82" i="11"/>
  <c r="G82" i="10"/>
  <c r="G88" i="10"/>
  <c r="G91" i="10"/>
  <c r="G88" i="9"/>
  <c r="G90" i="9"/>
  <c r="G91" i="11"/>
  <c r="G83" i="9"/>
  <c r="G84" i="9"/>
  <c r="G86" i="9"/>
  <c r="G82" i="9"/>
  <c r="G85" i="9"/>
  <c r="G86" i="11"/>
  <c r="G90" i="11"/>
  <c r="G87" i="9"/>
  <c r="G91" i="9"/>
  <c r="G84" i="11"/>
  <c r="G85" i="11"/>
  <c r="G34" i="11"/>
  <c r="G33" i="11"/>
  <c r="G30" i="10"/>
  <c r="G36" i="10"/>
  <c r="G33" i="9"/>
  <c r="G27" i="11"/>
  <c r="G35" i="10"/>
  <c r="G35" i="16" s="1"/>
  <c r="G35" i="12" s="1"/>
  <c r="G32" i="10"/>
  <c r="G28" i="10"/>
  <c r="G34" i="10"/>
  <c r="G34" i="9"/>
  <c r="G33" i="10"/>
  <c r="G27" i="10"/>
  <c r="G28" i="11"/>
  <c r="G32" i="11"/>
  <c r="G29" i="10"/>
  <c r="G31" i="10"/>
  <c r="G35" i="11"/>
  <c r="G35" i="9"/>
  <c r="G27" i="9"/>
  <c r="G31" i="9"/>
  <c r="G29" i="9"/>
  <c r="G36" i="9"/>
  <c r="G29" i="11"/>
  <c r="G36" i="11"/>
  <c r="G28" i="9"/>
  <c r="G30" i="9"/>
  <c r="G31" i="11"/>
  <c r="G32" i="9"/>
  <c r="G30" i="11"/>
  <c r="G145" i="10"/>
  <c r="G145" i="16" s="1"/>
  <c r="G145" i="12" s="1"/>
  <c r="G146" i="10"/>
  <c r="G137" i="10"/>
  <c r="G143" i="11"/>
  <c r="G142" i="10"/>
  <c r="G143" i="9"/>
  <c r="G142" i="11"/>
  <c r="G139" i="10"/>
  <c r="G140" i="10"/>
  <c r="G143" i="10"/>
  <c r="G141" i="10"/>
  <c r="G138" i="10"/>
  <c r="G144" i="9"/>
  <c r="G144" i="11"/>
  <c r="G144" i="10"/>
  <c r="G138" i="11"/>
  <c r="G137" i="11"/>
  <c r="G141" i="9"/>
  <c r="G138" i="9"/>
  <c r="G146" i="11"/>
  <c r="G145" i="11"/>
  <c r="G140" i="9"/>
  <c r="G142" i="9"/>
  <c r="G145" i="9"/>
  <c r="G141" i="11"/>
  <c r="G139" i="9"/>
  <c r="G137" i="9"/>
  <c r="G146" i="9"/>
  <c r="G139" i="11"/>
  <c r="G140" i="11"/>
  <c r="G95" i="10"/>
  <c r="G101" i="10"/>
  <c r="G101" i="16" s="1"/>
  <c r="G101" i="12" s="1"/>
  <c r="G94" i="10"/>
  <c r="G94" i="11"/>
  <c r="G98" i="10"/>
  <c r="G93" i="10"/>
  <c r="G97" i="10"/>
  <c r="G93" i="11"/>
  <c r="G96" i="10"/>
  <c r="G102" i="10"/>
  <c r="G98" i="11"/>
  <c r="G96" i="9"/>
  <c r="G102" i="9"/>
  <c r="G97" i="11"/>
  <c r="G98" i="9"/>
  <c r="G101" i="11"/>
  <c r="G93" i="9"/>
  <c r="G95" i="9"/>
  <c r="G102" i="11"/>
  <c r="G97" i="9"/>
  <c r="G94" i="9"/>
  <c r="G101" i="9"/>
  <c r="G95" i="11"/>
  <c r="G96" i="11"/>
  <c r="G61" i="10"/>
  <c r="G66" i="9"/>
  <c r="G67" i="11"/>
  <c r="G62" i="10"/>
  <c r="G63" i="10"/>
  <c r="G69" i="10"/>
  <c r="G60" i="11"/>
  <c r="G67" i="10"/>
  <c r="G67" i="9"/>
  <c r="G68" i="10"/>
  <c r="G68" i="16" s="1"/>
  <c r="G68" i="12" s="1"/>
  <c r="G66" i="11"/>
  <c r="G60" i="10"/>
  <c r="G65" i="10"/>
  <c r="G66" i="10"/>
  <c r="G64" i="10"/>
  <c r="G61" i="11"/>
  <c r="G65" i="11"/>
  <c r="G69" i="9"/>
  <c r="G68" i="9"/>
  <c r="G64" i="11"/>
  <c r="G69" i="11"/>
  <c r="G64" i="9"/>
  <c r="G63" i="9"/>
  <c r="G68" i="11"/>
  <c r="G62" i="9"/>
  <c r="G65" i="9"/>
  <c r="G61" i="9"/>
  <c r="G60" i="9"/>
  <c r="G62" i="11"/>
  <c r="G63" i="11"/>
  <c r="G46" i="10"/>
  <c r="G46" i="16" s="1"/>
  <c r="G46" i="12" s="1"/>
  <c r="G47" i="10"/>
  <c r="G42" i="10"/>
  <c r="G44" i="10"/>
  <c r="G38" i="10"/>
  <c r="G44" i="9"/>
  <c r="G45" i="9"/>
  <c r="G38" i="11"/>
  <c r="G43" i="11"/>
  <c r="G44" i="11"/>
  <c r="G39" i="10"/>
  <c r="G40" i="10"/>
  <c r="G41" i="10"/>
  <c r="G45" i="11"/>
  <c r="G43" i="10"/>
  <c r="G45" i="10"/>
  <c r="G39" i="11"/>
  <c r="G47" i="11"/>
  <c r="G46" i="11"/>
  <c r="G38" i="9"/>
  <c r="G40" i="9"/>
  <c r="G42" i="11"/>
  <c r="G43" i="9"/>
  <c r="G47" i="9"/>
  <c r="G39" i="9"/>
  <c r="G46" i="9"/>
  <c r="G42" i="9"/>
  <c r="G41" i="9"/>
  <c r="G40" i="11"/>
  <c r="G41" i="11"/>
  <c r="G115" i="10"/>
  <c r="G116" i="10"/>
  <c r="G121" i="11"/>
  <c r="G117" i="10"/>
  <c r="G120" i="10"/>
  <c r="G121" i="10"/>
  <c r="G124" i="10"/>
  <c r="G120" i="11"/>
  <c r="G123" i="10"/>
  <c r="G123" i="16" s="1"/>
  <c r="G123" i="12" s="1"/>
  <c r="G122" i="11"/>
  <c r="G118" i="10"/>
  <c r="G122" i="10"/>
  <c r="G121" i="9"/>
  <c r="G116" i="11"/>
  <c r="G119" i="10"/>
  <c r="G122" i="9"/>
  <c r="G115" i="11"/>
  <c r="G119" i="11"/>
  <c r="G116" i="9"/>
  <c r="G123" i="11"/>
  <c r="G124" i="9"/>
  <c r="G119" i="9"/>
  <c r="G124" i="11"/>
  <c r="G118" i="9"/>
  <c r="G115" i="9"/>
  <c r="G117" i="9"/>
  <c r="G120" i="9"/>
  <c r="G123" i="9"/>
  <c r="G117" i="11"/>
  <c r="G118" i="11"/>
  <c r="G53" i="10"/>
  <c r="G50" i="10"/>
  <c r="G56" i="10"/>
  <c r="G52" i="10"/>
  <c r="G56" i="9"/>
  <c r="G50" i="11"/>
  <c r="G55" i="9"/>
  <c r="G49" i="11"/>
  <c r="G57" i="10"/>
  <c r="G57" i="16" s="1"/>
  <c r="G57" i="12" s="1"/>
  <c r="G55" i="11"/>
  <c r="G54" i="10"/>
  <c r="G55" i="10"/>
  <c r="G54" i="11"/>
  <c r="G56" i="11"/>
  <c r="G51" i="10"/>
  <c r="G58" i="10"/>
  <c r="G49" i="10"/>
  <c r="G53" i="9"/>
  <c r="G57" i="9"/>
  <c r="G57" i="11"/>
  <c r="G49" i="9"/>
  <c r="G58" i="11"/>
  <c r="G58" i="9"/>
  <c r="G52" i="9"/>
  <c r="G53" i="11"/>
  <c r="G50" i="9"/>
  <c r="G51" i="9"/>
  <c r="G54" i="9"/>
  <c r="G51" i="11"/>
  <c r="G52" i="11"/>
  <c r="G21" i="10"/>
  <c r="G17" i="11"/>
  <c r="G16" i="11"/>
  <c r="G20" i="10"/>
  <c r="G19" i="10"/>
  <c r="G25" i="10"/>
  <c r="G21" i="11"/>
  <c r="G24" i="10"/>
  <c r="G18" i="10"/>
  <c r="G16" i="10"/>
  <c r="G17" i="10"/>
  <c r="G24" i="11"/>
  <c r="G17" i="9"/>
  <c r="G21" i="9"/>
  <c r="G19" i="9"/>
  <c r="G20" i="11"/>
  <c r="G25" i="9"/>
  <c r="G20" i="9"/>
  <c r="G18" i="9"/>
  <c r="G25" i="11"/>
  <c r="G24" i="9"/>
  <c r="G16" i="9"/>
  <c r="G18" i="11"/>
  <c r="G19" i="11"/>
  <c r="F122" i="11"/>
  <c r="F120" i="10"/>
  <c r="F122" i="10"/>
  <c r="F117" i="10"/>
  <c r="F118" i="10"/>
  <c r="F124" i="10"/>
  <c r="F122" i="9"/>
  <c r="F115" i="10"/>
  <c r="F116" i="11"/>
  <c r="F123" i="10"/>
  <c r="F123" i="16" s="1"/>
  <c r="F123" i="12" s="1"/>
  <c r="F119" i="10"/>
  <c r="F121" i="10"/>
  <c r="F121" i="9"/>
  <c r="F115" i="11"/>
  <c r="F121" i="11"/>
  <c r="F116" i="10"/>
  <c r="F120" i="11"/>
  <c r="F115" i="9"/>
  <c r="F116" i="9"/>
  <c r="F117" i="9"/>
  <c r="F123" i="11"/>
  <c r="F119" i="9"/>
  <c r="F118" i="9"/>
  <c r="F124" i="11"/>
  <c r="F119" i="11"/>
  <c r="F123" i="9"/>
  <c r="F124" i="9"/>
  <c r="F120" i="9"/>
  <c r="F117" i="11"/>
  <c r="F118" i="11"/>
  <c r="F50" i="10"/>
  <c r="F54" i="10"/>
  <c r="F51" i="10"/>
  <c r="F52" i="10"/>
  <c r="F55" i="10"/>
  <c r="F49" i="11"/>
  <c r="F54" i="11"/>
  <c r="F55" i="11"/>
  <c r="F58" i="10"/>
  <c r="F55" i="9"/>
  <c r="F50" i="11"/>
  <c r="F53" i="10"/>
  <c r="F56" i="9"/>
  <c r="F57" i="10"/>
  <c r="F57" i="16" s="1"/>
  <c r="F57" i="12" s="1"/>
  <c r="F56" i="11"/>
  <c r="F49" i="10"/>
  <c r="F56" i="10"/>
  <c r="F50" i="9"/>
  <c r="F52" i="9"/>
  <c r="F58" i="9"/>
  <c r="F57" i="9"/>
  <c r="F58" i="11"/>
  <c r="F53" i="11"/>
  <c r="F57" i="11"/>
  <c r="F53" i="9"/>
  <c r="F49" i="9"/>
  <c r="F51" i="9"/>
  <c r="F54" i="9"/>
  <c r="F51" i="11"/>
  <c r="F52" i="11"/>
  <c r="F169" i="7"/>
  <c r="F6" i="10"/>
  <c r="F13" i="10"/>
  <c r="F7" i="10"/>
  <c r="F12" i="9"/>
  <c r="F10" i="11"/>
  <c r="F11" i="11"/>
  <c r="F6" i="11"/>
  <c r="F5" i="11"/>
  <c r="F10" i="10"/>
  <c r="F11" i="10"/>
  <c r="F8" i="10"/>
  <c r="F14" i="10"/>
  <c r="F11" i="9"/>
  <c r="F12" i="11"/>
  <c r="F5" i="10"/>
  <c r="F12" i="10"/>
  <c r="F9" i="10"/>
  <c r="F13" i="9"/>
  <c r="F9" i="11"/>
  <c r="F13" i="11"/>
  <c r="F7" i="9"/>
  <c r="F10" i="9"/>
  <c r="F9" i="9"/>
  <c r="F8" i="9"/>
  <c r="F14" i="11"/>
  <c r="F14" i="9"/>
  <c r="F6" i="9"/>
  <c r="F5" i="9"/>
  <c r="F7" i="11"/>
  <c r="F8" i="11"/>
  <c r="F142" i="10"/>
  <c r="F145" i="10"/>
  <c r="F145" i="16" s="1"/>
  <c r="F145" i="12" s="1"/>
  <c r="F143" i="11"/>
  <c r="F138" i="10"/>
  <c r="F142" i="11"/>
  <c r="F139" i="10"/>
  <c r="F138" i="11"/>
  <c r="F137" i="10"/>
  <c r="F143" i="9"/>
  <c r="F137" i="11"/>
  <c r="F144" i="11"/>
  <c r="F146" i="10"/>
  <c r="F143" i="10"/>
  <c r="F141" i="10"/>
  <c r="F140" i="10"/>
  <c r="F144" i="10"/>
  <c r="F144" i="9"/>
  <c r="F145" i="11"/>
  <c r="F140" i="9"/>
  <c r="F145" i="9"/>
  <c r="F146" i="9"/>
  <c r="F141" i="11"/>
  <c r="F138" i="9"/>
  <c r="F142" i="9"/>
  <c r="F146" i="11"/>
  <c r="F141" i="9"/>
  <c r="F137" i="9"/>
  <c r="F139" i="9"/>
  <c r="F139" i="11"/>
  <c r="F140" i="11"/>
  <c r="F94" i="10"/>
  <c r="F95" i="10"/>
  <c r="F97" i="10"/>
  <c r="F93" i="11"/>
  <c r="F93" i="10"/>
  <c r="F96" i="10"/>
  <c r="F94" i="11"/>
  <c r="F101" i="10"/>
  <c r="F101" i="16" s="1"/>
  <c r="F101" i="12" s="1"/>
  <c r="F98" i="11"/>
  <c r="F102" i="10"/>
  <c r="F98" i="10"/>
  <c r="F97" i="11"/>
  <c r="F102" i="11"/>
  <c r="F98" i="9"/>
  <c r="F101" i="9"/>
  <c r="F101" i="11"/>
  <c r="F95" i="9"/>
  <c r="F96" i="9"/>
  <c r="F94" i="9"/>
  <c r="F97" i="9"/>
  <c r="F102" i="9"/>
  <c r="F93" i="9"/>
  <c r="F95" i="11"/>
  <c r="F96" i="11"/>
  <c r="F68" i="10"/>
  <c r="F68" i="16" s="1"/>
  <c r="F68" i="12" s="1"/>
  <c r="F61" i="10"/>
  <c r="F60" i="10"/>
  <c r="F67" i="9"/>
  <c r="F67" i="11"/>
  <c r="F66" i="11"/>
  <c r="F62" i="10"/>
  <c r="F66" i="10"/>
  <c r="F65" i="11"/>
  <c r="F64" i="10"/>
  <c r="F65" i="10"/>
  <c r="F61" i="11"/>
  <c r="F63" i="10"/>
  <c r="F69" i="10"/>
  <c r="F67" i="10"/>
  <c r="F66" i="9"/>
  <c r="F60" i="11"/>
  <c r="F64" i="9"/>
  <c r="F61" i="9"/>
  <c r="F69" i="11"/>
  <c r="F68" i="9"/>
  <c r="F69" i="9"/>
  <c r="F60" i="9"/>
  <c r="F62" i="9"/>
  <c r="F64" i="11"/>
  <c r="F68" i="11"/>
  <c r="F63" i="9"/>
  <c r="F65" i="9"/>
  <c r="F62" i="11"/>
  <c r="F63" i="11"/>
  <c r="F30" i="10"/>
  <c r="F34" i="9"/>
  <c r="F28" i="11"/>
  <c r="F34" i="11"/>
  <c r="F33" i="11"/>
  <c r="F29" i="10"/>
  <c r="F35" i="10"/>
  <c r="F35" i="16" s="1"/>
  <c r="F35" i="12" s="1"/>
  <c r="F28" i="10"/>
  <c r="F34" i="10"/>
  <c r="F31" i="10"/>
  <c r="F33" i="9"/>
  <c r="F27" i="11"/>
  <c r="F33" i="10"/>
  <c r="F32" i="10"/>
  <c r="F27" i="10"/>
  <c r="F36" i="10"/>
  <c r="F32" i="11"/>
  <c r="F29" i="9"/>
  <c r="F36" i="9"/>
  <c r="F36" i="11"/>
  <c r="F31" i="9"/>
  <c r="F27" i="9"/>
  <c r="F35" i="9"/>
  <c r="F30" i="9"/>
  <c r="F31" i="11"/>
  <c r="F35" i="11"/>
  <c r="F28" i="9"/>
  <c r="F32" i="9"/>
  <c r="F29" i="11"/>
  <c r="F30" i="11"/>
  <c r="F109" i="10"/>
  <c r="F108" i="10"/>
  <c r="F111" i="10"/>
  <c r="F104" i="11"/>
  <c r="F106" i="10"/>
  <c r="F107" i="10"/>
  <c r="F113" i="10"/>
  <c r="F110" i="10"/>
  <c r="F111" i="9"/>
  <c r="F109" i="11"/>
  <c r="F112" i="10"/>
  <c r="F112" i="16" s="1"/>
  <c r="F112" i="12" s="1"/>
  <c r="F110" i="11"/>
  <c r="F111" i="11"/>
  <c r="F105" i="10"/>
  <c r="F104" i="10"/>
  <c r="F105" i="11"/>
  <c r="F110" i="9"/>
  <c r="F108" i="9"/>
  <c r="F106" i="9"/>
  <c r="F112" i="11"/>
  <c r="F104" i="9"/>
  <c r="F112" i="9"/>
  <c r="F109" i="9"/>
  <c r="F108" i="11"/>
  <c r="F113" i="11"/>
  <c r="F113" i="9"/>
  <c r="F107" i="9"/>
  <c r="F105" i="9"/>
  <c r="F106" i="11"/>
  <c r="F107" i="11"/>
  <c r="F85" i="10"/>
  <c r="F87" i="10"/>
  <c r="F91" i="10"/>
  <c r="F88" i="9"/>
  <c r="F87" i="11"/>
  <c r="F83" i="10"/>
  <c r="F83" i="11"/>
  <c r="F82" i="11"/>
  <c r="F90" i="10"/>
  <c r="F90" i="16" s="1"/>
  <c r="F90" i="12" s="1"/>
  <c r="F88" i="11"/>
  <c r="F89" i="11"/>
  <c r="F82" i="10"/>
  <c r="F89" i="10"/>
  <c r="F88" i="10"/>
  <c r="F89" i="9"/>
  <c r="F84" i="10"/>
  <c r="F86" i="10"/>
  <c r="F86" i="11"/>
  <c r="F90" i="11"/>
  <c r="F82" i="9"/>
  <c r="F90" i="9"/>
  <c r="F85" i="9"/>
  <c r="F87" i="9"/>
  <c r="F83" i="9"/>
  <c r="F84" i="9"/>
  <c r="F91" i="11"/>
  <c r="F91" i="9"/>
  <c r="F86" i="9"/>
  <c r="F84" i="11"/>
  <c r="F85" i="11"/>
  <c r="F20" i="10"/>
  <c r="F18" i="10"/>
  <c r="F17" i="11"/>
  <c r="F24" i="10"/>
  <c r="F21" i="10"/>
  <c r="F17" i="10"/>
  <c r="F16" i="10"/>
  <c r="F21" i="11"/>
  <c r="F25" i="10"/>
  <c r="F19" i="10"/>
  <c r="F16" i="11"/>
  <c r="F25" i="11"/>
  <c r="F18" i="9"/>
  <c r="F20" i="11"/>
  <c r="F16" i="9"/>
  <c r="F24" i="11"/>
  <c r="F17" i="9"/>
  <c r="F19" i="9"/>
  <c r="F25" i="9"/>
  <c r="F18" i="11"/>
  <c r="F20" i="9"/>
  <c r="F24" i="9"/>
  <c r="F21" i="9"/>
  <c r="F19" i="11"/>
  <c r="F156" i="10"/>
  <c r="F156" i="16" s="1"/>
  <c r="F156" i="12" s="1"/>
  <c r="F155" i="11"/>
  <c r="F150" i="10"/>
  <c r="F148" i="10"/>
  <c r="F149" i="10"/>
  <c r="F154" i="9"/>
  <c r="F149" i="11"/>
  <c r="F154" i="10"/>
  <c r="F152" i="10"/>
  <c r="F155" i="9"/>
  <c r="F153" i="11"/>
  <c r="F154" i="11"/>
  <c r="F153" i="10"/>
  <c r="F157" i="10"/>
  <c r="F151" i="10"/>
  <c r="F155" i="10"/>
  <c r="F148" i="11"/>
  <c r="F152" i="11"/>
  <c r="F156" i="11"/>
  <c r="F153" i="9"/>
  <c r="F149" i="9"/>
  <c r="F157" i="11"/>
  <c r="F157" i="9"/>
  <c r="F156" i="9"/>
  <c r="F152" i="9"/>
  <c r="F150" i="9"/>
  <c r="F148" i="9"/>
  <c r="F151" i="9"/>
  <c r="F150" i="11"/>
  <c r="F151" i="11"/>
  <c r="F126" i="10"/>
  <c r="F129" i="10"/>
  <c r="F127" i="11"/>
  <c r="F128" i="10"/>
  <c r="F130" i="10"/>
  <c r="F126" i="11"/>
  <c r="F131" i="11"/>
  <c r="F134" i="10"/>
  <c r="F134" i="16" s="1"/>
  <c r="F134" i="12" s="1"/>
  <c r="F127" i="10"/>
  <c r="F131" i="10"/>
  <c r="F135" i="10"/>
  <c r="F135" i="11"/>
  <c r="F130" i="9"/>
  <c r="F131" i="9"/>
  <c r="F135" i="9"/>
  <c r="F134" i="9"/>
  <c r="F126" i="9"/>
  <c r="F130" i="11"/>
  <c r="F129" i="9"/>
  <c r="F134" i="11"/>
  <c r="F127" i="9"/>
  <c r="F128" i="9"/>
  <c r="F128" i="11"/>
  <c r="F129" i="11"/>
  <c r="F77" i="10"/>
  <c r="F71" i="10"/>
  <c r="F71" i="11"/>
  <c r="F78" i="11"/>
  <c r="F75" i="10"/>
  <c r="F78" i="9"/>
  <c r="F77" i="9"/>
  <c r="F79" i="10"/>
  <c r="F79" i="16" s="1"/>
  <c r="F79" i="12" s="1"/>
  <c r="F77" i="11"/>
  <c r="F76" i="10"/>
  <c r="F80" i="10"/>
  <c r="F78" i="10"/>
  <c r="F74" i="10"/>
  <c r="F76" i="11"/>
  <c r="F73" i="10"/>
  <c r="F72" i="10"/>
  <c r="F72" i="11"/>
  <c r="F80" i="11"/>
  <c r="F75" i="9"/>
  <c r="F75" i="11"/>
  <c r="F72" i="9"/>
  <c r="F71" i="9"/>
  <c r="F80" i="9"/>
  <c r="F79" i="11"/>
  <c r="F74" i="9"/>
  <c r="F73" i="9"/>
  <c r="F79" i="9"/>
  <c r="F76" i="9"/>
  <c r="F73" i="11"/>
  <c r="F74" i="11"/>
  <c r="F45" i="11"/>
  <c r="F46" i="10"/>
  <c r="F46" i="16" s="1"/>
  <c r="F46" i="12" s="1"/>
  <c r="F43" i="10"/>
  <c r="F47" i="10"/>
  <c r="F45" i="9"/>
  <c r="F44" i="10"/>
  <c r="F38" i="11"/>
  <c r="F44" i="11"/>
  <c r="F42" i="10"/>
  <c r="F45" i="10"/>
  <c r="F38" i="10"/>
  <c r="F44" i="9"/>
  <c r="F39" i="11"/>
  <c r="F43" i="11"/>
  <c r="F40" i="10"/>
  <c r="F41" i="10"/>
  <c r="F39" i="10"/>
  <c r="F42" i="11"/>
  <c r="F47" i="11"/>
  <c r="F42" i="9"/>
  <c r="F43" i="9"/>
  <c r="F47" i="9"/>
  <c r="F46" i="11"/>
  <c r="F40" i="9"/>
  <c r="F41" i="9"/>
  <c r="F38" i="9"/>
  <c r="F39" i="9"/>
  <c r="F46" i="9"/>
  <c r="F40" i="11"/>
  <c r="F41" i="11"/>
  <c r="E144" i="9"/>
  <c r="E137" i="11"/>
  <c r="E142" i="11"/>
  <c r="E143" i="10"/>
  <c r="E142" i="10"/>
  <c r="E140" i="10"/>
  <c r="E144" i="10"/>
  <c r="E141" i="10"/>
  <c r="E145" i="10"/>
  <c r="E145" i="16" s="1"/>
  <c r="E145" i="12" s="1"/>
  <c r="E144" i="11"/>
  <c r="E139" i="10"/>
  <c r="E146" i="10"/>
  <c r="E143" i="9"/>
  <c r="E138" i="11"/>
  <c r="E143" i="11"/>
  <c r="E137" i="10"/>
  <c r="E138" i="10"/>
  <c r="E141" i="9"/>
  <c r="E142" i="9"/>
  <c r="E141" i="11"/>
  <c r="E145" i="11"/>
  <c r="E145" i="9"/>
  <c r="E138" i="9"/>
  <c r="E140" i="9"/>
  <c r="E146" i="9"/>
  <c r="E139" i="9"/>
  <c r="E146" i="11"/>
  <c r="E137" i="9"/>
  <c r="E139" i="11"/>
  <c r="E140" i="11"/>
  <c r="E111" i="11"/>
  <c r="E104" i="10"/>
  <c r="E108" i="10"/>
  <c r="E112" i="10"/>
  <c r="E112" i="16" s="1"/>
  <c r="E112" i="12" s="1"/>
  <c r="E106" i="10"/>
  <c r="E105" i="10"/>
  <c r="E110" i="9"/>
  <c r="E109" i="11"/>
  <c r="E110" i="11"/>
  <c r="E111" i="10"/>
  <c r="E113" i="10"/>
  <c r="E110" i="10"/>
  <c r="E111" i="9"/>
  <c r="E109" i="10"/>
  <c r="E107" i="10"/>
  <c r="E105" i="11"/>
  <c r="E104" i="11"/>
  <c r="E108" i="11"/>
  <c r="E105" i="9"/>
  <c r="E112" i="9"/>
  <c r="E106" i="9"/>
  <c r="E113" i="9"/>
  <c r="E107" i="9"/>
  <c r="E104" i="9"/>
  <c r="E113" i="11"/>
  <c r="E112" i="11"/>
  <c r="E108" i="9"/>
  <c r="E109" i="9"/>
  <c r="E106" i="11"/>
  <c r="E107" i="11"/>
  <c r="E156" i="10"/>
  <c r="E156" i="16" s="1"/>
  <c r="E156" i="12" s="1"/>
  <c r="E153" i="10"/>
  <c r="E155" i="9"/>
  <c r="E154" i="9"/>
  <c r="E149" i="11"/>
  <c r="E148" i="11"/>
  <c r="E150" i="10"/>
  <c r="E154" i="10"/>
  <c r="E152" i="10"/>
  <c r="E148" i="10"/>
  <c r="E155" i="11"/>
  <c r="E154" i="11"/>
  <c r="E157" i="10"/>
  <c r="E155" i="10"/>
  <c r="E153" i="11"/>
  <c r="E149" i="10"/>
  <c r="E151" i="10"/>
  <c r="E150" i="9"/>
  <c r="E156" i="9"/>
  <c r="E153" i="9"/>
  <c r="E157" i="11"/>
  <c r="E156" i="11"/>
  <c r="E152" i="9"/>
  <c r="E152" i="11"/>
  <c r="E151" i="9"/>
  <c r="E149" i="9"/>
  <c r="E157" i="9"/>
  <c r="E148" i="9"/>
  <c r="E150" i="11"/>
  <c r="E151" i="11"/>
  <c r="E90" i="10"/>
  <c r="E90" i="16" s="1"/>
  <c r="E90" i="12" s="1"/>
  <c r="E88" i="11"/>
  <c r="E88" i="10"/>
  <c r="E87" i="10"/>
  <c r="E86" i="10"/>
  <c r="E82" i="11"/>
  <c r="E85" i="10"/>
  <c r="E91" i="10"/>
  <c r="E89" i="10"/>
  <c r="E84" i="10"/>
  <c r="E89" i="9"/>
  <c r="E88" i="9"/>
  <c r="E83" i="11"/>
  <c r="E89" i="11"/>
  <c r="E82" i="10"/>
  <c r="E83" i="10"/>
  <c r="E87" i="11"/>
  <c r="E86" i="11"/>
  <c r="E84" i="9"/>
  <c r="E83" i="9"/>
  <c r="E85" i="9"/>
  <c r="E82" i="9"/>
  <c r="E91" i="11"/>
  <c r="E90" i="11"/>
  <c r="E91" i="9"/>
  <c r="E87" i="9"/>
  <c r="E86" i="9"/>
  <c r="E90" i="9"/>
  <c r="E84" i="11"/>
  <c r="E85" i="11"/>
  <c r="E123" i="10"/>
  <c r="E123" i="16" s="1"/>
  <c r="E123" i="12" s="1"/>
  <c r="E121" i="11"/>
  <c r="E117" i="10"/>
  <c r="E122" i="10"/>
  <c r="E122" i="9"/>
  <c r="E115" i="11"/>
  <c r="E116" i="10"/>
  <c r="E118" i="10"/>
  <c r="E121" i="9"/>
  <c r="E116" i="11"/>
  <c r="E120" i="11"/>
  <c r="E122" i="11"/>
  <c r="E121" i="10"/>
  <c r="E124" i="10"/>
  <c r="E115" i="10"/>
  <c r="E120" i="10"/>
  <c r="E119" i="10"/>
  <c r="E124" i="9"/>
  <c r="E117" i="9"/>
  <c r="E123" i="11"/>
  <c r="E119" i="9"/>
  <c r="E116" i="9"/>
  <c r="E118" i="9"/>
  <c r="E124" i="11"/>
  <c r="E119" i="11"/>
  <c r="E115" i="9"/>
  <c r="E123" i="9"/>
  <c r="E120" i="9"/>
  <c r="E117" i="11"/>
  <c r="E118" i="11"/>
  <c r="E75" i="10"/>
  <c r="E71" i="10"/>
  <c r="E78" i="11"/>
  <c r="E77" i="10"/>
  <c r="E74" i="10"/>
  <c r="E78" i="9"/>
  <c r="E72" i="11"/>
  <c r="E71" i="11"/>
  <c r="E79" i="10"/>
  <c r="E79" i="16" s="1"/>
  <c r="E79" i="12" s="1"/>
  <c r="E76" i="10"/>
  <c r="E73" i="10"/>
  <c r="E72" i="10"/>
  <c r="E78" i="10"/>
  <c r="E80" i="10"/>
  <c r="E77" i="9"/>
  <c r="E77" i="11"/>
  <c r="E76" i="11"/>
  <c r="E79" i="11"/>
  <c r="E71" i="9"/>
  <c r="E74" i="9"/>
  <c r="E80" i="11"/>
  <c r="E75" i="9"/>
  <c r="E80" i="9"/>
  <c r="E76" i="9"/>
  <c r="E75" i="11"/>
  <c r="E79" i="9"/>
  <c r="E73" i="9"/>
  <c r="E72" i="9"/>
  <c r="E73" i="11"/>
  <c r="E74" i="11"/>
  <c r="E134" i="10"/>
  <c r="E134" i="16" s="1"/>
  <c r="E134" i="12" s="1"/>
  <c r="E127" i="10"/>
  <c r="E130" i="10"/>
  <c r="E135" i="10"/>
  <c r="E126" i="11"/>
  <c r="E131" i="10"/>
  <c r="E129" i="10"/>
  <c r="E126" i="10"/>
  <c r="E128" i="10"/>
  <c r="E127" i="11"/>
  <c r="E131" i="11"/>
  <c r="E135" i="11"/>
  <c r="E129" i="9"/>
  <c r="E130" i="11"/>
  <c r="E135" i="9"/>
  <c r="E130" i="9"/>
  <c r="E134" i="9"/>
  <c r="E127" i="9"/>
  <c r="E131" i="9"/>
  <c r="E134" i="11"/>
  <c r="E128" i="9"/>
  <c r="E126" i="9"/>
  <c r="E128" i="11"/>
  <c r="E129" i="11"/>
  <c r="E102" i="10"/>
  <c r="E98" i="10"/>
  <c r="E96" i="10"/>
  <c r="E98" i="11"/>
  <c r="E101" i="10"/>
  <c r="E101" i="16" s="1"/>
  <c r="E101" i="12" s="1"/>
  <c r="E93" i="10"/>
  <c r="E97" i="10"/>
  <c r="E95" i="10"/>
  <c r="E94" i="10"/>
  <c r="E94" i="11"/>
  <c r="E93" i="11"/>
  <c r="E101" i="11"/>
  <c r="E101" i="9"/>
  <c r="E98" i="9"/>
  <c r="E102" i="11"/>
  <c r="E95" i="9"/>
  <c r="E93" i="9"/>
  <c r="E97" i="11"/>
  <c r="E97" i="9"/>
  <c r="E94" i="9"/>
  <c r="E102" i="9"/>
  <c r="E96" i="9"/>
  <c r="E95" i="11"/>
  <c r="E96" i="11"/>
  <c r="E67" i="11"/>
  <c r="E64" i="10"/>
  <c r="E66" i="10"/>
  <c r="E62" i="10"/>
  <c r="E67" i="10"/>
  <c r="E69" i="10"/>
  <c r="E67" i="9"/>
  <c r="E63" i="10"/>
  <c r="E61" i="10"/>
  <c r="E61" i="11"/>
  <c r="E68" i="10"/>
  <c r="E68" i="16" s="1"/>
  <c r="E68" i="12" s="1"/>
  <c r="E66" i="11"/>
  <c r="E65" i="10"/>
  <c r="E60" i="10"/>
  <c r="E66" i="9"/>
  <c r="E60" i="11"/>
  <c r="E65" i="11"/>
  <c r="E68" i="11"/>
  <c r="E64" i="9"/>
  <c r="E61" i="9"/>
  <c r="E62" i="9"/>
  <c r="E60" i="9"/>
  <c r="E65" i="9"/>
  <c r="E69" i="11"/>
  <c r="E64" i="11"/>
  <c r="E69" i="9"/>
  <c r="E68" i="9"/>
  <c r="E63" i="9"/>
  <c r="E62" i="11"/>
  <c r="E63" i="11"/>
  <c r="E55" i="11"/>
  <c r="E56" i="11"/>
  <c r="E49" i="10"/>
  <c r="E52" i="10"/>
  <c r="E54" i="10"/>
  <c r="E56" i="9"/>
  <c r="E56" i="10"/>
  <c r="E50" i="10"/>
  <c r="E55" i="10"/>
  <c r="E53" i="10"/>
  <c r="E55" i="9"/>
  <c r="E49" i="11"/>
  <c r="E51" i="10"/>
  <c r="E54" i="11"/>
  <c r="E57" i="11"/>
  <c r="E57" i="10"/>
  <c r="E57" i="16" s="1"/>
  <c r="E57" i="12" s="1"/>
  <c r="E58" i="10"/>
  <c r="E50" i="11"/>
  <c r="E53" i="11"/>
  <c r="E58" i="9"/>
  <c r="E54" i="9"/>
  <c r="E49" i="9"/>
  <c r="E50" i="9"/>
  <c r="E58" i="11"/>
  <c r="E53" i="9"/>
  <c r="E57" i="9"/>
  <c r="E52" i="9"/>
  <c r="E51" i="9"/>
  <c r="E51" i="11"/>
  <c r="E52" i="11"/>
  <c r="E40" i="10"/>
  <c r="E39" i="10"/>
  <c r="E45" i="9"/>
  <c r="E47" i="10"/>
  <c r="E39" i="11"/>
  <c r="E38" i="11"/>
  <c r="E46" i="10"/>
  <c r="E46" i="16" s="1"/>
  <c r="E46" i="12" s="1"/>
  <c r="E44" i="11"/>
  <c r="E45" i="11"/>
  <c r="E43" i="10"/>
  <c r="E41" i="10"/>
  <c r="E42" i="10"/>
  <c r="E43" i="11"/>
  <c r="E44" i="10"/>
  <c r="E38" i="10"/>
  <c r="E45" i="10"/>
  <c r="E44" i="9"/>
  <c r="E47" i="9"/>
  <c r="E41" i="9"/>
  <c r="E46" i="11"/>
  <c r="E42" i="9"/>
  <c r="E43" i="9"/>
  <c r="E38" i="9"/>
  <c r="E39" i="9"/>
  <c r="E46" i="9"/>
  <c r="E47" i="11"/>
  <c r="E42" i="11"/>
  <c r="E40" i="9"/>
  <c r="E40" i="11"/>
  <c r="E41" i="11"/>
  <c r="E35" i="10"/>
  <c r="E35" i="16" s="1"/>
  <c r="E35" i="12" s="1"/>
  <c r="E34" i="11"/>
  <c r="E34" i="10"/>
  <c r="E32" i="10"/>
  <c r="E30" i="10"/>
  <c r="E36" i="10"/>
  <c r="E28" i="10"/>
  <c r="E33" i="9"/>
  <c r="E28" i="11"/>
  <c r="E32" i="11"/>
  <c r="E33" i="11"/>
  <c r="E33" i="10"/>
  <c r="E31" i="10"/>
  <c r="E27" i="10"/>
  <c r="E29" i="10"/>
  <c r="E34" i="9"/>
  <c r="E27" i="11"/>
  <c r="E31" i="9"/>
  <c r="E35" i="9"/>
  <c r="E32" i="9"/>
  <c r="E30" i="9"/>
  <c r="E27" i="9"/>
  <c r="E28" i="9"/>
  <c r="E29" i="9"/>
  <c r="E31" i="11"/>
  <c r="E35" i="11"/>
  <c r="E36" i="9"/>
  <c r="E36" i="11"/>
  <c r="E29" i="11"/>
  <c r="E30" i="11"/>
  <c r="E16" i="10"/>
  <c r="E18" i="10"/>
  <c r="E17" i="11"/>
  <c r="E21" i="10"/>
  <c r="E25" i="10"/>
  <c r="E16" i="11"/>
  <c r="E24" i="10"/>
  <c r="E19" i="10"/>
  <c r="E20" i="10"/>
  <c r="E21" i="11"/>
  <c r="E17" i="10"/>
  <c r="E18" i="11"/>
  <c r="E20" i="11"/>
  <c r="E25" i="11"/>
  <c r="E19" i="9"/>
  <c r="E24" i="11"/>
  <c r="E20" i="9"/>
  <c r="E17" i="9"/>
  <c r="E16" i="9"/>
  <c r="E18" i="9"/>
  <c r="E25" i="9"/>
  <c r="E21" i="9"/>
  <c r="E24" i="9"/>
  <c r="E19" i="11"/>
  <c r="E169" i="7"/>
  <c r="E13" i="10"/>
  <c r="E11" i="11"/>
  <c r="E12" i="11"/>
  <c r="E6" i="10"/>
  <c r="E11" i="10"/>
  <c r="E12" i="10"/>
  <c r="E11" i="9"/>
  <c r="E12" i="9"/>
  <c r="E6" i="11"/>
  <c r="E10" i="11"/>
  <c r="E14" i="10"/>
  <c r="E7" i="10"/>
  <c r="E9" i="10"/>
  <c r="E5" i="11"/>
  <c r="E10" i="10"/>
  <c r="E5" i="10"/>
  <c r="E8" i="10"/>
  <c r="E8" i="9"/>
  <c r="E10" i="9"/>
  <c r="E13" i="11"/>
  <c r="E7" i="9"/>
  <c r="E6" i="9"/>
  <c r="E14" i="9"/>
  <c r="E5" i="9"/>
  <c r="E9" i="11"/>
  <c r="E14" i="11"/>
  <c r="E9" i="9"/>
  <c r="E13" i="9"/>
  <c r="E7" i="11"/>
  <c r="E8" i="11"/>
  <c r="D154" i="11"/>
  <c r="D148" i="10"/>
  <c r="D149" i="10"/>
  <c r="D152" i="10"/>
  <c r="D155" i="9"/>
  <c r="D155" i="10"/>
  <c r="D154" i="10"/>
  <c r="D148" i="11"/>
  <c r="D153" i="10"/>
  <c r="D157" i="10"/>
  <c r="D151" i="10"/>
  <c r="D154" i="9"/>
  <c r="D149" i="11"/>
  <c r="D153" i="11"/>
  <c r="D156" i="10"/>
  <c r="D156" i="16" s="1"/>
  <c r="D156" i="12" s="1"/>
  <c r="D155" i="11"/>
  <c r="D150" i="10"/>
  <c r="D150" i="11"/>
  <c r="D157" i="11"/>
  <c r="D151" i="9"/>
  <c r="D148" i="9"/>
  <c r="D150" i="9"/>
  <c r="D152" i="11"/>
  <c r="D152" i="9"/>
  <c r="D149" i="9"/>
  <c r="D153" i="9"/>
  <c r="D156" i="9"/>
  <c r="D157" i="9"/>
  <c r="D156" i="11"/>
  <c r="D151" i="11"/>
  <c r="D145" i="10"/>
  <c r="D145" i="16" s="1"/>
  <c r="D145" i="12" s="1"/>
  <c r="D140" i="10"/>
  <c r="D139" i="10"/>
  <c r="D144" i="10"/>
  <c r="D143" i="11"/>
  <c r="D143" i="10"/>
  <c r="D138" i="10"/>
  <c r="D141" i="10"/>
  <c r="D137" i="11"/>
  <c r="D142" i="11"/>
  <c r="D137" i="10"/>
  <c r="D146" i="10"/>
  <c r="D144" i="11"/>
  <c r="D142" i="10"/>
  <c r="D144" i="9"/>
  <c r="D143" i="9"/>
  <c r="D138" i="11"/>
  <c r="D139" i="11"/>
  <c r="D141" i="11"/>
  <c r="D145" i="9"/>
  <c r="D146" i="11"/>
  <c r="D146" i="9"/>
  <c r="D145" i="11"/>
  <c r="D141" i="9"/>
  <c r="D138" i="9"/>
  <c r="D139" i="9"/>
  <c r="D142" i="9"/>
  <c r="D140" i="9"/>
  <c r="D137" i="9"/>
  <c r="D140" i="11"/>
  <c r="D134" i="10"/>
  <c r="D134" i="16" s="1"/>
  <c r="D134" i="12" s="1"/>
  <c r="D130" i="10"/>
  <c r="D135" i="10"/>
  <c r="D127" i="11"/>
  <c r="D126" i="11"/>
  <c r="D131" i="10"/>
  <c r="D127" i="10"/>
  <c r="D131" i="11"/>
  <c r="D129" i="10"/>
  <c r="D128" i="10"/>
  <c r="D126" i="10"/>
  <c r="D134" i="11"/>
  <c r="D127" i="9"/>
  <c r="D131" i="9"/>
  <c r="D135" i="9"/>
  <c r="D130" i="9"/>
  <c r="D126" i="9"/>
  <c r="D128" i="9"/>
  <c r="D135" i="11"/>
  <c r="D128" i="11"/>
  <c r="D130" i="11"/>
  <c r="D134" i="9"/>
  <c r="D129" i="9"/>
  <c r="D129" i="11"/>
  <c r="D116" i="10"/>
  <c r="D121" i="10"/>
  <c r="D124" i="10"/>
  <c r="D122" i="9"/>
  <c r="D123" i="10"/>
  <c r="D123" i="16" s="1"/>
  <c r="D123" i="12" s="1"/>
  <c r="D120" i="10"/>
  <c r="D115" i="10"/>
  <c r="D118" i="10"/>
  <c r="D122" i="11"/>
  <c r="D119" i="10"/>
  <c r="D117" i="10"/>
  <c r="D122" i="10"/>
  <c r="D121" i="11"/>
  <c r="D121" i="9"/>
  <c r="D116" i="11"/>
  <c r="D115" i="11"/>
  <c r="D120" i="11"/>
  <c r="D123" i="11"/>
  <c r="D119" i="9"/>
  <c r="D123" i="9"/>
  <c r="D115" i="9"/>
  <c r="D117" i="9"/>
  <c r="D120" i="9"/>
  <c r="D124" i="9"/>
  <c r="D119" i="11"/>
  <c r="D124" i="11"/>
  <c r="D116" i="9"/>
  <c r="D118" i="9"/>
  <c r="D117" i="11"/>
  <c r="D118" i="11"/>
  <c r="D106" i="10"/>
  <c r="D108" i="10"/>
  <c r="D109" i="10"/>
  <c r="D104" i="10"/>
  <c r="D104" i="11"/>
  <c r="D110" i="11"/>
  <c r="D111" i="11"/>
  <c r="D110" i="10"/>
  <c r="D105" i="10"/>
  <c r="D113" i="10"/>
  <c r="D111" i="10"/>
  <c r="D111" i="9"/>
  <c r="D109" i="11"/>
  <c r="D112" i="10"/>
  <c r="D112" i="16" s="1"/>
  <c r="D112" i="12" s="1"/>
  <c r="D107" i="10"/>
  <c r="D110" i="9"/>
  <c r="D105" i="11"/>
  <c r="D105" i="9"/>
  <c r="D106" i="9"/>
  <c r="D107" i="9"/>
  <c r="D112" i="11"/>
  <c r="D108" i="9"/>
  <c r="D109" i="9"/>
  <c r="D106" i="11"/>
  <c r="D113" i="11"/>
  <c r="D112" i="9"/>
  <c r="D104" i="9"/>
  <c r="D108" i="11"/>
  <c r="D113" i="9"/>
  <c r="D107" i="11"/>
  <c r="D101" i="10"/>
  <c r="D101" i="16" s="1"/>
  <c r="D101" i="12" s="1"/>
  <c r="D95" i="10"/>
  <c r="D98" i="10"/>
  <c r="D94" i="10"/>
  <c r="D98" i="11"/>
  <c r="D96" i="10"/>
  <c r="D93" i="10"/>
  <c r="D93" i="11"/>
  <c r="D97" i="10"/>
  <c r="D94" i="11"/>
  <c r="D102" i="10"/>
  <c r="D102" i="9"/>
  <c r="D97" i="9"/>
  <c r="D94" i="9"/>
  <c r="D96" i="9"/>
  <c r="D101" i="9"/>
  <c r="D98" i="9"/>
  <c r="D93" i="9"/>
  <c r="D95" i="11"/>
  <c r="D102" i="11"/>
  <c r="D97" i="11"/>
  <c r="D101" i="11"/>
  <c r="D95" i="9"/>
  <c r="D96" i="11"/>
  <c r="D90" i="10"/>
  <c r="D90" i="16" s="1"/>
  <c r="D90" i="12" s="1"/>
  <c r="D89" i="10"/>
  <c r="D91" i="10"/>
  <c r="D89" i="9"/>
  <c r="D88" i="9"/>
  <c r="D83" i="11"/>
  <c r="D88" i="10"/>
  <c r="D86" i="10"/>
  <c r="D86" i="11"/>
  <c r="D89" i="11"/>
  <c r="D82" i="10"/>
  <c r="D87" i="10"/>
  <c r="D85" i="10"/>
  <c r="D83" i="10"/>
  <c r="D82" i="11"/>
  <c r="D88" i="11"/>
  <c r="D84" i="10"/>
  <c r="D87" i="11"/>
  <c r="D90" i="11"/>
  <c r="D91" i="9"/>
  <c r="D83" i="9"/>
  <c r="D87" i="9"/>
  <c r="D84" i="11"/>
  <c r="D91" i="11"/>
  <c r="D84" i="9"/>
  <c r="D86" i="9"/>
  <c r="D82" i="9"/>
  <c r="D90" i="9"/>
  <c r="D85" i="9"/>
  <c r="D85" i="11"/>
  <c r="D78" i="10"/>
  <c r="D76" i="11"/>
  <c r="D77" i="11"/>
  <c r="D78" i="11"/>
  <c r="D71" i="10"/>
  <c r="D72" i="10"/>
  <c r="D80" i="10"/>
  <c r="D72" i="11"/>
  <c r="D79" i="10"/>
  <c r="D79" i="16" s="1"/>
  <c r="D79" i="12" s="1"/>
  <c r="D75" i="10"/>
  <c r="D76" i="10"/>
  <c r="D78" i="9"/>
  <c r="D74" i="10"/>
  <c r="D73" i="10"/>
  <c r="D77" i="10"/>
  <c r="D77" i="9"/>
  <c r="D71" i="11"/>
  <c r="D75" i="11"/>
  <c r="D72" i="9"/>
  <c r="D74" i="9"/>
  <c r="D75" i="9"/>
  <c r="D73" i="11"/>
  <c r="D71" i="9"/>
  <c r="D73" i="9"/>
  <c r="D79" i="9"/>
  <c r="D80" i="11"/>
  <c r="D79" i="11"/>
  <c r="D80" i="9"/>
  <c r="D76" i="9"/>
  <c r="D74" i="11"/>
  <c r="D68" i="10"/>
  <c r="D68" i="16" s="1"/>
  <c r="D68" i="12" s="1"/>
  <c r="D66" i="11"/>
  <c r="D60" i="10"/>
  <c r="D61" i="10"/>
  <c r="D66" i="9"/>
  <c r="D61" i="11"/>
  <c r="D65" i="11"/>
  <c r="D69" i="10"/>
  <c r="D67" i="9"/>
  <c r="D63" i="10"/>
  <c r="D62" i="10"/>
  <c r="D65" i="10"/>
  <c r="D64" i="10"/>
  <c r="D67" i="11"/>
  <c r="D66" i="10"/>
  <c r="D67" i="10"/>
  <c r="D60" i="11"/>
  <c r="D68" i="11"/>
  <c r="D69" i="9"/>
  <c r="D68" i="9"/>
  <c r="D65" i="9"/>
  <c r="D64" i="9"/>
  <c r="D62" i="11"/>
  <c r="D61" i="9"/>
  <c r="D62" i="9"/>
  <c r="D69" i="11"/>
  <c r="D64" i="11"/>
  <c r="D63" i="9"/>
  <c r="D60" i="9"/>
  <c r="D63" i="11"/>
  <c r="D56" i="11"/>
  <c r="D49" i="11"/>
  <c r="D54" i="11"/>
  <c r="D55" i="11"/>
  <c r="D51" i="10"/>
  <c r="D52" i="10"/>
  <c r="D56" i="10"/>
  <c r="D53" i="10"/>
  <c r="D50" i="10"/>
  <c r="D55" i="9"/>
  <c r="D57" i="10"/>
  <c r="D57" i="16" s="1"/>
  <c r="D57" i="12" s="1"/>
  <c r="D58" i="10"/>
  <c r="D54" i="10"/>
  <c r="D55" i="10"/>
  <c r="D49" i="10"/>
  <c r="D56" i="9"/>
  <c r="D50" i="11"/>
  <c r="D58" i="11"/>
  <c r="D50" i="9"/>
  <c r="D49" i="9"/>
  <c r="D54" i="9"/>
  <c r="D51" i="11"/>
  <c r="D58" i="9"/>
  <c r="D52" i="9"/>
  <c r="D53" i="9"/>
  <c r="D51" i="9"/>
  <c r="D57" i="9"/>
  <c r="D53" i="11"/>
  <c r="D57" i="11"/>
  <c r="D52" i="11"/>
  <c r="D45" i="11"/>
  <c r="D44" i="10"/>
  <c r="D40" i="10"/>
  <c r="D41" i="10"/>
  <c r="D42" i="10"/>
  <c r="D38" i="10"/>
  <c r="D38" i="11"/>
  <c r="D46" i="10"/>
  <c r="D46" i="16" s="1"/>
  <c r="D46" i="12" s="1"/>
  <c r="D43" i="10"/>
  <c r="D44" i="9"/>
  <c r="D39" i="11"/>
  <c r="D43" i="11"/>
  <c r="D44" i="11"/>
  <c r="D39" i="10"/>
  <c r="D45" i="9"/>
  <c r="D47" i="10"/>
  <c r="D45" i="10"/>
  <c r="D38" i="9"/>
  <c r="D47" i="11"/>
  <c r="D40" i="9"/>
  <c r="D42" i="11"/>
  <c r="D39" i="9"/>
  <c r="D46" i="9"/>
  <c r="D47" i="9"/>
  <c r="D40" i="11"/>
  <c r="D46" i="11"/>
  <c r="D42" i="9"/>
  <c r="D41" i="9"/>
  <c r="D43" i="9"/>
  <c r="D41" i="11"/>
  <c r="D35" i="10"/>
  <c r="D35" i="16" s="1"/>
  <c r="D35" i="12" s="1"/>
  <c r="D33" i="11"/>
  <c r="D29" i="10"/>
  <c r="D34" i="10"/>
  <c r="D32" i="10"/>
  <c r="D33" i="9"/>
  <c r="D27" i="11"/>
  <c r="D32" i="11"/>
  <c r="D33" i="10"/>
  <c r="D36" i="10"/>
  <c r="D34" i="9"/>
  <c r="D28" i="11"/>
  <c r="D34" i="11"/>
  <c r="D31" i="10"/>
  <c r="D27" i="10"/>
  <c r="D28" i="10"/>
  <c r="D30" i="10"/>
  <c r="D29" i="11"/>
  <c r="D35" i="11"/>
  <c r="D31" i="11"/>
  <c r="D30" i="9"/>
  <c r="D31" i="9"/>
  <c r="D35" i="9"/>
  <c r="D29" i="9"/>
  <c r="D36" i="9"/>
  <c r="D36" i="11"/>
  <c r="D27" i="9"/>
  <c r="D28" i="9"/>
  <c r="D32" i="9"/>
  <c r="D30" i="11"/>
  <c r="D18" i="10"/>
  <c r="D19" i="10"/>
  <c r="D17" i="11"/>
  <c r="D21" i="11"/>
  <c r="D21" i="10"/>
  <c r="D25" i="10"/>
  <c r="D17" i="10"/>
  <c r="D24" i="10"/>
  <c r="D16" i="10"/>
  <c r="D20" i="10"/>
  <c r="D16" i="11"/>
  <c r="D18" i="11"/>
  <c r="D25" i="11"/>
  <c r="D20" i="9"/>
  <c r="D18" i="9"/>
  <c r="D21" i="9"/>
  <c r="D19" i="9"/>
  <c r="D17" i="9"/>
  <c r="D24" i="9"/>
  <c r="D20" i="11"/>
  <c r="D24" i="11"/>
  <c r="D25" i="9"/>
  <c r="D16" i="9"/>
  <c r="D19" i="11"/>
  <c r="D169" i="7"/>
  <c r="D11" i="11"/>
  <c r="D9" i="10"/>
  <c r="D12" i="9"/>
  <c r="D10" i="10"/>
  <c r="D7" i="10"/>
  <c r="D12" i="10"/>
  <c r="D6" i="10"/>
  <c r="D14" i="10"/>
  <c r="D11" i="9"/>
  <c r="D6" i="11"/>
  <c r="D12" i="11"/>
  <c r="D11" i="10"/>
  <c r="D5" i="10"/>
  <c r="D10" i="11"/>
  <c r="D13" i="10"/>
  <c r="D8" i="10"/>
  <c r="D5" i="11"/>
  <c r="D9" i="11"/>
  <c r="D9" i="9"/>
  <c r="D10" i="9"/>
  <c r="D7" i="11"/>
  <c r="D14" i="11"/>
  <c r="D14" i="9"/>
  <c r="D5" i="9"/>
  <c r="D7" i="9"/>
  <c r="D13" i="11"/>
  <c r="D6" i="9"/>
  <c r="D8" i="9"/>
  <c r="D13" i="9"/>
  <c r="D8" i="11"/>
  <c r="C145" i="10"/>
  <c r="C145" i="16" s="1"/>
  <c r="C145" i="12" s="1"/>
  <c r="C146" i="10"/>
  <c r="C138" i="10"/>
  <c r="C144" i="9"/>
  <c r="C143" i="9"/>
  <c r="C139" i="10"/>
  <c r="C142" i="11"/>
  <c r="C144" i="11"/>
  <c r="C142" i="10"/>
  <c r="C143" i="10"/>
  <c r="C144" i="10"/>
  <c r="C140" i="10"/>
  <c r="C141" i="10"/>
  <c r="C137" i="10"/>
  <c r="C138" i="11"/>
  <c r="C137" i="11"/>
  <c r="C143" i="11"/>
  <c r="C146" i="11"/>
  <c r="C145" i="11"/>
  <c r="C146" i="9"/>
  <c r="C141" i="9"/>
  <c r="C138" i="9"/>
  <c r="C145" i="9"/>
  <c r="C142" i="9"/>
  <c r="C137" i="9"/>
  <c r="C139" i="11"/>
  <c r="C141" i="11"/>
  <c r="C139" i="9"/>
  <c r="C140" i="9"/>
  <c r="C140" i="11"/>
  <c r="C90" i="10"/>
  <c r="C90" i="16" s="1"/>
  <c r="C90" i="12" s="1"/>
  <c r="C89" i="11"/>
  <c r="C88" i="10"/>
  <c r="C87" i="10"/>
  <c r="C85" i="10"/>
  <c r="C86" i="10"/>
  <c r="C91" i="10"/>
  <c r="C88" i="11"/>
  <c r="C89" i="9"/>
  <c r="C83" i="10"/>
  <c r="C82" i="10"/>
  <c r="C88" i="9"/>
  <c r="C89" i="10"/>
  <c r="C84" i="10"/>
  <c r="C83" i="11"/>
  <c r="C82" i="11"/>
  <c r="C87" i="11"/>
  <c r="C87" i="9"/>
  <c r="C86" i="11"/>
  <c r="C91" i="11"/>
  <c r="C90" i="11"/>
  <c r="C83" i="9"/>
  <c r="C84" i="11"/>
  <c r="C82" i="9"/>
  <c r="C85" i="9"/>
  <c r="C90" i="9"/>
  <c r="C91" i="9"/>
  <c r="C86" i="9"/>
  <c r="C84" i="9"/>
  <c r="C85" i="11"/>
  <c r="C69" i="10"/>
  <c r="C67" i="11"/>
  <c r="C66" i="10"/>
  <c r="C65" i="10"/>
  <c r="C60" i="10"/>
  <c r="C61" i="10"/>
  <c r="C65" i="11"/>
  <c r="C66" i="9"/>
  <c r="C60" i="11"/>
  <c r="C61" i="11"/>
  <c r="C68" i="10"/>
  <c r="C68" i="16" s="1"/>
  <c r="C68" i="12" s="1"/>
  <c r="C67" i="9"/>
  <c r="C62" i="10"/>
  <c r="C63" i="10"/>
  <c r="C67" i="10"/>
  <c r="C64" i="10"/>
  <c r="C66" i="11"/>
  <c r="C64" i="11"/>
  <c r="C64" i="9"/>
  <c r="C63" i="9"/>
  <c r="C65" i="9"/>
  <c r="C62" i="9"/>
  <c r="C62" i="11"/>
  <c r="C68" i="11"/>
  <c r="C69" i="9"/>
  <c r="C69" i="11"/>
  <c r="C68" i="9"/>
  <c r="C61" i="9"/>
  <c r="C60" i="9"/>
  <c r="C63" i="11"/>
  <c r="C33" i="10"/>
  <c r="C33" i="11"/>
  <c r="C34" i="11"/>
  <c r="C36" i="10"/>
  <c r="C31" i="10"/>
  <c r="C27" i="10"/>
  <c r="C28" i="11"/>
  <c r="C32" i="11"/>
  <c r="C29" i="11"/>
  <c r="C32" i="10"/>
  <c r="C34" i="10"/>
  <c r="C28" i="10"/>
  <c r="C34" i="9"/>
  <c r="C27" i="11"/>
  <c r="C35" i="10"/>
  <c r="C35" i="16" s="1"/>
  <c r="C35" i="12" s="1"/>
  <c r="C29" i="10"/>
  <c r="C30" i="10"/>
  <c r="C33" i="9"/>
  <c r="C36" i="11"/>
  <c r="C36" i="9"/>
  <c r="C29" i="9"/>
  <c r="C28" i="9"/>
  <c r="C35" i="9"/>
  <c r="C31" i="11"/>
  <c r="C35" i="11"/>
  <c r="C30" i="9"/>
  <c r="C27" i="9"/>
  <c r="C32" i="9"/>
  <c r="C31" i="9"/>
  <c r="C30" i="11"/>
  <c r="C169" i="7"/>
  <c r="C12" i="10"/>
  <c r="C6" i="10"/>
  <c r="C14" i="10"/>
  <c r="C7" i="10"/>
  <c r="C6" i="11"/>
  <c r="C8" i="10"/>
  <c r="C11" i="9"/>
  <c r="C5" i="11"/>
  <c r="C13" i="10"/>
  <c r="C12" i="11"/>
  <c r="C11" i="10"/>
  <c r="C10" i="10"/>
  <c r="C9" i="10"/>
  <c r="C5" i="10"/>
  <c r="C11" i="11"/>
  <c r="C12" i="9"/>
  <c r="C10" i="11"/>
  <c r="C13" i="9"/>
  <c r="C13" i="11"/>
  <c r="C9" i="9"/>
  <c r="C5" i="9"/>
  <c r="C7" i="9"/>
  <c r="C10" i="9"/>
  <c r="C7" i="11"/>
  <c r="C14" i="11"/>
  <c r="C14" i="9"/>
  <c r="C6" i="9"/>
  <c r="C9" i="11"/>
  <c r="C8" i="9"/>
  <c r="C8" i="11"/>
  <c r="C109" i="10"/>
  <c r="C105" i="10"/>
  <c r="C108" i="10"/>
  <c r="C104" i="10"/>
  <c r="C111" i="10"/>
  <c r="C110" i="11"/>
  <c r="C110" i="9"/>
  <c r="C104" i="11"/>
  <c r="C109" i="11"/>
  <c r="C111" i="9"/>
  <c r="C106" i="10"/>
  <c r="C107" i="10"/>
  <c r="C105" i="11"/>
  <c r="C112" i="10"/>
  <c r="C112" i="16" s="1"/>
  <c r="C112" i="12" s="1"/>
  <c r="C111" i="11"/>
  <c r="C113" i="10"/>
  <c r="C110" i="10"/>
  <c r="C112" i="11"/>
  <c r="C106" i="9"/>
  <c r="C109" i="9"/>
  <c r="C106" i="11"/>
  <c r="C113" i="11"/>
  <c r="C104" i="9"/>
  <c r="C113" i="9"/>
  <c r="C108" i="9"/>
  <c r="C107" i="9"/>
  <c r="C108" i="11"/>
  <c r="C105" i="9"/>
  <c r="C112" i="9"/>
  <c r="C107" i="11"/>
  <c r="C53" i="10"/>
  <c r="C50" i="10"/>
  <c r="C54" i="10"/>
  <c r="C55" i="10"/>
  <c r="C56" i="10"/>
  <c r="C49" i="10"/>
  <c r="C56" i="9"/>
  <c r="C57" i="10"/>
  <c r="C57" i="16" s="1"/>
  <c r="C57" i="12" s="1"/>
  <c r="C52" i="10"/>
  <c r="C50" i="11"/>
  <c r="C49" i="11"/>
  <c r="C58" i="10"/>
  <c r="C55" i="11"/>
  <c r="C55" i="9"/>
  <c r="C56" i="11"/>
  <c r="C51" i="10"/>
  <c r="C54" i="11"/>
  <c r="C51" i="9"/>
  <c r="C58" i="9"/>
  <c r="C52" i="9"/>
  <c r="C51" i="11"/>
  <c r="C57" i="9"/>
  <c r="C53" i="11"/>
  <c r="C53" i="9"/>
  <c r="C50" i="9"/>
  <c r="C54" i="9"/>
  <c r="C58" i="11"/>
  <c r="C57" i="11"/>
  <c r="C49" i="9"/>
  <c r="C52" i="11"/>
  <c r="C150" i="10"/>
  <c r="C155" i="10"/>
  <c r="C155" i="9"/>
  <c r="C152" i="10"/>
  <c r="C148" i="10"/>
  <c r="C154" i="11"/>
  <c r="C148" i="11"/>
  <c r="C154" i="10"/>
  <c r="C157" i="10"/>
  <c r="C149" i="10"/>
  <c r="C151" i="10"/>
  <c r="C156" i="10"/>
  <c r="C156" i="16" s="1"/>
  <c r="C156" i="12" s="1"/>
  <c r="C155" i="11"/>
  <c r="C153" i="10"/>
  <c r="C154" i="9"/>
  <c r="C149" i="11"/>
  <c r="C153" i="11"/>
  <c r="C152" i="11"/>
  <c r="C156" i="11"/>
  <c r="C156" i="9"/>
  <c r="C153" i="9"/>
  <c r="C157" i="11"/>
  <c r="C152" i="9"/>
  <c r="C149" i="9"/>
  <c r="C148" i="9"/>
  <c r="C157" i="9"/>
  <c r="C151" i="9"/>
  <c r="C150" i="11"/>
  <c r="C150" i="9"/>
  <c r="C151" i="11"/>
  <c r="C134" i="10"/>
  <c r="C134" i="16" s="1"/>
  <c r="C134" i="12" s="1"/>
  <c r="C126" i="10"/>
  <c r="C128" i="10"/>
  <c r="C135" i="10"/>
  <c r="C131" i="10"/>
  <c r="C129" i="10"/>
  <c r="C130" i="10"/>
  <c r="C127" i="11"/>
  <c r="C127" i="10"/>
  <c r="C126" i="11"/>
  <c r="C131" i="11"/>
  <c r="C128" i="11"/>
  <c r="C134" i="11"/>
  <c r="C129" i="9"/>
  <c r="C134" i="9"/>
  <c r="C127" i="9"/>
  <c r="C126" i="9"/>
  <c r="C128" i="9"/>
  <c r="C130" i="11"/>
  <c r="C135" i="11"/>
  <c r="C135" i="9"/>
  <c r="C130" i="9"/>
  <c r="C131" i="9"/>
  <c r="C129" i="11"/>
  <c r="C101" i="10"/>
  <c r="C101" i="16" s="1"/>
  <c r="C101" i="12" s="1"/>
  <c r="C98" i="10"/>
  <c r="C93" i="10"/>
  <c r="C94" i="11"/>
  <c r="C95" i="10"/>
  <c r="C94" i="10"/>
  <c r="C96" i="10"/>
  <c r="C93" i="11"/>
  <c r="C97" i="10"/>
  <c r="C102" i="10"/>
  <c r="C98" i="11"/>
  <c r="C95" i="11"/>
  <c r="C97" i="11"/>
  <c r="C94" i="9"/>
  <c r="C95" i="9"/>
  <c r="C101" i="11"/>
  <c r="C102" i="11"/>
  <c r="C97" i="9"/>
  <c r="C102" i="9"/>
  <c r="C101" i="9"/>
  <c r="C98" i="9"/>
  <c r="C96" i="9"/>
  <c r="C93" i="9"/>
  <c r="C96" i="11"/>
  <c r="C79" i="10"/>
  <c r="C79" i="16" s="1"/>
  <c r="C79" i="12" s="1"/>
  <c r="C78" i="10"/>
  <c r="C72" i="11"/>
  <c r="C77" i="11"/>
  <c r="C76" i="10"/>
  <c r="C80" i="10"/>
  <c r="C77" i="9"/>
  <c r="C78" i="11"/>
  <c r="C77" i="10"/>
  <c r="C71" i="10"/>
  <c r="C74" i="10"/>
  <c r="C73" i="10"/>
  <c r="C75" i="10"/>
  <c r="C72" i="10"/>
  <c r="C78" i="9"/>
  <c r="C71" i="11"/>
  <c r="C76" i="11"/>
  <c r="C79" i="11"/>
  <c r="C74" i="9"/>
  <c r="C75" i="11"/>
  <c r="C72" i="9"/>
  <c r="C73" i="9"/>
  <c r="C73" i="11"/>
  <c r="C79" i="9"/>
  <c r="C76" i="9"/>
  <c r="C80" i="9"/>
  <c r="C80" i="11"/>
  <c r="C75" i="9"/>
  <c r="C71" i="9"/>
  <c r="C74" i="11"/>
  <c r="C43" i="10"/>
  <c r="C39" i="11"/>
  <c r="C38" i="11"/>
  <c r="C46" i="10"/>
  <c r="C46" i="16" s="1"/>
  <c r="C46" i="12" s="1"/>
  <c r="C45" i="11"/>
  <c r="C40" i="10"/>
  <c r="C42" i="10"/>
  <c r="C47" i="10"/>
  <c r="C41" i="10"/>
  <c r="C44" i="10"/>
  <c r="C39" i="10"/>
  <c r="C44" i="11"/>
  <c r="C44" i="9"/>
  <c r="C43" i="11"/>
  <c r="C45" i="10"/>
  <c r="C38" i="10"/>
  <c r="C45" i="9"/>
  <c r="C43" i="9"/>
  <c r="C47" i="11"/>
  <c r="C42" i="9"/>
  <c r="C46" i="9"/>
  <c r="C38" i="9"/>
  <c r="C40" i="9"/>
  <c r="C47" i="9"/>
  <c r="C41" i="9"/>
  <c r="C46" i="11"/>
  <c r="C39" i="9"/>
  <c r="C40" i="11"/>
  <c r="C42" i="11"/>
  <c r="C41" i="11"/>
  <c r="C20" i="10"/>
  <c r="C16" i="10"/>
  <c r="C19" i="10"/>
  <c r="C16" i="11"/>
  <c r="C21" i="11"/>
  <c r="C24" i="10"/>
  <c r="C21" i="10"/>
  <c r="C25" i="10"/>
  <c r="C17" i="11"/>
  <c r="C18" i="10"/>
  <c r="C17" i="10"/>
  <c r="C24" i="9"/>
  <c r="C18" i="11"/>
  <c r="C21" i="9"/>
  <c r="C25" i="9"/>
  <c r="C25" i="11"/>
  <c r="C20" i="11"/>
  <c r="C24" i="11"/>
  <c r="C20" i="9"/>
  <c r="C19" i="9"/>
  <c r="C18" i="9"/>
  <c r="C17" i="9"/>
  <c r="C16" i="9"/>
  <c r="C19" i="11"/>
  <c r="C115" i="10"/>
  <c r="C122" i="9"/>
  <c r="C119" i="10"/>
  <c r="C122" i="10"/>
  <c r="C116" i="10"/>
  <c r="C121" i="9"/>
  <c r="C120" i="11"/>
  <c r="C123" i="10"/>
  <c r="C123" i="16" s="1"/>
  <c r="C123" i="12" s="1"/>
  <c r="C120" i="10"/>
  <c r="C118" i="10"/>
  <c r="C121" i="11"/>
  <c r="C116" i="11"/>
  <c r="C115" i="11"/>
  <c r="C122" i="11"/>
  <c r="C117" i="10"/>
  <c r="C121" i="10"/>
  <c r="C124" i="10"/>
  <c r="C117" i="11"/>
  <c r="C124" i="11"/>
  <c r="C115" i="9"/>
  <c r="C124" i="9"/>
  <c r="C118" i="9"/>
  <c r="C123" i="9"/>
  <c r="C119" i="11"/>
  <c r="C123" i="11"/>
  <c r="C119" i="9"/>
  <c r="C116" i="9"/>
  <c r="C117" i="9"/>
  <c r="C120" i="9"/>
  <c r="C118" i="11"/>
  <c r="H110" i="10"/>
  <c r="H111" i="10"/>
  <c r="H108" i="10"/>
  <c r="H105" i="10"/>
  <c r="H109" i="11"/>
  <c r="H109" i="10"/>
  <c r="H113" i="10"/>
  <c r="H112" i="10"/>
  <c r="H112" i="16" s="1"/>
  <c r="H112" i="12" s="1"/>
  <c r="H110" i="11"/>
  <c r="H111" i="9"/>
  <c r="H105" i="11"/>
  <c r="H111" i="11"/>
  <c r="H106" i="10"/>
  <c r="H104" i="10"/>
  <c r="H107" i="10"/>
  <c r="H110" i="9"/>
  <c r="H104" i="11"/>
  <c r="H108" i="11"/>
  <c r="H108" i="9"/>
  <c r="H107" i="9"/>
  <c r="H109" i="9"/>
  <c r="H104" i="9"/>
  <c r="H112" i="9"/>
  <c r="H106" i="11"/>
  <c r="H113" i="11"/>
  <c r="H106" i="9"/>
  <c r="H112" i="11"/>
  <c r="H105" i="9"/>
  <c r="H113" i="9"/>
  <c r="H107" i="11"/>
  <c r="H66" i="11"/>
  <c r="H61" i="10"/>
  <c r="H60" i="10"/>
  <c r="H69" i="10"/>
  <c r="H64" i="10"/>
  <c r="H61" i="11"/>
  <c r="H63" i="10"/>
  <c r="H65" i="10"/>
  <c r="H68" i="10"/>
  <c r="H68" i="16" s="1"/>
  <c r="H68" i="12" s="1"/>
  <c r="H67" i="11"/>
  <c r="H67" i="10"/>
  <c r="H66" i="10"/>
  <c r="H62" i="10"/>
  <c r="H66" i="9"/>
  <c r="H67" i="9"/>
  <c r="H60" i="11"/>
  <c r="H65" i="11"/>
  <c r="H62" i="11"/>
  <c r="H64" i="11"/>
  <c r="H69" i="9"/>
  <c r="H62" i="9"/>
  <c r="H68" i="9"/>
  <c r="H68" i="11"/>
  <c r="H61" i="9"/>
  <c r="H63" i="9"/>
  <c r="H69" i="11"/>
  <c r="H60" i="9"/>
  <c r="H65" i="9"/>
  <c r="H64" i="9"/>
  <c r="H63" i="11"/>
  <c r="H46" i="10"/>
  <c r="H46" i="16" s="1"/>
  <c r="H46" i="12" s="1"/>
  <c r="H43" i="10"/>
  <c r="H41" i="10"/>
  <c r="H39" i="11"/>
  <c r="H38" i="10"/>
  <c r="H45" i="11"/>
  <c r="H44" i="11"/>
  <c r="H44" i="10"/>
  <c r="H39" i="10"/>
  <c r="H45" i="9"/>
  <c r="H43" i="11"/>
  <c r="H42" i="10"/>
  <c r="H40" i="10"/>
  <c r="H45" i="10"/>
  <c r="H47" i="10"/>
  <c r="H44" i="9"/>
  <c r="H38" i="11"/>
  <c r="H39" i="9"/>
  <c r="H43" i="9"/>
  <c r="H40" i="9"/>
  <c r="H46" i="9"/>
  <c r="H47" i="9"/>
  <c r="H42" i="11"/>
  <c r="H42" i="9"/>
  <c r="H41" i="9"/>
  <c r="H47" i="11"/>
  <c r="H46" i="11"/>
  <c r="H38" i="9"/>
  <c r="H40" i="11"/>
  <c r="H41" i="11"/>
  <c r="H142" i="10"/>
  <c r="H137" i="11"/>
  <c r="H137" i="10"/>
  <c r="H145" i="10"/>
  <c r="H145" i="16" s="1"/>
  <c r="H145" i="12" s="1"/>
  <c r="H143" i="11"/>
  <c r="H144" i="11"/>
  <c r="H146" i="10"/>
  <c r="H139" i="10"/>
  <c r="H144" i="10"/>
  <c r="H138" i="10"/>
  <c r="H141" i="10"/>
  <c r="H143" i="9"/>
  <c r="H142" i="11"/>
  <c r="H143" i="10"/>
  <c r="H140" i="10"/>
  <c r="H144" i="9"/>
  <c r="H138" i="11"/>
  <c r="H139" i="9"/>
  <c r="H139" i="11"/>
  <c r="H141" i="11"/>
  <c r="H141" i="9"/>
  <c r="H140" i="9"/>
  <c r="H145" i="9"/>
  <c r="H146" i="11"/>
  <c r="H146" i="9"/>
  <c r="H137" i="9"/>
  <c r="H142" i="9"/>
  <c r="H145" i="11"/>
  <c r="H138" i="9"/>
  <c r="H140" i="11"/>
  <c r="H94" i="10"/>
  <c r="H98" i="11"/>
  <c r="H93" i="10"/>
  <c r="H102" i="10"/>
  <c r="H101" i="10"/>
  <c r="H101" i="16" s="1"/>
  <c r="H101" i="12" s="1"/>
  <c r="H96" i="10"/>
  <c r="H95" i="10"/>
  <c r="H98" i="10"/>
  <c r="H97" i="10"/>
  <c r="H93" i="11"/>
  <c r="H94" i="11"/>
  <c r="H94" i="9"/>
  <c r="H102" i="11"/>
  <c r="H101" i="11"/>
  <c r="H102" i="9"/>
  <c r="H97" i="9"/>
  <c r="H95" i="9"/>
  <c r="H101" i="9"/>
  <c r="H96" i="9"/>
  <c r="H95" i="11"/>
  <c r="H97" i="11"/>
  <c r="H93" i="9"/>
  <c r="H98" i="9"/>
  <c r="H96" i="11"/>
  <c r="H88" i="11"/>
  <c r="H84" i="10"/>
  <c r="H85" i="10"/>
  <c r="H90" i="10"/>
  <c r="H90" i="16" s="1"/>
  <c r="H90" i="12" s="1"/>
  <c r="H89" i="10"/>
  <c r="H87" i="11"/>
  <c r="H89" i="11"/>
  <c r="H87" i="10"/>
  <c r="H88" i="10"/>
  <c r="H82" i="10"/>
  <c r="H86" i="10"/>
  <c r="H91" i="10"/>
  <c r="H83" i="10"/>
  <c r="H89" i="9"/>
  <c r="H83" i="11"/>
  <c r="H82" i="11"/>
  <c r="H88" i="9"/>
  <c r="H91" i="11"/>
  <c r="H86" i="9"/>
  <c r="H87" i="9"/>
  <c r="H84" i="11"/>
  <c r="H90" i="11"/>
  <c r="H82" i="9"/>
  <c r="H85" i="9"/>
  <c r="H86" i="11"/>
  <c r="H84" i="9"/>
  <c r="H83" i="9"/>
  <c r="H91" i="9"/>
  <c r="H90" i="9"/>
  <c r="H85" i="11"/>
  <c r="H32" i="10"/>
  <c r="H36" i="10"/>
  <c r="H33" i="9"/>
  <c r="H34" i="9"/>
  <c r="H28" i="11"/>
  <c r="H33" i="11"/>
  <c r="H33" i="10"/>
  <c r="H28" i="10"/>
  <c r="H27" i="11"/>
  <c r="H35" i="10"/>
  <c r="H35" i="16" s="1"/>
  <c r="H35" i="12" s="1"/>
  <c r="H34" i="11"/>
  <c r="H29" i="10"/>
  <c r="H31" i="10"/>
  <c r="H32" i="11"/>
  <c r="H30" i="10"/>
  <c r="H34" i="10"/>
  <c r="H27" i="10"/>
  <c r="H31" i="11"/>
  <c r="H32" i="9"/>
  <c r="H35" i="11"/>
  <c r="H31" i="9"/>
  <c r="H27" i="9"/>
  <c r="H29" i="11"/>
  <c r="H36" i="11"/>
  <c r="H28" i="9"/>
  <c r="H29" i="9"/>
  <c r="H30" i="9"/>
  <c r="H36" i="9"/>
  <c r="H35" i="9"/>
  <c r="H30" i="11"/>
  <c r="H124" i="10"/>
  <c r="H118" i="10"/>
  <c r="H116" i="11"/>
  <c r="H119" i="10"/>
  <c r="H122" i="10"/>
  <c r="H121" i="11"/>
  <c r="H121" i="10"/>
  <c r="H117" i="10"/>
  <c r="H122" i="9"/>
  <c r="H115" i="11"/>
  <c r="H120" i="11"/>
  <c r="H121" i="9"/>
  <c r="H123" i="10"/>
  <c r="H123" i="16" s="1"/>
  <c r="H123" i="12" s="1"/>
  <c r="H122" i="11"/>
  <c r="H120" i="10"/>
  <c r="H116" i="10"/>
  <c r="H115" i="10"/>
  <c r="H117" i="11"/>
  <c r="H119" i="11"/>
  <c r="H119" i="9"/>
  <c r="H118" i="9"/>
  <c r="H117" i="9"/>
  <c r="H124" i="11"/>
  <c r="H116" i="9"/>
  <c r="H120" i="9"/>
  <c r="H123" i="9"/>
  <c r="H123" i="11"/>
  <c r="H124" i="9"/>
  <c r="H115" i="9"/>
  <c r="H118" i="11"/>
  <c r="H79" i="10"/>
  <c r="H79" i="16" s="1"/>
  <c r="H79" i="12" s="1"/>
  <c r="H78" i="11"/>
  <c r="H76" i="10"/>
  <c r="H78" i="10"/>
  <c r="H78" i="9"/>
  <c r="H77" i="9"/>
  <c r="H77" i="11"/>
  <c r="H80" i="10"/>
  <c r="H73" i="10"/>
  <c r="H72" i="10"/>
  <c r="H75" i="10"/>
  <c r="H71" i="11"/>
  <c r="H74" i="10"/>
  <c r="H71" i="10"/>
  <c r="H77" i="10"/>
  <c r="H72" i="11"/>
  <c r="H76" i="11"/>
  <c r="H79" i="11"/>
  <c r="H76" i="9"/>
  <c r="H79" i="9"/>
  <c r="H80" i="11"/>
  <c r="H73" i="9"/>
  <c r="H71" i="9"/>
  <c r="H75" i="9"/>
  <c r="H80" i="9"/>
  <c r="H74" i="9"/>
  <c r="H73" i="11"/>
  <c r="H75" i="11"/>
  <c r="H72" i="9"/>
  <c r="H74" i="11"/>
  <c r="H169" i="7"/>
  <c r="H14" i="10"/>
  <c r="H11" i="9"/>
  <c r="H12" i="11"/>
  <c r="H7" i="10"/>
  <c r="H11" i="10"/>
  <c r="H10" i="10"/>
  <c r="H6" i="10"/>
  <c r="H5" i="10"/>
  <c r="H9" i="10"/>
  <c r="H12" i="10"/>
  <c r="H12" i="9"/>
  <c r="H6" i="11"/>
  <c r="H5" i="11"/>
  <c r="H10" i="11"/>
  <c r="H13" i="10"/>
  <c r="H11" i="11"/>
  <c r="H8" i="10"/>
  <c r="H7" i="11"/>
  <c r="H13" i="11"/>
  <c r="H8" i="9"/>
  <c r="H9" i="9"/>
  <c r="H5" i="9"/>
  <c r="H14" i="9"/>
  <c r="H10" i="9"/>
  <c r="H7" i="9"/>
  <c r="H13" i="9"/>
  <c r="H14" i="11"/>
  <c r="H9" i="11"/>
  <c r="H6" i="9"/>
  <c r="H8" i="11"/>
  <c r="H150" i="10"/>
  <c r="H154" i="10"/>
  <c r="H149" i="10"/>
  <c r="H152" i="10"/>
  <c r="H156" i="10"/>
  <c r="H156" i="16" s="1"/>
  <c r="H156" i="12" s="1"/>
  <c r="H155" i="10"/>
  <c r="H157" i="10"/>
  <c r="H148" i="10"/>
  <c r="H154" i="11"/>
  <c r="H151" i="10"/>
  <c r="H153" i="11"/>
  <c r="H155" i="11"/>
  <c r="H153" i="10"/>
  <c r="H154" i="9"/>
  <c r="H155" i="9"/>
  <c r="H149" i="11"/>
  <c r="H148" i="11"/>
  <c r="H152" i="9"/>
  <c r="H150" i="9"/>
  <c r="H156" i="9"/>
  <c r="H151" i="9"/>
  <c r="H149" i="9"/>
  <c r="H157" i="11"/>
  <c r="H150" i="11"/>
  <c r="H152" i="11"/>
  <c r="H156" i="11"/>
  <c r="H148" i="9"/>
  <c r="H153" i="9"/>
  <c r="H157" i="9"/>
  <c r="H151" i="11"/>
  <c r="H130" i="10"/>
  <c r="H129" i="10"/>
  <c r="H126" i="11"/>
  <c r="H134" i="10"/>
  <c r="H134" i="16" s="1"/>
  <c r="H134" i="12" s="1"/>
  <c r="H127" i="10"/>
  <c r="H131" i="10"/>
  <c r="H128" i="10"/>
  <c r="H126" i="10"/>
  <c r="H135" i="10"/>
  <c r="H131" i="11"/>
  <c r="H127" i="11"/>
  <c r="H135" i="11"/>
  <c r="H129" i="9"/>
  <c r="H130" i="11"/>
  <c r="H134" i="9"/>
  <c r="H130" i="9"/>
  <c r="H131" i="9"/>
  <c r="H128" i="11"/>
  <c r="H134" i="11"/>
  <c r="H135" i="9"/>
  <c r="H127" i="9"/>
  <c r="H126" i="9"/>
  <c r="H128" i="9"/>
  <c r="H129" i="11"/>
  <c r="H52" i="10"/>
  <c r="H51" i="10"/>
  <c r="H55" i="10"/>
  <c r="H50" i="10"/>
  <c r="H56" i="10"/>
  <c r="H56" i="9"/>
  <c r="H50" i="11"/>
  <c r="H57" i="10"/>
  <c r="H57" i="16" s="1"/>
  <c r="H57" i="12" s="1"/>
  <c r="H53" i="10"/>
  <c r="H58" i="11"/>
  <c r="H55" i="11"/>
  <c r="H56" i="11"/>
  <c r="H49" i="10"/>
  <c r="H54" i="10"/>
  <c r="H58" i="10"/>
  <c r="H49" i="11"/>
  <c r="H54" i="11"/>
  <c r="H55" i="9"/>
  <c r="H53" i="9"/>
  <c r="H54" i="9"/>
  <c r="H58" i="9"/>
  <c r="H52" i="9"/>
  <c r="H51" i="11"/>
  <c r="H57" i="11"/>
  <c r="H53" i="11"/>
  <c r="H49" i="9"/>
  <c r="H51" i="9"/>
  <c r="H50" i="9"/>
  <c r="H57" i="9"/>
  <c r="H52" i="11"/>
  <c r="H16" i="10"/>
  <c r="H17" i="10"/>
  <c r="H16" i="11"/>
  <c r="H21" i="11"/>
  <c r="H24" i="10"/>
  <c r="H18" i="10"/>
  <c r="H19" i="10"/>
  <c r="H21" i="10"/>
  <c r="H20" i="10"/>
  <c r="H17" i="11"/>
  <c r="H25" i="10"/>
  <c r="H18" i="11"/>
  <c r="H24" i="11"/>
  <c r="H20" i="9"/>
  <c r="H17" i="9"/>
  <c r="H19" i="9"/>
  <c r="H25" i="9"/>
  <c r="H18" i="9"/>
  <c r="H21" i="9"/>
  <c r="H16" i="9"/>
  <c r="H20" i="11"/>
  <c r="H25" i="11"/>
  <c r="H24" i="9"/>
  <c r="H19" i="11"/>
  <c r="H158" i="7"/>
  <c r="K165" i="11" l="1"/>
  <c r="K165" i="17" s="1"/>
  <c r="K132" i="17" s="1"/>
  <c r="J165" i="9"/>
  <c r="J165" i="18" s="1"/>
  <c r="J165" i="10"/>
  <c r="J165" i="16" s="1"/>
  <c r="I165" i="11"/>
  <c r="I165" i="17" s="1"/>
  <c r="J165" i="11"/>
  <c r="J165" i="17" s="1"/>
  <c r="K165" i="9"/>
  <c r="K165" i="18" s="1"/>
  <c r="I165" i="9"/>
  <c r="I165" i="18" s="1"/>
  <c r="K165" i="10"/>
  <c r="K165" i="16" s="1"/>
  <c r="I165" i="10"/>
  <c r="I165" i="16" s="1"/>
  <c r="I132" i="16" s="1"/>
  <c r="J100" i="4"/>
  <c r="K100" i="4" s="1"/>
  <c r="I159" i="3"/>
  <c r="I181" i="9" s="1"/>
  <c r="J5" i="3"/>
  <c r="J22" i="3"/>
  <c r="I187" i="9"/>
  <c r="J7" i="3"/>
  <c r="I161" i="3"/>
  <c r="I183" i="9" s="1"/>
  <c r="I164" i="4"/>
  <c r="I186" i="10" s="1"/>
  <c r="J10" i="4"/>
  <c r="I168" i="3"/>
  <c r="I190" i="9" s="1"/>
  <c r="J14" i="3"/>
  <c r="J12" i="3"/>
  <c r="I188" i="9"/>
  <c r="I166" i="3"/>
  <c r="I167" i="3"/>
  <c r="I189" i="9" s="1"/>
  <c r="J13" i="3"/>
  <c r="J100" i="3"/>
  <c r="I187" i="10"/>
  <c r="J22" i="4"/>
  <c r="I162" i="4"/>
  <c r="I184" i="10" s="1"/>
  <c r="J8" i="4"/>
  <c r="I168" i="4"/>
  <c r="I190" i="10" s="1"/>
  <c r="J14" i="4"/>
  <c r="J56" i="3"/>
  <c r="J23" i="3"/>
  <c r="I160" i="4"/>
  <c r="I182" i="10" s="1"/>
  <c r="J6" i="4"/>
  <c r="I163" i="4"/>
  <c r="I185" i="10" s="1"/>
  <c r="J9" i="4"/>
  <c r="I167" i="4"/>
  <c r="I189" i="10" s="1"/>
  <c r="J13" i="4"/>
  <c r="I159" i="4"/>
  <c r="I181" i="10" s="1"/>
  <c r="J5" i="4"/>
  <c r="J11" i="3"/>
  <c r="I165" i="3"/>
  <c r="J99" i="3"/>
  <c r="I160" i="3"/>
  <c r="I182" i="9" s="1"/>
  <c r="J6" i="3"/>
  <c r="J7" i="4"/>
  <c r="I161" i="4"/>
  <c r="I183" i="10" s="1"/>
  <c r="J23" i="4"/>
  <c r="I162" i="3"/>
  <c r="I184" i="9" s="1"/>
  <c r="J8" i="3"/>
  <c r="J12" i="4"/>
  <c r="I188" i="10"/>
  <c r="I166" i="4"/>
  <c r="I163" i="3"/>
  <c r="I185" i="9" s="1"/>
  <c r="J9" i="3"/>
  <c r="I164" i="3"/>
  <c r="I186" i="9" s="1"/>
  <c r="J10" i="3"/>
  <c r="J11" i="4"/>
  <c r="I165" i="4"/>
  <c r="J99" i="4"/>
  <c r="J22" i="5"/>
  <c r="I187" i="11"/>
  <c r="J5" i="5"/>
  <c r="I159" i="5"/>
  <c r="I181" i="11" s="1"/>
  <c r="I167" i="5"/>
  <c r="I189" i="11" s="1"/>
  <c r="J13" i="5"/>
  <c r="J23" i="5"/>
  <c r="J14" i="5"/>
  <c r="I168" i="5"/>
  <c r="I190" i="11" s="1"/>
  <c r="I161" i="5"/>
  <c r="I183" i="11" s="1"/>
  <c r="J7" i="5"/>
  <c r="J6" i="5"/>
  <c r="I160" i="5"/>
  <c r="I182" i="11" s="1"/>
  <c r="J10" i="5"/>
  <c r="I164" i="5"/>
  <c r="I186" i="11" s="1"/>
  <c r="I162" i="5"/>
  <c r="I184" i="11" s="1"/>
  <c r="J8" i="5"/>
  <c r="J99" i="5"/>
  <c r="I163" i="5"/>
  <c r="I185" i="11" s="1"/>
  <c r="J9" i="5"/>
  <c r="J12" i="5"/>
  <c r="I166" i="5"/>
  <c r="I188" i="11"/>
  <c r="J11" i="5"/>
  <c r="I165" i="5"/>
  <c r="J100" i="5"/>
  <c r="D162" i="11"/>
  <c r="D167" i="11"/>
  <c r="D168" i="11"/>
  <c r="D163" i="11"/>
  <c r="D164" i="11"/>
  <c r="D160" i="11"/>
  <c r="D166" i="10"/>
  <c r="D166" i="16" s="1"/>
  <c r="O177" i="10" s="1"/>
  <c r="D163" i="10"/>
  <c r="E161" i="11"/>
  <c r="E163" i="11"/>
  <c r="E161" i="9"/>
  <c r="E162" i="10"/>
  <c r="E163" i="10"/>
  <c r="E160" i="11"/>
  <c r="D167" i="9"/>
  <c r="D161" i="9"/>
  <c r="D161" i="11"/>
  <c r="D159" i="11"/>
  <c r="E167" i="9"/>
  <c r="E159" i="9"/>
  <c r="E167" i="11"/>
  <c r="E159" i="10"/>
  <c r="E161" i="10"/>
  <c r="E166" i="9"/>
  <c r="E166" i="18" s="1"/>
  <c r="P177" i="9" s="1"/>
  <c r="D162" i="9"/>
  <c r="D159" i="9"/>
  <c r="D164" i="9"/>
  <c r="D162" i="10"/>
  <c r="D168" i="10"/>
  <c r="D164" i="10"/>
  <c r="E163" i="9"/>
  <c r="E168" i="9"/>
  <c r="E164" i="9"/>
  <c r="E164" i="10"/>
  <c r="E168" i="10"/>
  <c r="E166" i="11"/>
  <c r="E166" i="17" s="1"/>
  <c r="P177" i="11" s="1"/>
  <c r="D160" i="9"/>
  <c r="D168" i="9"/>
  <c r="D163" i="9"/>
  <c r="D166" i="11"/>
  <c r="D166" i="17" s="1"/>
  <c r="O177" i="11" s="1"/>
  <c r="D160" i="10"/>
  <c r="D166" i="9"/>
  <c r="D166" i="18" s="1"/>
  <c r="O177" i="9" s="1"/>
  <c r="E162" i="11"/>
  <c r="E168" i="11"/>
  <c r="E160" i="9"/>
  <c r="E162" i="9"/>
  <c r="E159" i="11"/>
  <c r="E164" i="11"/>
  <c r="E166" i="10"/>
  <c r="E166" i="16" s="1"/>
  <c r="G160" i="9"/>
  <c r="G159" i="9"/>
  <c r="G162" i="9"/>
  <c r="G166" i="10"/>
  <c r="G166" i="16" s="1"/>
  <c r="G160" i="10"/>
  <c r="G159" i="11"/>
  <c r="G168" i="10"/>
  <c r="D159" i="10"/>
  <c r="D161" i="10"/>
  <c r="G162" i="11"/>
  <c r="G163" i="9"/>
  <c r="G163" i="11"/>
  <c r="G168" i="11"/>
  <c r="G167" i="10"/>
  <c r="G13" i="16"/>
  <c r="G13" i="12" s="1"/>
  <c r="G162" i="10"/>
  <c r="G166" i="9"/>
  <c r="G166" i="18" s="1"/>
  <c r="G164" i="10"/>
  <c r="G161" i="11"/>
  <c r="G167" i="11"/>
  <c r="G164" i="9"/>
  <c r="G160" i="11"/>
  <c r="G161" i="10"/>
  <c r="G161" i="9"/>
  <c r="G168" i="9"/>
  <c r="G167" i="9"/>
  <c r="G164" i="11"/>
  <c r="G163" i="10"/>
  <c r="G166" i="11"/>
  <c r="G159" i="10"/>
  <c r="E160" i="10"/>
  <c r="F160" i="9"/>
  <c r="F163" i="9"/>
  <c r="F163" i="11"/>
  <c r="F159" i="10"/>
  <c r="F162" i="10"/>
  <c r="F160" i="11"/>
  <c r="F161" i="10"/>
  <c r="F162" i="11"/>
  <c r="F168" i="9"/>
  <c r="F164" i="9"/>
  <c r="F167" i="9"/>
  <c r="F166" i="11"/>
  <c r="F167" i="10"/>
  <c r="F13" i="16"/>
  <c r="F13" i="12" s="1"/>
  <c r="F161" i="11"/>
  <c r="F168" i="11"/>
  <c r="F161" i="9"/>
  <c r="F163" i="10"/>
  <c r="F164" i="10"/>
  <c r="F164" i="11"/>
  <c r="F160" i="10"/>
  <c r="F159" i="9"/>
  <c r="F162" i="9"/>
  <c r="F167" i="11"/>
  <c r="F166" i="10"/>
  <c r="F166" i="16" s="1"/>
  <c r="F168" i="10"/>
  <c r="F159" i="11"/>
  <c r="F166" i="9"/>
  <c r="F166" i="18" s="1"/>
  <c r="E167" i="10"/>
  <c r="E13" i="16"/>
  <c r="E13" i="12" s="1"/>
  <c r="D167" i="10"/>
  <c r="D13" i="16"/>
  <c r="D13" i="12" s="1"/>
  <c r="C160" i="9"/>
  <c r="C164" i="9"/>
  <c r="C167" i="11"/>
  <c r="C168" i="10"/>
  <c r="C162" i="11"/>
  <c r="C168" i="9"/>
  <c r="C161" i="9"/>
  <c r="C167" i="9"/>
  <c r="C159" i="10"/>
  <c r="C166" i="11"/>
  <c r="C162" i="10"/>
  <c r="C160" i="10"/>
  <c r="C162" i="9"/>
  <c r="C168" i="11"/>
  <c r="C159" i="9"/>
  <c r="C164" i="11"/>
  <c r="C163" i="10"/>
  <c r="C167" i="10"/>
  <c r="C13" i="16"/>
  <c r="C13" i="12" s="1"/>
  <c r="C160" i="11"/>
  <c r="C166" i="10"/>
  <c r="C166" i="16" s="1"/>
  <c r="C163" i="11"/>
  <c r="C161" i="11"/>
  <c r="C163" i="9"/>
  <c r="C166" i="9"/>
  <c r="C166" i="18" s="1"/>
  <c r="C164" i="10"/>
  <c r="C159" i="11"/>
  <c r="C161" i="10"/>
  <c r="H168" i="11"/>
  <c r="H168" i="9"/>
  <c r="H168" i="18" s="1"/>
  <c r="H167" i="11"/>
  <c r="H167" i="10"/>
  <c r="S178" i="10" s="1"/>
  <c r="H13" i="16"/>
  <c r="H13" i="12" s="1"/>
  <c r="H166" i="9"/>
  <c r="H166" i="18" s="1"/>
  <c r="H160" i="10"/>
  <c r="H160" i="16" s="1"/>
  <c r="H166" i="11"/>
  <c r="H162" i="11"/>
  <c r="H167" i="9"/>
  <c r="H167" i="18" s="1"/>
  <c r="H159" i="9"/>
  <c r="H159" i="18" s="1"/>
  <c r="H161" i="11"/>
  <c r="H164" i="11"/>
  <c r="H166" i="10"/>
  <c r="H166" i="16" s="1"/>
  <c r="H164" i="10"/>
  <c r="H164" i="16" s="1"/>
  <c r="H160" i="9"/>
  <c r="H160" i="18" s="1"/>
  <c r="H161" i="9"/>
  <c r="H161" i="18" s="1"/>
  <c r="H163" i="9"/>
  <c r="H163" i="18" s="1"/>
  <c r="H162" i="10"/>
  <c r="H162" i="16" s="1"/>
  <c r="H159" i="11"/>
  <c r="H163" i="10"/>
  <c r="H163" i="16" s="1"/>
  <c r="H168" i="10"/>
  <c r="H165" i="17"/>
  <c r="H44" i="17" s="1"/>
  <c r="H44" i="13" s="1"/>
  <c r="H165" i="16"/>
  <c r="H55" i="16" s="1"/>
  <c r="H55" i="12" s="1"/>
  <c r="H165" i="18"/>
  <c r="S176" i="9" s="1"/>
  <c r="H163" i="11"/>
  <c r="H164" i="9"/>
  <c r="H162" i="9"/>
  <c r="H162" i="18" s="1"/>
  <c r="H160" i="11"/>
  <c r="H159" i="10"/>
  <c r="H159" i="16" s="1"/>
  <c r="H161" i="10"/>
  <c r="H161" i="16" s="1"/>
  <c r="J132" i="16" l="1"/>
  <c r="J132" i="12" s="1"/>
  <c r="J11" i="16"/>
  <c r="J11" i="12" s="1"/>
  <c r="J44" i="16"/>
  <c r="J44" i="12" s="1"/>
  <c r="J121" i="16"/>
  <c r="J121" i="12" s="1"/>
  <c r="J143" i="16"/>
  <c r="J143" i="12" s="1"/>
  <c r="J154" i="16"/>
  <c r="J154" i="12" s="1"/>
  <c r="J77" i="16"/>
  <c r="J77" i="12" s="1"/>
  <c r="J110" i="16"/>
  <c r="J110" i="12" s="1"/>
  <c r="J33" i="16"/>
  <c r="J33" i="12" s="1"/>
  <c r="J55" i="16"/>
  <c r="J55" i="12" s="1"/>
  <c r="J66" i="16"/>
  <c r="J66" i="12" s="1"/>
  <c r="J88" i="16"/>
  <c r="J88" i="12" s="1"/>
  <c r="J110" i="18"/>
  <c r="J110" i="6" s="1"/>
  <c r="J103" i="6" s="1"/>
  <c r="J77" i="18"/>
  <c r="J77" i="6" s="1"/>
  <c r="J70" i="6" s="1"/>
  <c r="J88" i="18"/>
  <c r="J88" i="6" s="1"/>
  <c r="J81" i="6" s="1"/>
  <c r="J121" i="18"/>
  <c r="J121" i="6" s="1"/>
  <c r="J114" i="6" s="1"/>
  <c r="J66" i="18"/>
  <c r="J66" i="6" s="1"/>
  <c r="J59" i="6" s="1"/>
  <c r="J55" i="18"/>
  <c r="J55" i="6" s="1"/>
  <c r="J48" i="6" s="1"/>
  <c r="J44" i="18"/>
  <c r="J44" i="6" s="1"/>
  <c r="J37" i="6" s="1"/>
  <c r="J143" i="18"/>
  <c r="J143" i="6" s="1"/>
  <c r="J136" i="6" s="1"/>
  <c r="J11" i="18"/>
  <c r="J11" i="6" s="1"/>
  <c r="J4" i="6" s="1"/>
  <c r="J154" i="18"/>
  <c r="J154" i="6" s="1"/>
  <c r="J147" i="6" s="1"/>
  <c r="J33" i="18"/>
  <c r="J33" i="6" s="1"/>
  <c r="J26" i="6" s="1"/>
  <c r="I143" i="18"/>
  <c r="I143" i="6" s="1"/>
  <c r="I136" i="6" s="1"/>
  <c r="I33" i="18"/>
  <c r="I33" i="6" s="1"/>
  <c r="I26" i="6" s="1"/>
  <c r="I88" i="18"/>
  <c r="I88" i="6" s="1"/>
  <c r="I81" i="6" s="1"/>
  <c r="I121" i="18"/>
  <c r="I121" i="6" s="1"/>
  <c r="I114" i="6" s="1"/>
  <c r="I77" i="18"/>
  <c r="I77" i="6" s="1"/>
  <c r="I70" i="6" s="1"/>
  <c r="I11" i="18"/>
  <c r="I11" i="6" s="1"/>
  <c r="I4" i="6" s="1"/>
  <c r="I44" i="18"/>
  <c r="I44" i="6" s="1"/>
  <c r="I37" i="6" s="1"/>
  <c r="I66" i="18"/>
  <c r="I66" i="6" s="1"/>
  <c r="I59" i="6" s="1"/>
  <c r="I154" i="18"/>
  <c r="I154" i="6" s="1"/>
  <c r="I147" i="6" s="1"/>
  <c r="I110" i="18"/>
  <c r="I110" i="6" s="1"/>
  <c r="I103" i="6" s="1"/>
  <c r="I55" i="18"/>
  <c r="I55" i="6" s="1"/>
  <c r="I48" i="6" s="1"/>
  <c r="I132" i="17"/>
  <c r="I132" i="13" s="1"/>
  <c r="I110" i="17"/>
  <c r="I110" i="13" s="1"/>
  <c r="I154" i="17"/>
  <c r="I154" i="13" s="1"/>
  <c r="I143" i="17"/>
  <c r="I143" i="13" s="1"/>
  <c r="I33" i="17"/>
  <c r="I33" i="13" s="1"/>
  <c r="I88" i="17"/>
  <c r="I88" i="13" s="1"/>
  <c r="I121" i="17"/>
  <c r="I121" i="13" s="1"/>
  <c r="I44" i="17"/>
  <c r="I44" i="13" s="1"/>
  <c r="I55" i="17"/>
  <c r="I55" i="13" s="1"/>
  <c r="I66" i="17"/>
  <c r="I66" i="13" s="1"/>
  <c r="I77" i="17"/>
  <c r="I77" i="13" s="1"/>
  <c r="I11" i="17"/>
  <c r="I11" i="13" s="1"/>
  <c r="J132" i="17"/>
  <c r="J132" i="13" s="1"/>
  <c r="J121" i="17"/>
  <c r="J121" i="13" s="1"/>
  <c r="J66" i="17"/>
  <c r="J66" i="13" s="1"/>
  <c r="J77" i="17"/>
  <c r="J77" i="13" s="1"/>
  <c r="J11" i="17"/>
  <c r="J11" i="13" s="1"/>
  <c r="J143" i="17"/>
  <c r="J143" i="13" s="1"/>
  <c r="J88" i="17"/>
  <c r="J88" i="13" s="1"/>
  <c r="J55" i="17"/>
  <c r="J55" i="13" s="1"/>
  <c r="J110" i="17"/>
  <c r="J110" i="13" s="1"/>
  <c r="J44" i="17"/>
  <c r="J44" i="13" s="1"/>
  <c r="J33" i="17"/>
  <c r="J33" i="13" s="1"/>
  <c r="J154" i="17"/>
  <c r="J154" i="13" s="1"/>
  <c r="K100" i="3"/>
  <c r="K11" i="3"/>
  <c r="J165" i="3"/>
  <c r="K22" i="4"/>
  <c r="J187" i="10"/>
  <c r="J167" i="3"/>
  <c r="J189" i="9" s="1"/>
  <c r="K13" i="3"/>
  <c r="K167" i="3" s="1"/>
  <c r="K189" i="9" s="1"/>
  <c r="K12" i="3"/>
  <c r="J166" i="3"/>
  <c r="J188" i="9"/>
  <c r="J162" i="3"/>
  <c r="J184" i="9" s="1"/>
  <c r="K8" i="3"/>
  <c r="K162" i="3" s="1"/>
  <c r="K184" i="9" s="1"/>
  <c r="J159" i="4"/>
  <c r="J181" i="10" s="1"/>
  <c r="K5" i="4"/>
  <c r="K159" i="4" s="1"/>
  <c r="K181" i="10" s="1"/>
  <c r="J163" i="4"/>
  <c r="J185" i="10" s="1"/>
  <c r="K9" i="4"/>
  <c r="K163" i="4" s="1"/>
  <c r="K185" i="10" s="1"/>
  <c r="K8" i="4"/>
  <c r="K162" i="4" s="1"/>
  <c r="K184" i="10" s="1"/>
  <c r="J162" i="4"/>
  <c r="J184" i="10" s="1"/>
  <c r="K14" i="3"/>
  <c r="K168" i="3" s="1"/>
  <c r="K190" i="9" s="1"/>
  <c r="J168" i="3"/>
  <c r="J190" i="9" s="1"/>
  <c r="K22" i="3"/>
  <c r="J187" i="9"/>
  <c r="J164" i="3"/>
  <c r="J186" i="9" s="1"/>
  <c r="K10" i="3"/>
  <c r="K164" i="3" s="1"/>
  <c r="K186" i="9" s="1"/>
  <c r="J161" i="4"/>
  <c r="J183" i="10" s="1"/>
  <c r="K7" i="4"/>
  <c r="K161" i="4" s="1"/>
  <c r="K183" i="10" s="1"/>
  <c r="K99" i="3"/>
  <c r="K23" i="3"/>
  <c r="K7" i="3"/>
  <c r="K161" i="3" s="1"/>
  <c r="K183" i="9" s="1"/>
  <c r="J161" i="3"/>
  <c r="J183" i="9" s="1"/>
  <c r="K5" i="3"/>
  <c r="K159" i="3" s="1"/>
  <c r="K181" i="9" s="1"/>
  <c r="J159" i="3"/>
  <c r="J181" i="9" s="1"/>
  <c r="J163" i="3"/>
  <c r="J185" i="9" s="1"/>
  <c r="K9" i="3"/>
  <c r="K163" i="3" s="1"/>
  <c r="K185" i="9" s="1"/>
  <c r="J188" i="10"/>
  <c r="J166" i="4"/>
  <c r="K12" i="4"/>
  <c r="K23" i="4"/>
  <c r="K56" i="3"/>
  <c r="K11" i="4"/>
  <c r="J165" i="4"/>
  <c r="K99" i="4"/>
  <c r="K6" i="3"/>
  <c r="K160" i="3" s="1"/>
  <c r="K182" i="9" s="1"/>
  <c r="J160" i="3"/>
  <c r="J182" i="9" s="1"/>
  <c r="J167" i="4"/>
  <c r="J189" i="10" s="1"/>
  <c r="K13" i="4"/>
  <c r="K167" i="4" s="1"/>
  <c r="K189" i="10" s="1"/>
  <c r="J160" i="4"/>
  <c r="J182" i="10" s="1"/>
  <c r="K6" i="4"/>
  <c r="K160" i="4" s="1"/>
  <c r="K182" i="10" s="1"/>
  <c r="K14" i="4"/>
  <c r="K168" i="4" s="1"/>
  <c r="K190" i="10" s="1"/>
  <c r="J168" i="4"/>
  <c r="J190" i="10" s="1"/>
  <c r="K10" i="4"/>
  <c r="K164" i="4" s="1"/>
  <c r="K186" i="10" s="1"/>
  <c r="J164" i="4"/>
  <c r="J186" i="10" s="1"/>
  <c r="K12" i="5"/>
  <c r="J166" i="5"/>
  <c r="J188" i="11"/>
  <c r="K99" i="5"/>
  <c r="K10" i="5"/>
  <c r="K164" i="5" s="1"/>
  <c r="K186" i="11" s="1"/>
  <c r="J164" i="5"/>
  <c r="J186" i="11" s="1"/>
  <c r="K23" i="5"/>
  <c r="J159" i="5"/>
  <c r="J181" i="11" s="1"/>
  <c r="K5" i="5"/>
  <c r="K159" i="5" s="1"/>
  <c r="K181" i="11" s="1"/>
  <c r="K11" i="5"/>
  <c r="J165" i="5"/>
  <c r="K9" i="5"/>
  <c r="K163" i="5" s="1"/>
  <c r="K185" i="11" s="1"/>
  <c r="J163" i="5"/>
  <c r="J185" i="11" s="1"/>
  <c r="K8" i="5"/>
  <c r="K162" i="5" s="1"/>
  <c r="K184" i="11" s="1"/>
  <c r="J162" i="5"/>
  <c r="J184" i="11" s="1"/>
  <c r="K13" i="5"/>
  <c r="K167" i="5" s="1"/>
  <c r="K189" i="11" s="1"/>
  <c r="J167" i="5"/>
  <c r="J189" i="11" s="1"/>
  <c r="K6" i="5"/>
  <c r="K160" i="5" s="1"/>
  <c r="K182" i="11" s="1"/>
  <c r="J160" i="5"/>
  <c r="J182" i="11" s="1"/>
  <c r="K14" i="5"/>
  <c r="K168" i="5" s="1"/>
  <c r="K190" i="11" s="1"/>
  <c r="J168" i="5"/>
  <c r="J190" i="11" s="1"/>
  <c r="K100" i="5"/>
  <c r="K7" i="5"/>
  <c r="K161" i="5" s="1"/>
  <c r="K183" i="11" s="1"/>
  <c r="J161" i="5"/>
  <c r="J183" i="11" s="1"/>
  <c r="K22" i="5"/>
  <c r="J187" i="11"/>
  <c r="H110" i="16"/>
  <c r="H110" i="12" s="1"/>
  <c r="H33" i="16"/>
  <c r="H33" i="12" s="1"/>
  <c r="H33" i="18"/>
  <c r="H33" i="6" s="1"/>
  <c r="H88" i="18"/>
  <c r="H88" i="6" s="1"/>
  <c r="H88" i="16"/>
  <c r="H88" i="12" s="1"/>
  <c r="H77" i="16"/>
  <c r="H77" i="12" s="1"/>
  <c r="G166" i="17"/>
  <c r="R177" i="11" s="1"/>
  <c r="R177" i="9"/>
  <c r="G56" i="18"/>
  <c r="G56" i="6" s="1"/>
  <c r="G45" i="18"/>
  <c r="G45" i="6" s="1"/>
  <c r="G122" i="18"/>
  <c r="G122" i="6" s="1"/>
  <c r="G78" i="18"/>
  <c r="G78" i="6" s="1"/>
  <c r="G155" i="18"/>
  <c r="G155" i="6" s="1"/>
  <c r="G34" i="18"/>
  <c r="G34" i="6" s="1"/>
  <c r="G89" i="18"/>
  <c r="G89" i="6" s="1"/>
  <c r="G67" i="18"/>
  <c r="G67" i="6" s="1"/>
  <c r="G144" i="18"/>
  <c r="G144" i="6" s="1"/>
  <c r="G12" i="18"/>
  <c r="G12" i="6" s="1"/>
  <c r="G111" i="18"/>
  <c r="G111" i="6" s="1"/>
  <c r="R177" i="10"/>
  <c r="G122" i="16"/>
  <c r="G122" i="12" s="1"/>
  <c r="G155" i="16"/>
  <c r="G155" i="12" s="1"/>
  <c r="G34" i="16"/>
  <c r="G34" i="12" s="1"/>
  <c r="G67" i="16"/>
  <c r="G67" i="12" s="1"/>
  <c r="G111" i="16"/>
  <c r="G111" i="12" s="1"/>
  <c r="G78" i="16"/>
  <c r="G78" i="12" s="1"/>
  <c r="G89" i="16"/>
  <c r="G89" i="12" s="1"/>
  <c r="G56" i="16"/>
  <c r="G56" i="12" s="1"/>
  <c r="G144" i="16"/>
  <c r="G144" i="12" s="1"/>
  <c r="G45" i="16"/>
  <c r="G45" i="12" s="1"/>
  <c r="G12" i="16"/>
  <c r="G12" i="12" s="1"/>
  <c r="F12" i="16"/>
  <c r="F12" i="12" s="1"/>
  <c r="F78" i="16"/>
  <c r="F78" i="12" s="1"/>
  <c r="F111" i="16"/>
  <c r="F111" i="12" s="1"/>
  <c r="F122" i="16"/>
  <c r="F122" i="12" s="1"/>
  <c r="F56" i="16"/>
  <c r="F56" i="12" s="1"/>
  <c r="F89" i="16"/>
  <c r="F89" i="12" s="1"/>
  <c r="F144" i="16"/>
  <c r="F144" i="12" s="1"/>
  <c r="F45" i="16"/>
  <c r="F45" i="12" s="1"/>
  <c r="F155" i="16"/>
  <c r="F155" i="12" s="1"/>
  <c r="F67" i="16"/>
  <c r="F67" i="12" s="1"/>
  <c r="F34" i="16"/>
  <c r="F34" i="12" s="1"/>
  <c r="Q177" i="10"/>
  <c r="Q177" i="9"/>
  <c r="F166" i="17"/>
  <c r="Q177" i="11" s="1"/>
  <c r="F56" i="18"/>
  <c r="F56" i="6" s="1"/>
  <c r="F122" i="18"/>
  <c r="F122" i="6" s="1"/>
  <c r="F34" i="18"/>
  <c r="F34" i="6" s="1"/>
  <c r="F144" i="18"/>
  <c r="F144" i="6" s="1"/>
  <c r="F45" i="18"/>
  <c r="F45" i="6" s="1"/>
  <c r="F111" i="18"/>
  <c r="F111" i="6" s="1"/>
  <c r="F89" i="18"/>
  <c r="F89" i="6" s="1"/>
  <c r="F155" i="18"/>
  <c r="F155" i="6" s="1"/>
  <c r="F67" i="18"/>
  <c r="F67" i="6" s="1"/>
  <c r="F78" i="18"/>
  <c r="F78" i="6" s="1"/>
  <c r="F12" i="18"/>
  <c r="F12" i="6" s="1"/>
  <c r="E34" i="16"/>
  <c r="E34" i="12" s="1"/>
  <c r="E45" i="16"/>
  <c r="E45" i="12" s="1"/>
  <c r="E122" i="16"/>
  <c r="E122" i="12" s="1"/>
  <c r="E111" i="16"/>
  <c r="E111" i="12" s="1"/>
  <c r="E144" i="16"/>
  <c r="E144" i="12" s="1"/>
  <c r="E12" i="16"/>
  <c r="E12" i="12" s="1"/>
  <c r="E56" i="16"/>
  <c r="E56" i="12" s="1"/>
  <c r="E155" i="16"/>
  <c r="E155" i="12" s="1"/>
  <c r="E67" i="16"/>
  <c r="E67" i="12" s="1"/>
  <c r="E78" i="16"/>
  <c r="E78" i="12" s="1"/>
  <c r="E89" i="16"/>
  <c r="E89" i="12" s="1"/>
  <c r="H154" i="18"/>
  <c r="H154" i="6" s="1"/>
  <c r="P177" i="10"/>
  <c r="E155" i="17"/>
  <c r="E155" i="13" s="1"/>
  <c r="E56" i="17"/>
  <c r="E56" i="13" s="1"/>
  <c r="E78" i="17"/>
  <c r="E78" i="13" s="1"/>
  <c r="E45" i="17"/>
  <c r="E45" i="13" s="1"/>
  <c r="E122" i="17"/>
  <c r="E122" i="13" s="1"/>
  <c r="E67" i="17"/>
  <c r="E67" i="13" s="1"/>
  <c r="E111" i="17"/>
  <c r="E111" i="13" s="1"/>
  <c r="E144" i="17"/>
  <c r="E144" i="13" s="1"/>
  <c r="E34" i="17"/>
  <c r="E34" i="13" s="1"/>
  <c r="E12" i="17"/>
  <c r="E12" i="13" s="1"/>
  <c r="E89" i="17"/>
  <c r="E89" i="13" s="1"/>
  <c r="E155" i="18"/>
  <c r="E155" i="6" s="1"/>
  <c r="E111" i="18"/>
  <c r="E111" i="6" s="1"/>
  <c r="E89" i="18"/>
  <c r="E89" i="6" s="1"/>
  <c r="E78" i="18"/>
  <c r="E78" i="6" s="1"/>
  <c r="E34" i="18"/>
  <c r="E34" i="6" s="1"/>
  <c r="E144" i="18"/>
  <c r="E144" i="6" s="1"/>
  <c r="E56" i="18"/>
  <c r="E56" i="6" s="1"/>
  <c r="E45" i="18"/>
  <c r="E45" i="6" s="1"/>
  <c r="E12" i="18"/>
  <c r="E12" i="6" s="1"/>
  <c r="E122" i="18"/>
  <c r="E122" i="6" s="1"/>
  <c r="E67" i="18"/>
  <c r="E67" i="6" s="1"/>
  <c r="D56" i="18"/>
  <c r="D56" i="6" s="1"/>
  <c r="D111" i="18"/>
  <c r="D111" i="6" s="1"/>
  <c r="D12" i="18"/>
  <c r="D12" i="6" s="1"/>
  <c r="D45" i="18"/>
  <c r="D45" i="6" s="1"/>
  <c r="D89" i="18"/>
  <c r="D89" i="6" s="1"/>
  <c r="D122" i="18"/>
  <c r="D122" i="6" s="1"/>
  <c r="D34" i="18"/>
  <c r="D34" i="6" s="1"/>
  <c r="D155" i="18"/>
  <c r="D155" i="6" s="1"/>
  <c r="D67" i="18"/>
  <c r="D67" i="6" s="1"/>
  <c r="D144" i="18"/>
  <c r="D144" i="6" s="1"/>
  <c r="D78" i="18"/>
  <c r="D78" i="6" s="1"/>
  <c r="D111" i="16"/>
  <c r="D111" i="12" s="1"/>
  <c r="D155" i="16"/>
  <c r="D155" i="12" s="1"/>
  <c r="D34" i="16"/>
  <c r="D34" i="12" s="1"/>
  <c r="D12" i="16"/>
  <c r="D12" i="12" s="1"/>
  <c r="D78" i="16"/>
  <c r="D78" i="12" s="1"/>
  <c r="D67" i="16"/>
  <c r="D67" i="12" s="1"/>
  <c r="D122" i="16"/>
  <c r="D122" i="12" s="1"/>
  <c r="D144" i="16"/>
  <c r="D144" i="12" s="1"/>
  <c r="D89" i="16"/>
  <c r="D89" i="12" s="1"/>
  <c r="D56" i="16"/>
  <c r="D56" i="12" s="1"/>
  <c r="D45" i="16"/>
  <c r="D45" i="12" s="1"/>
  <c r="D155" i="17"/>
  <c r="D155" i="13" s="1"/>
  <c r="D56" i="17"/>
  <c r="D56" i="13" s="1"/>
  <c r="D45" i="17"/>
  <c r="D45" i="13" s="1"/>
  <c r="D144" i="17"/>
  <c r="D144" i="13" s="1"/>
  <c r="D34" i="17"/>
  <c r="D34" i="13" s="1"/>
  <c r="D89" i="17"/>
  <c r="D89" i="13" s="1"/>
  <c r="D122" i="17"/>
  <c r="D122" i="13" s="1"/>
  <c r="D67" i="17"/>
  <c r="D67" i="13" s="1"/>
  <c r="D111" i="17"/>
  <c r="D111" i="13" s="1"/>
  <c r="D78" i="17"/>
  <c r="D78" i="13" s="1"/>
  <c r="D12" i="17"/>
  <c r="D12" i="13" s="1"/>
  <c r="C155" i="18"/>
  <c r="C155" i="6" s="1"/>
  <c r="C78" i="18"/>
  <c r="C78" i="6" s="1"/>
  <c r="C144" i="18"/>
  <c r="C144" i="6" s="1"/>
  <c r="C122" i="18"/>
  <c r="C122" i="6" s="1"/>
  <c r="C111" i="18"/>
  <c r="C111" i="6" s="1"/>
  <c r="C67" i="18"/>
  <c r="C67" i="6" s="1"/>
  <c r="C12" i="18"/>
  <c r="C12" i="6" s="1"/>
  <c r="C56" i="18"/>
  <c r="C56" i="6" s="1"/>
  <c r="C89" i="18"/>
  <c r="C89" i="6" s="1"/>
  <c r="C45" i="18"/>
  <c r="C45" i="6" s="1"/>
  <c r="C34" i="18"/>
  <c r="C34" i="6" s="1"/>
  <c r="C166" i="17"/>
  <c r="N177" i="11" s="1"/>
  <c r="C144" i="16"/>
  <c r="C144" i="12" s="1"/>
  <c r="C111" i="16"/>
  <c r="C111" i="12" s="1"/>
  <c r="C155" i="16"/>
  <c r="C155" i="12" s="1"/>
  <c r="C67" i="16"/>
  <c r="C67" i="12" s="1"/>
  <c r="C56" i="16"/>
  <c r="C56" i="12" s="1"/>
  <c r="C122" i="16"/>
  <c r="C122" i="12" s="1"/>
  <c r="C45" i="16"/>
  <c r="C45" i="12" s="1"/>
  <c r="C34" i="16"/>
  <c r="C34" i="12" s="1"/>
  <c r="C12" i="16"/>
  <c r="C12" i="12" s="1"/>
  <c r="C89" i="16"/>
  <c r="C89" i="12" s="1"/>
  <c r="C78" i="16"/>
  <c r="C78" i="12" s="1"/>
  <c r="N177" i="9"/>
  <c r="N177" i="10"/>
  <c r="H137" i="16"/>
  <c r="H137" i="12" s="1"/>
  <c r="H115" i="16"/>
  <c r="H115" i="12" s="1"/>
  <c r="H60" i="16"/>
  <c r="H60" i="12" s="1"/>
  <c r="H49" i="16"/>
  <c r="H49" i="12" s="1"/>
  <c r="H27" i="16"/>
  <c r="H27" i="12" s="1"/>
  <c r="H82" i="16"/>
  <c r="H82" i="12" s="1"/>
  <c r="H148" i="16"/>
  <c r="H148" i="12" s="1"/>
  <c r="H71" i="16"/>
  <c r="H71" i="12" s="1"/>
  <c r="H126" i="16"/>
  <c r="H5" i="16"/>
  <c r="H5" i="12" s="1"/>
  <c r="H38" i="16"/>
  <c r="H38" i="12" s="1"/>
  <c r="H104" i="16"/>
  <c r="H104" i="12" s="1"/>
  <c r="H155" i="16"/>
  <c r="H155" i="12" s="1"/>
  <c r="H78" i="16"/>
  <c r="H78" i="12" s="1"/>
  <c r="H56" i="16"/>
  <c r="H56" i="12" s="1"/>
  <c r="H45" i="16"/>
  <c r="H45" i="12" s="1"/>
  <c r="H67" i="16"/>
  <c r="H67" i="12" s="1"/>
  <c r="H12" i="16"/>
  <c r="H12" i="12" s="1"/>
  <c r="H144" i="16"/>
  <c r="H144" i="12" s="1"/>
  <c r="H89" i="16"/>
  <c r="H89" i="12" s="1"/>
  <c r="H122" i="16"/>
  <c r="H122" i="12" s="1"/>
  <c r="H34" i="16"/>
  <c r="H34" i="12" s="1"/>
  <c r="H111" i="16"/>
  <c r="H111" i="12" s="1"/>
  <c r="H160" i="17"/>
  <c r="S171" i="11" s="1"/>
  <c r="H154" i="16"/>
  <c r="H154" i="12" s="1"/>
  <c r="H6" i="16"/>
  <c r="H6" i="12" s="1"/>
  <c r="H61" i="16"/>
  <c r="H61" i="12" s="1"/>
  <c r="H116" i="16"/>
  <c r="H116" i="12" s="1"/>
  <c r="H28" i="16"/>
  <c r="H28" i="12" s="1"/>
  <c r="H138" i="16"/>
  <c r="H138" i="12" s="1"/>
  <c r="H72" i="16"/>
  <c r="H72" i="12" s="1"/>
  <c r="H105" i="16"/>
  <c r="H105" i="12" s="1"/>
  <c r="H149" i="16"/>
  <c r="H149" i="12" s="1"/>
  <c r="H50" i="16"/>
  <c r="H50" i="12" s="1"/>
  <c r="H127" i="16"/>
  <c r="H39" i="16"/>
  <c r="H39" i="12" s="1"/>
  <c r="H83" i="16"/>
  <c r="H83" i="12" s="1"/>
  <c r="H66" i="16"/>
  <c r="H66" i="12" s="1"/>
  <c r="S174" i="10"/>
  <c r="S172" i="9"/>
  <c r="H121" i="16"/>
  <c r="H121" i="12" s="1"/>
  <c r="H164" i="17"/>
  <c r="S175" i="11" s="1"/>
  <c r="H162" i="17"/>
  <c r="S173" i="11" s="1"/>
  <c r="H44" i="16"/>
  <c r="H44" i="12" s="1"/>
  <c r="H77" i="18"/>
  <c r="H77" i="6" s="1"/>
  <c r="H168" i="17"/>
  <c r="S179" i="11" s="1"/>
  <c r="S177" i="9"/>
  <c r="H12" i="18"/>
  <c r="H12" i="6" s="1"/>
  <c r="H34" i="18"/>
  <c r="H34" i="6" s="1"/>
  <c r="H67" i="18"/>
  <c r="H67" i="6" s="1"/>
  <c r="H45" i="18"/>
  <c r="H45" i="6" s="1"/>
  <c r="H56" i="18"/>
  <c r="H56" i="6" s="1"/>
  <c r="H155" i="18"/>
  <c r="H155" i="6" s="1"/>
  <c r="H89" i="18"/>
  <c r="H89" i="6" s="1"/>
  <c r="H111" i="18"/>
  <c r="H111" i="6" s="1"/>
  <c r="H78" i="18"/>
  <c r="H78" i="6" s="1"/>
  <c r="H122" i="18"/>
  <c r="H122" i="6" s="1"/>
  <c r="H144" i="18"/>
  <c r="H144" i="6" s="1"/>
  <c r="S173" i="9"/>
  <c r="H102" i="18"/>
  <c r="H102" i="6" s="1"/>
  <c r="H91" i="18"/>
  <c r="H91" i="6" s="1"/>
  <c r="H69" i="18"/>
  <c r="H69" i="6" s="1"/>
  <c r="H36" i="18"/>
  <c r="H36" i="6" s="1"/>
  <c r="H113" i="18"/>
  <c r="H113" i="6" s="1"/>
  <c r="H135" i="18"/>
  <c r="H135" i="6" s="1"/>
  <c r="H80" i="18"/>
  <c r="H80" i="6" s="1"/>
  <c r="H157" i="18"/>
  <c r="H157" i="6" s="1"/>
  <c r="H47" i="18"/>
  <c r="H47" i="6" s="1"/>
  <c r="H124" i="18"/>
  <c r="H124" i="6" s="1"/>
  <c r="H146" i="18"/>
  <c r="H146" i="6" s="1"/>
  <c r="H58" i="18"/>
  <c r="H58" i="6" s="1"/>
  <c r="H25" i="18"/>
  <c r="H25" i="6" s="1"/>
  <c r="H14" i="18"/>
  <c r="H14" i="6" s="1"/>
  <c r="H53" i="18"/>
  <c r="H119" i="18"/>
  <c r="H31" i="18"/>
  <c r="H130" i="18"/>
  <c r="H20" i="18"/>
  <c r="H108" i="18"/>
  <c r="H64" i="18"/>
  <c r="H141" i="18"/>
  <c r="H152" i="18"/>
  <c r="H42" i="18"/>
  <c r="H97" i="18"/>
  <c r="H75" i="18"/>
  <c r="H86" i="18"/>
  <c r="H9" i="18"/>
  <c r="H152" i="16"/>
  <c r="H31" i="16"/>
  <c r="H64" i="16"/>
  <c r="H141" i="16"/>
  <c r="H9" i="16"/>
  <c r="H130" i="16"/>
  <c r="H97" i="16"/>
  <c r="H42" i="16"/>
  <c r="H86" i="16"/>
  <c r="H75" i="16"/>
  <c r="H20" i="16"/>
  <c r="H119" i="16"/>
  <c r="H108" i="16"/>
  <c r="H53" i="16"/>
  <c r="H143" i="18"/>
  <c r="H143" i="6" s="1"/>
  <c r="H159" i="17"/>
  <c r="S170" i="11" s="1"/>
  <c r="S171" i="9"/>
  <c r="H11" i="18"/>
  <c r="H11" i="6" s="1"/>
  <c r="H161" i="17"/>
  <c r="S172" i="11" s="1"/>
  <c r="H55" i="18"/>
  <c r="H55" i="6" s="1"/>
  <c r="H44" i="18"/>
  <c r="H44" i="6" s="1"/>
  <c r="H166" i="17"/>
  <c r="S177" i="11" s="1"/>
  <c r="S172" i="10"/>
  <c r="H115" i="18"/>
  <c r="H115" i="6" s="1"/>
  <c r="H60" i="18"/>
  <c r="H60" i="6" s="1"/>
  <c r="H5" i="18"/>
  <c r="H5" i="6" s="1"/>
  <c r="H126" i="18"/>
  <c r="H71" i="18"/>
  <c r="H71" i="6" s="1"/>
  <c r="H27" i="18"/>
  <c r="H27" i="6" s="1"/>
  <c r="H137" i="18"/>
  <c r="H137" i="6" s="1"/>
  <c r="H104" i="18"/>
  <c r="H104" i="6" s="1"/>
  <c r="H38" i="18"/>
  <c r="H38" i="6" s="1"/>
  <c r="H148" i="18"/>
  <c r="H148" i="6" s="1"/>
  <c r="H82" i="18"/>
  <c r="H82" i="6" s="1"/>
  <c r="H49" i="18"/>
  <c r="H49" i="6" s="1"/>
  <c r="H90" i="18"/>
  <c r="H90" i="6" s="1"/>
  <c r="H13" i="18"/>
  <c r="H13" i="6" s="1"/>
  <c r="H123" i="18"/>
  <c r="H123" i="6" s="1"/>
  <c r="H57" i="18"/>
  <c r="H57" i="6" s="1"/>
  <c r="H134" i="18"/>
  <c r="H46" i="18"/>
  <c r="H46" i="6" s="1"/>
  <c r="H101" i="18"/>
  <c r="H101" i="6" s="1"/>
  <c r="H112" i="18"/>
  <c r="H112" i="6" s="1"/>
  <c r="H79" i="18"/>
  <c r="H79" i="6" s="1"/>
  <c r="H145" i="18"/>
  <c r="H145" i="6" s="1"/>
  <c r="H156" i="18"/>
  <c r="H35" i="18"/>
  <c r="H35" i="6" s="1"/>
  <c r="H68" i="18"/>
  <c r="H68" i="6" s="1"/>
  <c r="H132" i="16"/>
  <c r="S176" i="10"/>
  <c r="S173" i="10"/>
  <c r="S175" i="10"/>
  <c r="S170" i="9"/>
  <c r="H110" i="18"/>
  <c r="H110" i="6" s="1"/>
  <c r="H143" i="16"/>
  <c r="H143" i="12" s="1"/>
  <c r="S171" i="10"/>
  <c r="H167" i="17"/>
  <c r="S178" i="11" s="1"/>
  <c r="S170" i="10"/>
  <c r="H163" i="17"/>
  <c r="S174" i="11" s="1"/>
  <c r="H164" i="18"/>
  <c r="S175" i="9" s="1"/>
  <c r="H138" i="18"/>
  <c r="H138" i="6" s="1"/>
  <c r="H61" i="18"/>
  <c r="H61" i="6" s="1"/>
  <c r="H6" i="18"/>
  <c r="H6" i="6" s="1"/>
  <c r="H149" i="18"/>
  <c r="H149" i="6" s="1"/>
  <c r="H105" i="18"/>
  <c r="H105" i="6" s="1"/>
  <c r="H72" i="18"/>
  <c r="H72" i="6" s="1"/>
  <c r="H28" i="18"/>
  <c r="H28" i="6" s="1"/>
  <c r="H116" i="18"/>
  <c r="H116" i="6" s="1"/>
  <c r="H39" i="18"/>
  <c r="H39" i="6" s="1"/>
  <c r="H127" i="18"/>
  <c r="H83" i="18"/>
  <c r="H83" i="6" s="1"/>
  <c r="H50" i="18"/>
  <c r="H50" i="6" s="1"/>
  <c r="H168" i="16"/>
  <c r="H10" i="16"/>
  <c r="H10" i="12" s="1"/>
  <c r="H87" i="16"/>
  <c r="H87" i="12" s="1"/>
  <c r="H32" i="16"/>
  <c r="H32" i="12" s="1"/>
  <c r="H153" i="16"/>
  <c r="H153" i="12" s="1"/>
  <c r="H131" i="16"/>
  <c r="H131" i="12" s="1"/>
  <c r="H21" i="16"/>
  <c r="H21" i="12" s="1"/>
  <c r="H43" i="16"/>
  <c r="H43" i="12" s="1"/>
  <c r="H54" i="16"/>
  <c r="H54" i="12" s="1"/>
  <c r="H65" i="16"/>
  <c r="H65" i="12" s="1"/>
  <c r="H142" i="16"/>
  <c r="H142" i="12" s="1"/>
  <c r="H109" i="16"/>
  <c r="H109" i="12" s="1"/>
  <c r="H76" i="16"/>
  <c r="H76" i="12" s="1"/>
  <c r="H98" i="16"/>
  <c r="H98" i="12" s="1"/>
  <c r="H120" i="16"/>
  <c r="H120" i="12" s="1"/>
  <c r="S176" i="11"/>
  <c r="H132" i="17"/>
  <c r="H121" i="17"/>
  <c r="H121" i="13" s="1"/>
  <c r="H110" i="17"/>
  <c r="H110" i="13" s="1"/>
  <c r="H77" i="17"/>
  <c r="H77" i="13" s="1"/>
  <c r="H11" i="17"/>
  <c r="H11" i="13" s="1"/>
  <c r="H66" i="17"/>
  <c r="H66" i="13" s="1"/>
  <c r="H154" i="17"/>
  <c r="H154" i="13" s="1"/>
  <c r="H88" i="17"/>
  <c r="H88" i="13" s="1"/>
  <c r="H55" i="17"/>
  <c r="H55" i="13" s="1"/>
  <c r="H33" i="17"/>
  <c r="H33" i="13" s="1"/>
  <c r="H11" i="16"/>
  <c r="H11" i="12" s="1"/>
  <c r="S174" i="9"/>
  <c r="H143" i="17"/>
  <c r="H143" i="13" s="1"/>
  <c r="S177" i="10"/>
  <c r="S178" i="9"/>
  <c r="H66" i="18"/>
  <c r="H66" i="6" s="1"/>
  <c r="H121" i="18"/>
  <c r="H121" i="6" s="1"/>
  <c r="S179" i="9"/>
  <c r="H151" i="16" l="1"/>
  <c r="H151" i="12" s="1"/>
  <c r="I89" i="16"/>
  <c r="I89" i="12" s="1"/>
  <c r="I78" i="16"/>
  <c r="I78" i="12" s="1"/>
  <c r="I56" i="16"/>
  <c r="I56" i="12" s="1"/>
  <c r="I144" i="16"/>
  <c r="I144" i="12" s="1"/>
  <c r="I122" i="16"/>
  <c r="I122" i="12" s="1"/>
  <c r="I111" i="16"/>
  <c r="I111" i="12" s="1"/>
  <c r="I155" i="16"/>
  <c r="I155" i="12" s="1"/>
  <c r="I67" i="16"/>
  <c r="I67" i="12" s="1"/>
  <c r="I34" i="16"/>
  <c r="I34" i="12" s="1"/>
  <c r="I50" i="16"/>
  <c r="I50" i="12" s="1"/>
  <c r="I72" i="16"/>
  <c r="I72" i="12" s="1"/>
  <c r="I127" i="16"/>
  <c r="I61" i="16"/>
  <c r="I61" i="12" s="1"/>
  <c r="I28" i="16"/>
  <c r="I28" i="12" s="1"/>
  <c r="I138" i="16"/>
  <c r="I138" i="12" s="1"/>
  <c r="I105" i="16"/>
  <c r="I105" i="12" s="1"/>
  <c r="I83" i="16"/>
  <c r="I83" i="12" s="1"/>
  <c r="I116" i="16"/>
  <c r="I116" i="12" s="1"/>
  <c r="I39" i="16"/>
  <c r="I39" i="12" s="1"/>
  <c r="I25" i="16"/>
  <c r="I25" i="12" s="1"/>
  <c r="I80" i="16"/>
  <c r="I80" i="12" s="1"/>
  <c r="I113" i="16"/>
  <c r="I113" i="12" s="1"/>
  <c r="I135" i="16"/>
  <c r="I135" i="12" s="1"/>
  <c r="I36" i="16"/>
  <c r="I36" i="12" s="1"/>
  <c r="I58" i="16"/>
  <c r="I58" i="12" s="1"/>
  <c r="I69" i="16"/>
  <c r="I69" i="12" s="1"/>
  <c r="I102" i="16"/>
  <c r="I102" i="12" s="1"/>
  <c r="I47" i="16"/>
  <c r="I47" i="12" s="1"/>
  <c r="I124" i="16"/>
  <c r="I124" i="12" s="1"/>
  <c r="I146" i="16"/>
  <c r="I146" i="12" s="1"/>
  <c r="I157" i="16"/>
  <c r="I157" i="12" s="1"/>
  <c r="I115" i="16"/>
  <c r="I115" i="12" s="1"/>
  <c r="I126" i="16"/>
  <c r="I82" i="16"/>
  <c r="I82" i="12" s="1"/>
  <c r="I49" i="16"/>
  <c r="I49" i="12" s="1"/>
  <c r="I148" i="16"/>
  <c r="I148" i="12" s="1"/>
  <c r="I71" i="16"/>
  <c r="I71" i="12" s="1"/>
  <c r="I27" i="16"/>
  <c r="I27" i="12" s="1"/>
  <c r="I60" i="16"/>
  <c r="I60" i="12" s="1"/>
  <c r="I38" i="16"/>
  <c r="I38" i="12" s="1"/>
  <c r="I104" i="16"/>
  <c r="I104" i="12" s="1"/>
  <c r="I137" i="16"/>
  <c r="I137" i="12" s="1"/>
  <c r="I42" i="16"/>
  <c r="I86" i="16"/>
  <c r="I141" i="16"/>
  <c r="I130" i="16"/>
  <c r="I64" i="16"/>
  <c r="I152" i="16"/>
  <c r="I53" i="16"/>
  <c r="I108" i="16"/>
  <c r="I119" i="16"/>
  <c r="I97" i="16"/>
  <c r="I20" i="16"/>
  <c r="I31" i="16"/>
  <c r="I75" i="16"/>
  <c r="I65" i="16"/>
  <c r="I65" i="12" s="1"/>
  <c r="I21" i="16"/>
  <c r="I21" i="12" s="1"/>
  <c r="I109" i="16"/>
  <c r="I109" i="12" s="1"/>
  <c r="I98" i="16"/>
  <c r="I98" i="12" s="1"/>
  <c r="I142" i="16"/>
  <c r="I142" i="12" s="1"/>
  <c r="I76" i="16"/>
  <c r="I76" i="12" s="1"/>
  <c r="I43" i="16"/>
  <c r="I43" i="12" s="1"/>
  <c r="I131" i="16"/>
  <c r="I131" i="12" s="1"/>
  <c r="I87" i="16"/>
  <c r="I87" i="12" s="1"/>
  <c r="I153" i="16"/>
  <c r="I153" i="12" s="1"/>
  <c r="I54" i="16"/>
  <c r="I54" i="12" s="1"/>
  <c r="I32" i="16"/>
  <c r="I32" i="12" s="1"/>
  <c r="I156" i="16"/>
  <c r="I156" i="12" s="1"/>
  <c r="I134" i="16"/>
  <c r="I134" i="12" s="1"/>
  <c r="I57" i="16"/>
  <c r="I57" i="12" s="1"/>
  <c r="I101" i="16"/>
  <c r="I101" i="12" s="1"/>
  <c r="I79" i="16"/>
  <c r="I79" i="12" s="1"/>
  <c r="I145" i="16"/>
  <c r="I145" i="12" s="1"/>
  <c r="I46" i="16"/>
  <c r="I46" i="12" s="1"/>
  <c r="I35" i="16"/>
  <c r="I35" i="12" s="1"/>
  <c r="I123" i="16"/>
  <c r="I123" i="12" s="1"/>
  <c r="I112" i="16"/>
  <c r="I112" i="12" s="1"/>
  <c r="I90" i="16"/>
  <c r="I90" i="12" s="1"/>
  <c r="I68" i="16"/>
  <c r="I68" i="12" s="1"/>
  <c r="I154" i="16"/>
  <c r="I154" i="12" s="1"/>
  <c r="I44" i="16"/>
  <c r="I44" i="12" s="1"/>
  <c r="I121" i="16"/>
  <c r="I121" i="12" s="1"/>
  <c r="I88" i="16"/>
  <c r="I88" i="12" s="1"/>
  <c r="I77" i="16"/>
  <c r="I77" i="12" s="1"/>
  <c r="I110" i="16"/>
  <c r="I110" i="12" s="1"/>
  <c r="I33" i="16"/>
  <c r="I33" i="12" s="1"/>
  <c r="I55" i="16"/>
  <c r="I55" i="12" s="1"/>
  <c r="I11" i="16"/>
  <c r="I11" i="12" s="1"/>
  <c r="I66" i="16"/>
  <c r="I66" i="12" s="1"/>
  <c r="I143" i="16"/>
  <c r="I143" i="12" s="1"/>
  <c r="K165" i="4"/>
  <c r="K166" i="4"/>
  <c r="K188" i="10"/>
  <c r="K187" i="9"/>
  <c r="K188" i="9"/>
  <c r="K166" i="3"/>
  <c r="K187" i="10"/>
  <c r="K165" i="3"/>
  <c r="K165" i="5"/>
  <c r="K187" i="11"/>
  <c r="K166" i="5"/>
  <c r="K188" i="11"/>
  <c r="H118" i="16"/>
  <c r="H118" i="12" s="1"/>
  <c r="H129" i="16"/>
  <c r="H41" i="16"/>
  <c r="H41" i="12" s="1"/>
  <c r="H30" i="16"/>
  <c r="H30" i="12" s="1"/>
  <c r="H63" i="16"/>
  <c r="H63" i="12" s="1"/>
  <c r="H52" i="16"/>
  <c r="H74" i="16"/>
  <c r="H74" i="12" s="1"/>
  <c r="G78" i="17"/>
  <c r="G78" i="13" s="1"/>
  <c r="G155" i="17"/>
  <c r="G155" i="13" s="1"/>
  <c r="G89" i="17"/>
  <c r="G89" i="13" s="1"/>
  <c r="G67" i="17"/>
  <c r="G67" i="13" s="1"/>
  <c r="G12" i="17"/>
  <c r="G12" i="13" s="1"/>
  <c r="G34" i="17"/>
  <c r="G34" i="13" s="1"/>
  <c r="G56" i="17"/>
  <c r="G56" i="13" s="1"/>
  <c r="G111" i="17"/>
  <c r="G111" i="13" s="1"/>
  <c r="G144" i="17"/>
  <c r="G144" i="13" s="1"/>
  <c r="G122" i="17"/>
  <c r="G122" i="13" s="1"/>
  <c r="G45" i="17"/>
  <c r="G45" i="13" s="1"/>
  <c r="F155" i="17"/>
  <c r="F155" i="13" s="1"/>
  <c r="F78" i="17"/>
  <c r="F78" i="13" s="1"/>
  <c r="F122" i="17"/>
  <c r="F122" i="13" s="1"/>
  <c r="F89" i="17"/>
  <c r="F89" i="13" s="1"/>
  <c r="F144" i="17"/>
  <c r="F144" i="13" s="1"/>
  <c r="F111" i="17"/>
  <c r="F111" i="13" s="1"/>
  <c r="F34" i="17"/>
  <c r="F34" i="13" s="1"/>
  <c r="F12" i="17"/>
  <c r="F12" i="13" s="1"/>
  <c r="F56" i="17"/>
  <c r="F56" i="13" s="1"/>
  <c r="F67" i="17"/>
  <c r="F67" i="13" s="1"/>
  <c r="F45" i="17"/>
  <c r="F45" i="13" s="1"/>
  <c r="H140" i="16"/>
  <c r="H140" i="12" s="1"/>
  <c r="H107" i="16"/>
  <c r="H107" i="12" s="1"/>
  <c r="C155" i="17"/>
  <c r="C155" i="13" s="1"/>
  <c r="C56" i="17"/>
  <c r="C56" i="13" s="1"/>
  <c r="C34" i="17"/>
  <c r="C34" i="13" s="1"/>
  <c r="C122" i="17"/>
  <c r="C122" i="13" s="1"/>
  <c r="C78" i="17"/>
  <c r="C78" i="13" s="1"/>
  <c r="C12" i="17"/>
  <c r="C12" i="13" s="1"/>
  <c r="C111" i="17"/>
  <c r="C111" i="13" s="1"/>
  <c r="C89" i="17"/>
  <c r="C89" i="13" s="1"/>
  <c r="C67" i="17"/>
  <c r="C67" i="13" s="1"/>
  <c r="C144" i="17"/>
  <c r="C144" i="13" s="1"/>
  <c r="C45" i="17"/>
  <c r="C45" i="13" s="1"/>
  <c r="H85" i="16"/>
  <c r="H85" i="12" s="1"/>
  <c r="H8" i="16"/>
  <c r="H8" i="12" s="1"/>
  <c r="H168" i="6"/>
  <c r="H152" i="17"/>
  <c r="H64" i="17"/>
  <c r="H42" i="17"/>
  <c r="H97" i="17"/>
  <c r="H86" i="17"/>
  <c r="H31" i="17"/>
  <c r="H119" i="17"/>
  <c r="H130" i="17"/>
  <c r="H9" i="17"/>
  <c r="H75" i="17"/>
  <c r="H141" i="17"/>
  <c r="H20" i="17"/>
  <c r="H108" i="17"/>
  <c r="H53" i="17"/>
  <c r="H101" i="17"/>
  <c r="H101" i="13" s="1"/>
  <c r="H156" i="17"/>
  <c r="H156" i="13" s="1"/>
  <c r="H123" i="17"/>
  <c r="H123" i="13" s="1"/>
  <c r="H79" i="17"/>
  <c r="H79" i="13" s="1"/>
  <c r="H112" i="17"/>
  <c r="H112" i="13" s="1"/>
  <c r="H90" i="17"/>
  <c r="H90" i="13" s="1"/>
  <c r="H134" i="17"/>
  <c r="H134" i="13" s="1"/>
  <c r="H68" i="17"/>
  <c r="H68" i="13" s="1"/>
  <c r="H46" i="17"/>
  <c r="H46" i="13" s="1"/>
  <c r="H145" i="17"/>
  <c r="H145" i="13" s="1"/>
  <c r="H57" i="17"/>
  <c r="H57" i="13" s="1"/>
  <c r="H13" i="17"/>
  <c r="H13" i="13" s="1"/>
  <c r="H35" i="17"/>
  <c r="H35" i="13" s="1"/>
  <c r="H62" i="18"/>
  <c r="H62" i="6" s="1"/>
  <c r="H73" i="18"/>
  <c r="H73" i="6" s="1"/>
  <c r="H84" i="18"/>
  <c r="H84" i="6" s="1"/>
  <c r="H30" i="18"/>
  <c r="H30" i="6" s="1"/>
  <c r="H74" i="18"/>
  <c r="H74" i="6" s="1"/>
  <c r="H107" i="18"/>
  <c r="H107" i="6" s="1"/>
  <c r="H106" i="16"/>
  <c r="H106" i="12" s="1"/>
  <c r="H150" i="16"/>
  <c r="H150" i="12" s="1"/>
  <c r="H117" i="16"/>
  <c r="H117" i="12" s="1"/>
  <c r="H157" i="17"/>
  <c r="H157" i="13" s="1"/>
  <c r="H124" i="17"/>
  <c r="H124" i="13" s="1"/>
  <c r="H58" i="17"/>
  <c r="H58" i="13" s="1"/>
  <c r="H14" i="17"/>
  <c r="H14" i="13" s="1"/>
  <c r="H36" i="17"/>
  <c r="H36" i="13" s="1"/>
  <c r="H47" i="17"/>
  <c r="H47" i="13" s="1"/>
  <c r="H25" i="17"/>
  <c r="H25" i="13" s="1"/>
  <c r="H69" i="17"/>
  <c r="H69" i="13" s="1"/>
  <c r="H135" i="17"/>
  <c r="H135" i="13" s="1"/>
  <c r="H113" i="17"/>
  <c r="H113" i="13" s="1"/>
  <c r="H102" i="17"/>
  <c r="H102" i="13" s="1"/>
  <c r="H91" i="17"/>
  <c r="H91" i="13" s="1"/>
  <c r="H80" i="17"/>
  <c r="H80" i="13" s="1"/>
  <c r="H146" i="17"/>
  <c r="H146" i="13" s="1"/>
  <c r="H7" i="18"/>
  <c r="H7" i="6" s="1"/>
  <c r="H139" i="18"/>
  <c r="H139" i="6" s="1"/>
  <c r="H51" i="18"/>
  <c r="H51" i="6" s="1"/>
  <c r="H140" i="18"/>
  <c r="H140" i="6" s="1"/>
  <c r="H151" i="18"/>
  <c r="H151" i="6" s="1"/>
  <c r="H8" i="18"/>
  <c r="H8" i="6" s="1"/>
  <c r="H62" i="16"/>
  <c r="H62" i="12" s="1"/>
  <c r="H139" i="16"/>
  <c r="H139" i="12" s="1"/>
  <c r="H29" i="16"/>
  <c r="H29" i="12" s="1"/>
  <c r="H164" i="12"/>
  <c r="H131" i="18"/>
  <c r="H131" i="6" s="1"/>
  <c r="H153" i="18"/>
  <c r="H153" i="6" s="1"/>
  <c r="H120" i="18"/>
  <c r="H120" i="6" s="1"/>
  <c r="H142" i="18"/>
  <c r="H142" i="6" s="1"/>
  <c r="H87" i="18"/>
  <c r="H87" i="6" s="1"/>
  <c r="H10" i="18"/>
  <c r="H10" i="6" s="1"/>
  <c r="H32" i="18"/>
  <c r="H32" i="6" s="1"/>
  <c r="H98" i="18"/>
  <c r="H98" i="6" s="1"/>
  <c r="H21" i="18"/>
  <c r="H21" i="6" s="1"/>
  <c r="H109" i="18"/>
  <c r="H109" i="6" s="1"/>
  <c r="H54" i="18"/>
  <c r="H54" i="6" s="1"/>
  <c r="H43" i="18"/>
  <c r="H43" i="6" s="1"/>
  <c r="H65" i="18"/>
  <c r="H65" i="6" s="1"/>
  <c r="H76" i="18"/>
  <c r="H76" i="6" s="1"/>
  <c r="H117" i="18"/>
  <c r="H117" i="6" s="1"/>
  <c r="H40" i="18"/>
  <c r="H40" i="6" s="1"/>
  <c r="H106" i="18"/>
  <c r="H106" i="6" s="1"/>
  <c r="H116" i="17"/>
  <c r="H116" i="13" s="1"/>
  <c r="H83" i="17"/>
  <c r="H83" i="13" s="1"/>
  <c r="H72" i="17"/>
  <c r="H72" i="13" s="1"/>
  <c r="H105" i="17"/>
  <c r="H105" i="13" s="1"/>
  <c r="H138" i="17"/>
  <c r="H138" i="13" s="1"/>
  <c r="H61" i="17"/>
  <c r="H61" i="13" s="1"/>
  <c r="H149" i="17"/>
  <c r="H149" i="13" s="1"/>
  <c r="H50" i="17"/>
  <c r="H50" i="13" s="1"/>
  <c r="H28" i="17"/>
  <c r="H28" i="13" s="1"/>
  <c r="H39" i="17"/>
  <c r="H39" i="13" s="1"/>
  <c r="H6" i="17"/>
  <c r="H6" i="13" s="1"/>
  <c r="H127" i="17"/>
  <c r="H85" i="18"/>
  <c r="H85" i="6" s="1"/>
  <c r="H129" i="18"/>
  <c r="H63" i="18"/>
  <c r="H63" i="6" s="1"/>
  <c r="H40" i="16"/>
  <c r="H40" i="12" s="1"/>
  <c r="H73" i="16"/>
  <c r="H73" i="12" s="1"/>
  <c r="H7" i="16"/>
  <c r="H7" i="12" s="1"/>
  <c r="H146" i="16"/>
  <c r="H146" i="12" s="1"/>
  <c r="H58" i="16"/>
  <c r="H58" i="12" s="1"/>
  <c r="H36" i="16"/>
  <c r="H36" i="12" s="1"/>
  <c r="H14" i="16"/>
  <c r="H14" i="12" s="1"/>
  <c r="H135" i="16"/>
  <c r="H135" i="12" s="1"/>
  <c r="H25" i="16"/>
  <c r="H25" i="12" s="1"/>
  <c r="H113" i="16"/>
  <c r="H113" i="12" s="1"/>
  <c r="H91" i="16"/>
  <c r="H91" i="12" s="1"/>
  <c r="H157" i="16"/>
  <c r="H157" i="12" s="1"/>
  <c r="H102" i="16"/>
  <c r="H102" i="12" s="1"/>
  <c r="H80" i="16"/>
  <c r="H80" i="12" s="1"/>
  <c r="H47" i="16"/>
  <c r="H47" i="12" s="1"/>
  <c r="H124" i="16"/>
  <c r="H124" i="12" s="1"/>
  <c r="H69" i="16"/>
  <c r="H69" i="12" s="1"/>
  <c r="S179" i="10"/>
  <c r="H134" i="6"/>
  <c r="H156" i="6"/>
  <c r="H67" i="17"/>
  <c r="H67" i="13" s="1"/>
  <c r="H155" i="17"/>
  <c r="H155" i="13" s="1"/>
  <c r="H89" i="17"/>
  <c r="H89" i="13" s="1"/>
  <c r="H78" i="17"/>
  <c r="H78" i="13" s="1"/>
  <c r="H56" i="17"/>
  <c r="H56" i="13" s="1"/>
  <c r="H45" i="17"/>
  <c r="H45" i="13" s="1"/>
  <c r="H111" i="17"/>
  <c r="H111" i="13" s="1"/>
  <c r="H34" i="17"/>
  <c r="H34" i="13" s="1"/>
  <c r="H122" i="17"/>
  <c r="H122" i="13" s="1"/>
  <c r="H144" i="17"/>
  <c r="H144" i="13" s="1"/>
  <c r="H12" i="17"/>
  <c r="H12" i="13" s="1"/>
  <c r="H82" i="17"/>
  <c r="H82" i="13" s="1"/>
  <c r="H49" i="17"/>
  <c r="H49" i="13" s="1"/>
  <c r="H115" i="17"/>
  <c r="H115" i="13" s="1"/>
  <c r="H137" i="17"/>
  <c r="H137" i="13" s="1"/>
  <c r="H5" i="17"/>
  <c r="H5" i="13" s="1"/>
  <c r="H38" i="17"/>
  <c r="H38" i="13" s="1"/>
  <c r="H148" i="17"/>
  <c r="H148" i="13" s="1"/>
  <c r="H126" i="17"/>
  <c r="H104" i="17"/>
  <c r="H104" i="13" s="1"/>
  <c r="H27" i="17"/>
  <c r="H27" i="13" s="1"/>
  <c r="H60" i="17"/>
  <c r="H60" i="13" s="1"/>
  <c r="H71" i="17"/>
  <c r="H71" i="13" s="1"/>
  <c r="H153" i="17"/>
  <c r="H153" i="13" s="1"/>
  <c r="H109" i="17"/>
  <c r="H109" i="13" s="1"/>
  <c r="H54" i="17"/>
  <c r="H54" i="13" s="1"/>
  <c r="H21" i="17"/>
  <c r="H21" i="13" s="1"/>
  <c r="H87" i="17"/>
  <c r="H87" i="13" s="1"/>
  <c r="H32" i="17"/>
  <c r="H32" i="13" s="1"/>
  <c r="H98" i="17"/>
  <c r="H98" i="13" s="1"/>
  <c r="H131" i="17"/>
  <c r="H131" i="13" s="1"/>
  <c r="H120" i="17"/>
  <c r="H120" i="13" s="1"/>
  <c r="H43" i="17"/>
  <c r="H43" i="13" s="1"/>
  <c r="H142" i="17"/>
  <c r="H142" i="13" s="1"/>
  <c r="H10" i="17"/>
  <c r="H10" i="13" s="1"/>
  <c r="H76" i="17"/>
  <c r="H76" i="13" s="1"/>
  <c r="H65" i="17"/>
  <c r="H65" i="13" s="1"/>
  <c r="H29" i="18"/>
  <c r="H29" i="6" s="1"/>
  <c r="H128" i="18"/>
  <c r="H150" i="18"/>
  <c r="H150" i="6" s="1"/>
  <c r="H41" i="18"/>
  <c r="H41" i="6" s="1"/>
  <c r="H52" i="18"/>
  <c r="H118" i="18"/>
  <c r="H118" i="6" s="1"/>
  <c r="H51" i="16"/>
  <c r="H51" i="12" s="1"/>
  <c r="H128" i="16"/>
  <c r="H84" i="16"/>
  <c r="H84" i="12" s="1"/>
  <c r="I41" i="16" l="1"/>
  <c r="I41" i="12" s="1"/>
  <c r="I29" i="16"/>
  <c r="I29" i="12" s="1"/>
  <c r="I73" i="16"/>
  <c r="I73" i="12" s="1"/>
  <c r="I74" i="16"/>
  <c r="I74" i="12" s="1"/>
  <c r="I40" i="16"/>
  <c r="I40" i="12" s="1"/>
  <c r="I30" i="16"/>
  <c r="I30" i="12" s="1"/>
  <c r="I118" i="16"/>
  <c r="I118" i="12" s="1"/>
  <c r="I117" i="16"/>
  <c r="I117" i="12" s="1"/>
  <c r="I106" i="16"/>
  <c r="I106" i="12" s="1"/>
  <c r="I9" i="16"/>
  <c r="I5" i="16"/>
  <c r="I5" i="12" s="1"/>
  <c r="I63" i="16"/>
  <c r="I63" i="12" s="1"/>
  <c r="I128" i="16"/>
  <c r="I91" i="16"/>
  <c r="I91" i="12" s="1"/>
  <c r="I14" i="16"/>
  <c r="I14" i="12" s="1"/>
  <c r="I140" i="16"/>
  <c r="I140" i="12" s="1"/>
  <c r="I52" i="16"/>
  <c r="I139" i="16"/>
  <c r="I139" i="12" s="1"/>
  <c r="I6" i="16"/>
  <c r="I6" i="12" s="1"/>
  <c r="I149" i="16"/>
  <c r="I149" i="12" s="1"/>
  <c r="I45" i="16"/>
  <c r="I45" i="12" s="1"/>
  <c r="I12" i="16"/>
  <c r="I12" i="12" s="1"/>
  <c r="I13" i="16"/>
  <c r="I13" i="12" s="1"/>
  <c r="I85" i="16"/>
  <c r="I85" i="12" s="1"/>
  <c r="I129" i="16"/>
  <c r="I107" i="16"/>
  <c r="I107" i="12" s="1"/>
  <c r="I10" i="16"/>
  <c r="I10" i="12" s="1"/>
  <c r="I120" i="16"/>
  <c r="I120" i="12" s="1"/>
  <c r="I84" i="16"/>
  <c r="I84" i="12" s="1"/>
  <c r="I51" i="16"/>
  <c r="I51" i="12" s="1"/>
  <c r="I62" i="16"/>
  <c r="I62" i="12" s="1"/>
  <c r="K166" i="18"/>
  <c r="K144" i="18" s="1"/>
  <c r="K144" i="6" s="1"/>
  <c r="K45" i="16"/>
  <c r="K45" i="12" s="1"/>
  <c r="K111" i="17"/>
  <c r="K111" i="13" s="1"/>
  <c r="H75" i="6"/>
  <c r="H70" i="6" s="1"/>
  <c r="H119" i="6"/>
  <c r="H114" i="6" s="1"/>
  <c r="H9" i="12"/>
  <c r="H52" i="12"/>
  <c r="H31" i="6"/>
  <c r="H26" i="6" s="1"/>
  <c r="H108" i="6"/>
  <c r="H103" i="6" s="1"/>
  <c r="H152" i="12"/>
  <c r="H127" i="12"/>
  <c r="H152" i="6"/>
  <c r="H147" i="6" s="1"/>
  <c r="H42" i="12"/>
  <c r="H108" i="12"/>
  <c r="H9" i="6"/>
  <c r="H4" i="6" s="1"/>
  <c r="H42" i="6"/>
  <c r="H37" i="6" s="1"/>
  <c r="H119" i="12"/>
  <c r="H7" i="17"/>
  <c r="H7" i="13" s="1"/>
  <c r="H141" i="6"/>
  <c r="H136" i="6" s="1"/>
  <c r="H86" i="6"/>
  <c r="H81" i="6" s="1"/>
  <c r="H64" i="6"/>
  <c r="H59" i="6" s="1"/>
  <c r="H73" i="17"/>
  <c r="H73" i="13" s="1"/>
  <c r="H164" i="13"/>
  <c r="H141" i="12"/>
  <c r="H139" i="17"/>
  <c r="H139" i="13" s="1"/>
  <c r="H52" i="6"/>
  <c r="H53" i="6" s="1"/>
  <c r="H132" i="6"/>
  <c r="H133" i="6"/>
  <c r="H128" i="6"/>
  <c r="H40" i="17"/>
  <c r="H40" i="13" s="1"/>
  <c r="H128" i="17"/>
  <c r="H29" i="17"/>
  <c r="H29" i="13" s="1"/>
  <c r="H129" i="12"/>
  <c r="H168" i="12"/>
  <c r="H126" i="12"/>
  <c r="H8" i="17"/>
  <c r="H8" i="13" s="1"/>
  <c r="H129" i="17"/>
  <c r="H140" i="17"/>
  <c r="H140" i="13" s="1"/>
  <c r="H31" i="12"/>
  <c r="H132" i="12"/>
  <c r="H64" i="12"/>
  <c r="H127" i="6"/>
  <c r="H117" i="17"/>
  <c r="H117" i="13" s="1"/>
  <c r="H62" i="17"/>
  <c r="H62" i="13" s="1"/>
  <c r="H86" i="12"/>
  <c r="H151" i="17"/>
  <c r="H151" i="13" s="1"/>
  <c r="H118" i="17"/>
  <c r="H118" i="13" s="1"/>
  <c r="H107" i="17"/>
  <c r="H107" i="13" s="1"/>
  <c r="H51" i="17"/>
  <c r="H51" i="13" s="1"/>
  <c r="H150" i="17"/>
  <c r="H150" i="13" s="1"/>
  <c r="H129" i="6"/>
  <c r="H41" i="17"/>
  <c r="H41" i="13" s="1"/>
  <c r="H52" i="17"/>
  <c r="H52" i="13" s="1"/>
  <c r="H30" i="17"/>
  <c r="H30" i="13" s="1"/>
  <c r="H75" i="12"/>
  <c r="H128" i="12"/>
  <c r="H133" i="12"/>
  <c r="H106" i="17"/>
  <c r="H106" i="13" s="1"/>
  <c r="H84" i="17"/>
  <c r="H84" i="13" s="1"/>
  <c r="H164" i="6"/>
  <c r="H74" i="17"/>
  <c r="H74" i="13" s="1"/>
  <c r="H85" i="17"/>
  <c r="H85" i="13" s="1"/>
  <c r="H63" i="17"/>
  <c r="H63" i="13" s="1"/>
  <c r="H168" i="13"/>
  <c r="H126" i="6"/>
  <c r="I42" i="12" l="1"/>
  <c r="K34" i="18"/>
  <c r="K34" i="6" s="1"/>
  <c r="K78" i="18"/>
  <c r="K78" i="6" s="1"/>
  <c r="K111" i="18"/>
  <c r="K111" i="6" s="1"/>
  <c r="K45" i="18"/>
  <c r="K45" i="6" s="1"/>
  <c r="K12" i="18"/>
  <c r="K12" i="6" s="1"/>
  <c r="K56" i="18"/>
  <c r="K56" i="6" s="1"/>
  <c r="K122" i="18"/>
  <c r="K122" i="6" s="1"/>
  <c r="K67" i="18"/>
  <c r="K67" i="6" s="1"/>
  <c r="K155" i="18"/>
  <c r="K155" i="6" s="1"/>
  <c r="K89" i="18"/>
  <c r="K89" i="6" s="1"/>
  <c r="I31" i="12"/>
  <c r="I141" i="12"/>
  <c r="I75" i="12"/>
  <c r="I64" i="12"/>
  <c r="I126" i="12"/>
  <c r="I119" i="12"/>
  <c r="I129" i="12"/>
  <c r="I8" i="16"/>
  <c r="I8" i="12" s="1"/>
  <c r="I86" i="12"/>
  <c r="I108" i="12"/>
  <c r="I7" i="16"/>
  <c r="I7" i="12" s="1"/>
  <c r="I168" i="12"/>
  <c r="I151" i="16"/>
  <c r="I151" i="12" s="1"/>
  <c r="I128" i="12"/>
  <c r="I133" i="12"/>
  <c r="I132" i="12"/>
  <c r="I127" i="12"/>
  <c r="I52" i="12"/>
  <c r="I150" i="16"/>
  <c r="I150" i="12" s="1"/>
  <c r="I164" i="12"/>
  <c r="K144" i="17"/>
  <c r="K144" i="13" s="1"/>
  <c r="K78" i="17"/>
  <c r="K78" i="13" s="1"/>
  <c r="K56" i="17"/>
  <c r="K56" i="13" s="1"/>
  <c r="K89" i="17"/>
  <c r="K89" i="13" s="1"/>
  <c r="K12" i="17"/>
  <c r="K12" i="13" s="1"/>
  <c r="K155" i="17"/>
  <c r="K155" i="13" s="1"/>
  <c r="K67" i="17"/>
  <c r="K67" i="13" s="1"/>
  <c r="K122" i="17"/>
  <c r="K122" i="13" s="1"/>
  <c r="K34" i="17"/>
  <c r="K34" i="13" s="1"/>
  <c r="K45" i="17"/>
  <c r="K45" i="13" s="1"/>
  <c r="K67" i="16"/>
  <c r="K67" i="12" s="1"/>
  <c r="K122" i="16"/>
  <c r="K122" i="12" s="1"/>
  <c r="K89" i="16"/>
  <c r="K89" i="12" s="1"/>
  <c r="K56" i="16"/>
  <c r="K56" i="12" s="1"/>
  <c r="K12" i="16"/>
  <c r="K12" i="12" s="1"/>
  <c r="K34" i="16"/>
  <c r="K34" i="12" s="1"/>
  <c r="K144" i="16"/>
  <c r="K144" i="12" s="1"/>
  <c r="K111" i="16"/>
  <c r="K111" i="12" s="1"/>
  <c r="K155" i="16"/>
  <c r="K155" i="12" s="1"/>
  <c r="K78" i="16"/>
  <c r="K78" i="12" s="1"/>
  <c r="H42" i="13"/>
  <c r="H53" i="12"/>
  <c r="H129" i="13"/>
  <c r="H108" i="13"/>
  <c r="H9" i="13"/>
  <c r="H152" i="13"/>
  <c r="H75" i="13"/>
  <c r="H53" i="13"/>
  <c r="H141" i="13"/>
  <c r="H64" i="13"/>
  <c r="H130" i="6"/>
  <c r="H125" i="6" s="1"/>
  <c r="H86" i="13"/>
  <c r="H119" i="13"/>
  <c r="H48" i="6"/>
  <c r="H130" i="12"/>
  <c r="H31" i="13"/>
  <c r="H128" i="13"/>
  <c r="H133" i="13"/>
  <c r="H132" i="13"/>
  <c r="H126" i="13"/>
  <c r="H127" i="13"/>
  <c r="I9" i="12" l="1"/>
  <c r="I152" i="12"/>
  <c r="I130" i="12"/>
  <c r="I53" i="12"/>
  <c r="H130" i="13"/>
  <c r="G158" i="7" l="1"/>
  <c r="G165" i="16" l="1"/>
  <c r="G165" i="17"/>
  <c r="G165" i="18"/>
  <c r="G163" i="16"/>
  <c r="G162" i="16"/>
  <c r="G159" i="16"/>
  <c r="G160" i="16"/>
  <c r="G168" i="16"/>
  <c r="G161" i="16"/>
  <c r="G164" i="16"/>
  <c r="G168" i="18"/>
  <c r="G162" i="18"/>
  <c r="G159" i="18"/>
  <c r="G163" i="18"/>
  <c r="G160" i="18"/>
  <c r="G164" i="18"/>
  <c r="G161" i="18"/>
  <c r="G167" i="18"/>
  <c r="G167" i="17"/>
  <c r="G168" i="17"/>
  <c r="G160" i="17"/>
  <c r="R178" i="10"/>
  <c r="G159" i="17"/>
  <c r="G161" i="17"/>
  <c r="G164" i="17"/>
  <c r="G162" i="17"/>
  <c r="G163" i="17"/>
  <c r="F158" i="7"/>
  <c r="G153" i="17" l="1"/>
  <c r="G153" i="13" s="1"/>
  <c r="G76" i="17"/>
  <c r="G76" i="13" s="1"/>
  <c r="G32" i="17"/>
  <c r="G32" i="13" s="1"/>
  <c r="G142" i="17"/>
  <c r="G142" i="13" s="1"/>
  <c r="G87" i="17"/>
  <c r="G87" i="13" s="1"/>
  <c r="G98" i="17"/>
  <c r="G98" i="13" s="1"/>
  <c r="G109" i="17"/>
  <c r="G109" i="13" s="1"/>
  <c r="G65" i="17"/>
  <c r="G65" i="13" s="1"/>
  <c r="G43" i="17"/>
  <c r="G43" i="13" s="1"/>
  <c r="G120" i="17"/>
  <c r="G120" i="13" s="1"/>
  <c r="G21" i="17"/>
  <c r="G21" i="13" s="1"/>
  <c r="G131" i="17"/>
  <c r="G131" i="13" s="1"/>
  <c r="G54" i="17"/>
  <c r="G54" i="13" s="1"/>
  <c r="G10" i="17"/>
  <c r="G10" i="13" s="1"/>
  <c r="R175" i="11"/>
  <c r="G127" i="17"/>
  <c r="G50" i="17"/>
  <c r="G50" i="13" s="1"/>
  <c r="G28" i="17"/>
  <c r="G28" i="13" s="1"/>
  <c r="G105" i="17"/>
  <c r="G105" i="13" s="1"/>
  <c r="G6" i="17"/>
  <c r="G6" i="13" s="1"/>
  <c r="G72" i="17"/>
  <c r="G72" i="13" s="1"/>
  <c r="G138" i="17"/>
  <c r="G138" i="13" s="1"/>
  <c r="G39" i="17"/>
  <c r="G39" i="13" s="1"/>
  <c r="G83" i="17"/>
  <c r="G83" i="13" s="1"/>
  <c r="G61" i="17"/>
  <c r="G61" i="13" s="1"/>
  <c r="G149" i="17"/>
  <c r="G149" i="13" s="1"/>
  <c r="G116" i="17"/>
  <c r="G116" i="13" s="1"/>
  <c r="R171" i="11"/>
  <c r="R172" i="9"/>
  <c r="G49" i="18"/>
  <c r="G49" i="6" s="1"/>
  <c r="G38" i="18"/>
  <c r="G38" i="6" s="1"/>
  <c r="G126" i="18"/>
  <c r="G71" i="18"/>
  <c r="G71" i="6" s="1"/>
  <c r="G137" i="18"/>
  <c r="G137" i="6" s="1"/>
  <c r="G27" i="18"/>
  <c r="G148" i="18"/>
  <c r="G148" i="6" s="1"/>
  <c r="G60" i="18"/>
  <c r="G60" i="6" s="1"/>
  <c r="G5" i="18"/>
  <c r="G5" i="6" s="1"/>
  <c r="G82" i="18"/>
  <c r="G82" i="6" s="1"/>
  <c r="G104" i="18"/>
  <c r="G104" i="6" s="1"/>
  <c r="G115" i="18"/>
  <c r="G115" i="6" s="1"/>
  <c r="R170" i="9"/>
  <c r="R172" i="10"/>
  <c r="R173" i="10"/>
  <c r="G132" i="16"/>
  <c r="R176" i="10"/>
  <c r="G88" i="16"/>
  <c r="G88" i="12" s="1"/>
  <c r="G33" i="16"/>
  <c r="G33" i="12" s="1"/>
  <c r="G77" i="16"/>
  <c r="G77" i="12" s="1"/>
  <c r="G66" i="16"/>
  <c r="G66" i="12" s="1"/>
  <c r="G154" i="16"/>
  <c r="G154" i="12" s="1"/>
  <c r="G55" i="16"/>
  <c r="G55" i="12" s="1"/>
  <c r="G11" i="16"/>
  <c r="G11" i="12" s="1"/>
  <c r="G121" i="16"/>
  <c r="G121" i="12" s="1"/>
  <c r="G143" i="16"/>
  <c r="G143" i="12" s="1"/>
  <c r="G44" i="16"/>
  <c r="G44" i="12" s="1"/>
  <c r="G110" i="16"/>
  <c r="G110" i="12" s="1"/>
  <c r="R172" i="11"/>
  <c r="G102" i="17"/>
  <c r="G102" i="13" s="1"/>
  <c r="G69" i="17"/>
  <c r="G69" i="13" s="1"/>
  <c r="G80" i="17"/>
  <c r="G80" i="13" s="1"/>
  <c r="G146" i="17"/>
  <c r="G146" i="13" s="1"/>
  <c r="G124" i="17"/>
  <c r="G124" i="13" s="1"/>
  <c r="G14" i="17"/>
  <c r="G14" i="13" s="1"/>
  <c r="G91" i="17"/>
  <c r="G91" i="13" s="1"/>
  <c r="G36" i="17"/>
  <c r="G36" i="13" s="1"/>
  <c r="G113" i="17"/>
  <c r="G113" i="13" s="1"/>
  <c r="G58" i="17"/>
  <c r="G58" i="13" s="1"/>
  <c r="G135" i="17"/>
  <c r="G135" i="13" s="1"/>
  <c r="G25" i="17"/>
  <c r="G25" i="13" s="1"/>
  <c r="G157" i="17"/>
  <c r="G157" i="13" s="1"/>
  <c r="G47" i="17"/>
  <c r="G47" i="13" s="1"/>
  <c r="R179" i="11"/>
  <c r="G120" i="18"/>
  <c r="G120" i="6" s="1"/>
  <c r="G109" i="18"/>
  <c r="G109" i="6" s="1"/>
  <c r="G10" i="18"/>
  <c r="G10" i="6" s="1"/>
  <c r="G131" i="18"/>
  <c r="G131" i="6" s="1"/>
  <c r="G54" i="18"/>
  <c r="G54" i="6" s="1"/>
  <c r="G43" i="18"/>
  <c r="G43" i="6" s="1"/>
  <c r="G153" i="18"/>
  <c r="G153" i="6" s="1"/>
  <c r="G142" i="18"/>
  <c r="G142" i="6" s="1"/>
  <c r="G76" i="18"/>
  <c r="G76" i="6" s="1"/>
  <c r="G32" i="18"/>
  <c r="G32" i="6" s="1"/>
  <c r="G87" i="18"/>
  <c r="G87" i="6" s="1"/>
  <c r="G65" i="18"/>
  <c r="G65" i="6" s="1"/>
  <c r="G98" i="18"/>
  <c r="G98" i="6" s="1"/>
  <c r="G21" i="18"/>
  <c r="G21" i="6" s="1"/>
  <c r="R175" i="9"/>
  <c r="R173" i="9"/>
  <c r="G157" i="16"/>
  <c r="G157" i="12" s="1"/>
  <c r="G113" i="16"/>
  <c r="G113" i="12" s="1"/>
  <c r="G14" i="16"/>
  <c r="G14" i="12" s="1"/>
  <c r="G102" i="16"/>
  <c r="G102" i="12" s="1"/>
  <c r="G135" i="16"/>
  <c r="G135" i="12" s="1"/>
  <c r="G91" i="16"/>
  <c r="G91" i="12" s="1"/>
  <c r="G58" i="16"/>
  <c r="G58" i="12" s="1"/>
  <c r="G36" i="16"/>
  <c r="G36" i="12" s="1"/>
  <c r="G146" i="16"/>
  <c r="G146" i="12" s="1"/>
  <c r="G80" i="16"/>
  <c r="G80" i="12" s="1"/>
  <c r="G69" i="16"/>
  <c r="G69" i="12" s="1"/>
  <c r="G47" i="16"/>
  <c r="G47" i="12" s="1"/>
  <c r="G25" i="16"/>
  <c r="G25" i="12" s="1"/>
  <c r="G124" i="16"/>
  <c r="G124" i="12" s="1"/>
  <c r="R179" i="10"/>
  <c r="G97" i="16"/>
  <c r="G108" i="16"/>
  <c r="G119" i="16"/>
  <c r="G75" i="16"/>
  <c r="G141" i="16"/>
  <c r="G20" i="16"/>
  <c r="G53" i="16"/>
  <c r="G130" i="16"/>
  <c r="G31" i="16"/>
  <c r="G9" i="16"/>
  <c r="G42" i="16"/>
  <c r="G64" i="16"/>
  <c r="G152" i="16"/>
  <c r="G86" i="16"/>
  <c r="R174" i="10"/>
  <c r="G152" i="17"/>
  <c r="G20" i="17"/>
  <c r="G86" i="17"/>
  <c r="G75" i="17"/>
  <c r="G42" i="17"/>
  <c r="G119" i="17"/>
  <c r="G108" i="17"/>
  <c r="G97" i="17"/>
  <c r="G9" i="17"/>
  <c r="G141" i="17"/>
  <c r="G53" i="17"/>
  <c r="G130" i="17"/>
  <c r="G64" i="17"/>
  <c r="G31" i="17"/>
  <c r="R174" i="11"/>
  <c r="G82" i="17"/>
  <c r="G82" i="13" s="1"/>
  <c r="G49" i="17"/>
  <c r="G137" i="17"/>
  <c r="G5" i="17"/>
  <c r="G104" i="17"/>
  <c r="G104" i="13" s="1"/>
  <c r="G27" i="17"/>
  <c r="G126" i="17"/>
  <c r="G115" i="17"/>
  <c r="G60" i="17"/>
  <c r="G60" i="13" s="1"/>
  <c r="G38" i="17"/>
  <c r="G38" i="13" s="1"/>
  <c r="G148" i="17"/>
  <c r="G71" i="17"/>
  <c r="G71" i="13" s="1"/>
  <c r="R170" i="11"/>
  <c r="G13" i="17"/>
  <c r="G13" i="13" s="1"/>
  <c r="G134" i="17"/>
  <c r="G134" i="13" s="1"/>
  <c r="G35" i="17"/>
  <c r="G35" i="13" s="1"/>
  <c r="G112" i="17"/>
  <c r="G112" i="13" s="1"/>
  <c r="G123" i="17"/>
  <c r="G123" i="13" s="1"/>
  <c r="G145" i="17"/>
  <c r="G145" i="13" s="1"/>
  <c r="G156" i="17"/>
  <c r="G156" i="13" s="1"/>
  <c r="G46" i="17"/>
  <c r="G46" i="13" s="1"/>
  <c r="G57" i="17"/>
  <c r="G57" i="13" s="1"/>
  <c r="G101" i="17"/>
  <c r="G101" i="13" s="1"/>
  <c r="G90" i="17"/>
  <c r="G90" i="13" s="1"/>
  <c r="G79" i="17"/>
  <c r="G79" i="13" s="1"/>
  <c r="G68" i="17"/>
  <c r="G68" i="13" s="1"/>
  <c r="R178" i="11"/>
  <c r="G50" i="18"/>
  <c r="G50" i="6" s="1"/>
  <c r="G28" i="18"/>
  <c r="G28" i="6" s="1"/>
  <c r="G61" i="18"/>
  <c r="G61" i="6" s="1"/>
  <c r="G127" i="18"/>
  <c r="G105" i="18"/>
  <c r="G105" i="6" s="1"/>
  <c r="G138" i="18"/>
  <c r="G138" i="6" s="1"/>
  <c r="G149" i="18"/>
  <c r="G149" i="6" s="1"/>
  <c r="G6" i="18"/>
  <c r="G6" i="6" s="1"/>
  <c r="G116" i="18"/>
  <c r="G116" i="6" s="1"/>
  <c r="G72" i="18"/>
  <c r="G72" i="6" s="1"/>
  <c r="G83" i="18"/>
  <c r="G83" i="6" s="1"/>
  <c r="G39" i="18"/>
  <c r="R171" i="9"/>
  <c r="G135" i="18"/>
  <c r="G135" i="6" s="1"/>
  <c r="G58" i="18"/>
  <c r="G58" i="6" s="1"/>
  <c r="G36" i="18"/>
  <c r="G36" i="6" s="1"/>
  <c r="G102" i="18"/>
  <c r="G102" i="6" s="1"/>
  <c r="G157" i="18"/>
  <c r="G157" i="6" s="1"/>
  <c r="G113" i="18"/>
  <c r="G113" i="6" s="1"/>
  <c r="G124" i="18"/>
  <c r="G124" i="6" s="1"/>
  <c r="G146" i="18"/>
  <c r="G146" i="6" s="1"/>
  <c r="G91" i="18"/>
  <c r="G91" i="6" s="1"/>
  <c r="G14" i="18"/>
  <c r="G14" i="6" s="1"/>
  <c r="G25" i="18"/>
  <c r="G25" i="6" s="1"/>
  <c r="G80" i="18"/>
  <c r="G80" i="6" s="1"/>
  <c r="G69" i="18"/>
  <c r="G69" i="6" s="1"/>
  <c r="G47" i="18"/>
  <c r="G47" i="6" s="1"/>
  <c r="R179" i="9"/>
  <c r="G50" i="16"/>
  <c r="G50" i="12" s="1"/>
  <c r="G72" i="16"/>
  <c r="G72" i="12" s="1"/>
  <c r="G138" i="16"/>
  <c r="G138" i="12" s="1"/>
  <c r="G28" i="16"/>
  <c r="G28" i="12" s="1"/>
  <c r="G105" i="16"/>
  <c r="G105" i="12" s="1"/>
  <c r="G127" i="16"/>
  <c r="G39" i="16"/>
  <c r="G39" i="12" s="1"/>
  <c r="G6" i="16"/>
  <c r="G6" i="12" s="1"/>
  <c r="G116" i="16"/>
  <c r="G116" i="12" s="1"/>
  <c r="G149" i="16"/>
  <c r="G149" i="12" s="1"/>
  <c r="G83" i="16"/>
  <c r="G83" i="12" s="1"/>
  <c r="G61" i="16"/>
  <c r="G61" i="12" s="1"/>
  <c r="R171" i="10"/>
  <c r="R176" i="9"/>
  <c r="G55" i="18"/>
  <c r="G55" i="6" s="1"/>
  <c r="G11" i="18"/>
  <c r="G11" i="6" s="1"/>
  <c r="G121" i="18"/>
  <c r="G121" i="6" s="1"/>
  <c r="G154" i="18"/>
  <c r="G154" i="6" s="1"/>
  <c r="G77" i="18"/>
  <c r="G77" i="6" s="1"/>
  <c r="G88" i="18"/>
  <c r="G88" i="6" s="1"/>
  <c r="G143" i="18"/>
  <c r="G143" i="6" s="1"/>
  <c r="G44" i="18"/>
  <c r="G44" i="6" s="1"/>
  <c r="G33" i="18"/>
  <c r="G33" i="6" s="1"/>
  <c r="G66" i="18"/>
  <c r="G66" i="6" s="1"/>
  <c r="G110" i="18"/>
  <c r="G110" i="6" s="1"/>
  <c r="R173" i="11"/>
  <c r="G134" i="18"/>
  <c r="G68" i="18"/>
  <c r="G68" i="6" s="1"/>
  <c r="G46" i="18"/>
  <c r="G46" i="6" s="1"/>
  <c r="G156" i="18"/>
  <c r="G112" i="18"/>
  <c r="G112" i="6" s="1"/>
  <c r="G101" i="18"/>
  <c r="G101" i="6" s="1"/>
  <c r="G145" i="18"/>
  <c r="G145" i="6" s="1"/>
  <c r="G13" i="18"/>
  <c r="G13" i="6" s="1"/>
  <c r="G90" i="18"/>
  <c r="G90" i="6" s="1"/>
  <c r="G57" i="18"/>
  <c r="G57" i="6" s="1"/>
  <c r="G35" i="18"/>
  <c r="G35" i="6" s="1"/>
  <c r="G123" i="18"/>
  <c r="G123" i="6" s="1"/>
  <c r="G79" i="18"/>
  <c r="G79" i="6" s="1"/>
  <c r="R178" i="9"/>
  <c r="G119" i="18"/>
  <c r="G130" i="18"/>
  <c r="G9" i="18"/>
  <c r="G86" i="18"/>
  <c r="G53" i="18"/>
  <c r="G97" i="18"/>
  <c r="G75" i="18"/>
  <c r="G152" i="18"/>
  <c r="G31" i="18"/>
  <c r="G64" i="18"/>
  <c r="G20" i="18"/>
  <c r="G108" i="18"/>
  <c r="G141" i="18"/>
  <c r="G42" i="18"/>
  <c r="R174" i="9"/>
  <c r="G98" i="16"/>
  <c r="G98" i="12" s="1"/>
  <c r="G120" i="16"/>
  <c r="G120" i="12" s="1"/>
  <c r="G65" i="16"/>
  <c r="G65" i="12" s="1"/>
  <c r="G32" i="16"/>
  <c r="G32" i="12" s="1"/>
  <c r="G43" i="16"/>
  <c r="G43" i="12" s="1"/>
  <c r="G109" i="16"/>
  <c r="G109" i="12" s="1"/>
  <c r="G10" i="16"/>
  <c r="G10" i="12" s="1"/>
  <c r="G76" i="16"/>
  <c r="G76" i="12" s="1"/>
  <c r="G131" i="16"/>
  <c r="G131" i="12" s="1"/>
  <c r="G153" i="16"/>
  <c r="G153" i="12" s="1"/>
  <c r="G54" i="16"/>
  <c r="G54" i="12" s="1"/>
  <c r="G87" i="16"/>
  <c r="G87" i="12" s="1"/>
  <c r="G21" i="16"/>
  <c r="G21" i="12" s="1"/>
  <c r="G142" i="16"/>
  <c r="G142" i="12" s="1"/>
  <c r="R175" i="10"/>
  <c r="G5" i="16"/>
  <c r="G148" i="16"/>
  <c r="G82" i="16"/>
  <c r="G49" i="16"/>
  <c r="G126" i="16"/>
  <c r="G115" i="16"/>
  <c r="G137" i="16"/>
  <c r="G104" i="16"/>
  <c r="G71" i="16"/>
  <c r="G60" i="16"/>
  <c r="G27" i="16"/>
  <c r="G38" i="16"/>
  <c r="R170" i="10"/>
  <c r="R176" i="11"/>
  <c r="G132" i="17"/>
  <c r="G110" i="17"/>
  <c r="G110" i="13" s="1"/>
  <c r="G88" i="17"/>
  <c r="G88" i="13" s="1"/>
  <c r="G33" i="17"/>
  <c r="G33" i="13" s="1"/>
  <c r="G143" i="17"/>
  <c r="G143" i="13" s="1"/>
  <c r="G66" i="17"/>
  <c r="G66" i="13" s="1"/>
  <c r="G154" i="17"/>
  <c r="G154" i="13" s="1"/>
  <c r="G55" i="17"/>
  <c r="G55" i="13" s="1"/>
  <c r="G44" i="17"/>
  <c r="G44" i="13" s="1"/>
  <c r="G77" i="17"/>
  <c r="G77" i="13" s="1"/>
  <c r="G121" i="17"/>
  <c r="G121" i="13" s="1"/>
  <c r="G11" i="17"/>
  <c r="G11" i="13" s="1"/>
  <c r="F165" i="16"/>
  <c r="F165" i="17"/>
  <c r="F165" i="18"/>
  <c r="F163" i="16"/>
  <c r="F160" i="16"/>
  <c r="F161" i="16"/>
  <c r="F164" i="16"/>
  <c r="F162" i="16"/>
  <c r="F168" i="16"/>
  <c r="F159" i="16"/>
  <c r="F159" i="18"/>
  <c r="F164" i="18"/>
  <c r="F167" i="18"/>
  <c r="F162" i="18"/>
  <c r="F160" i="18"/>
  <c r="F161" i="18"/>
  <c r="F168" i="18"/>
  <c r="F163" i="18"/>
  <c r="F160" i="17"/>
  <c r="F164" i="17"/>
  <c r="Q178" i="10"/>
  <c r="F167" i="17"/>
  <c r="F161" i="17"/>
  <c r="F163" i="17"/>
  <c r="F162" i="17"/>
  <c r="F168" i="17"/>
  <c r="F159" i="17"/>
  <c r="E158" i="7"/>
  <c r="D158" i="7"/>
  <c r="G151" i="17" l="1"/>
  <c r="G151" i="13" s="1"/>
  <c r="G140" i="17"/>
  <c r="G140" i="13" s="1"/>
  <c r="G52" i="17"/>
  <c r="G52" i="13" s="1"/>
  <c r="G118" i="17"/>
  <c r="G118" i="13" s="1"/>
  <c r="G30" i="17"/>
  <c r="G30" i="13" s="1"/>
  <c r="G74" i="17"/>
  <c r="G74" i="13" s="1"/>
  <c r="G41" i="17"/>
  <c r="G41" i="13" s="1"/>
  <c r="G41" i="18"/>
  <c r="G41" i="6" s="1"/>
  <c r="G85" i="17"/>
  <c r="G85" i="13" s="1"/>
  <c r="G63" i="17"/>
  <c r="G63" i="13" s="1"/>
  <c r="G8" i="17"/>
  <c r="G8" i="13" s="1"/>
  <c r="G107" i="17"/>
  <c r="G107" i="13" s="1"/>
  <c r="G129" i="17"/>
  <c r="G168" i="13"/>
  <c r="G71" i="12"/>
  <c r="G73" i="16"/>
  <c r="G73" i="12" s="1"/>
  <c r="G74" i="16"/>
  <c r="G74" i="12" s="1"/>
  <c r="G129" i="16"/>
  <c r="G128" i="16"/>
  <c r="G5" i="12"/>
  <c r="G8" i="16"/>
  <c r="G8" i="12" s="1"/>
  <c r="G7" i="16"/>
  <c r="G7" i="12" s="1"/>
  <c r="G168" i="6"/>
  <c r="G148" i="13"/>
  <c r="G150" i="17"/>
  <c r="G150" i="13" s="1"/>
  <c r="G137" i="13"/>
  <c r="G139" i="17"/>
  <c r="G139" i="13" s="1"/>
  <c r="G168" i="12"/>
  <c r="G107" i="18"/>
  <c r="G107" i="6" s="1"/>
  <c r="G118" i="18"/>
  <c r="G118" i="6" s="1"/>
  <c r="G128" i="17"/>
  <c r="G84" i="17"/>
  <c r="G84" i="13" s="1"/>
  <c r="G38" i="12"/>
  <c r="G40" i="16"/>
  <c r="G40" i="12" s="1"/>
  <c r="G41" i="16"/>
  <c r="G41" i="12" s="1"/>
  <c r="G104" i="12"/>
  <c r="G107" i="16"/>
  <c r="G107" i="12" s="1"/>
  <c r="G106" i="16"/>
  <c r="G106" i="12" s="1"/>
  <c r="G49" i="12"/>
  <c r="G51" i="16"/>
  <c r="G51" i="12" s="1"/>
  <c r="G52" i="16"/>
  <c r="G164" i="12"/>
  <c r="G39" i="6"/>
  <c r="G40" i="18"/>
  <c r="G40" i="6" s="1"/>
  <c r="G128" i="18"/>
  <c r="G27" i="13"/>
  <c r="G29" i="17"/>
  <c r="G29" i="13" s="1"/>
  <c r="G49" i="13"/>
  <c r="G51" i="17"/>
  <c r="G51" i="13" s="1"/>
  <c r="G85" i="18"/>
  <c r="G85" i="6" s="1"/>
  <c r="G129" i="18"/>
  <c r="G63" i="18"/>
  <c r="G63" i="6" s="1"/>
  <c r="G106" i="17"/>
  <c r="G106" i="13" s="1"/>
  <c r="G27" i="12"/>
  <c r="G29" i="16"/>
  <c r="G29" i="12" s="1"/>
  <c r="G30" i="16"/>
  <c r="G30" i="12" s="1"/>
  <c r="G137" i="12"/>
  <c r="G139" i="16"/>
  <c r="G139" i="12" s="1"/>
  <c r="G140" i="16"/>
  <c r="G140" i="12" s="1"/>
  <c r="G82" i="12"/>
  <c r="G84" i="16"/>
  <c r="G84" i="12" s="1"/>
  <c r="G85" i="16"/>
  <c r="G85" i="12" s="1"/>
  <c r="G134" i="6"/>
  <c r="G156" i="6"/>
  <c r="G140" i="18"/>
  <c r="G140" i="6" s="1"/>
  <c r="G8" i="18"/>
  <c r="G8" i="6" s="1"/>
  <c r="G164" i="6"/>
  <c r="G73" i="17"/>
  <c r="G73" i="13" s="1"/>
  <c r="G60" i="12"/>
  <c r="G62" i="16"/>
  <c r="G62" i="12" s="1"/>
  <c r="G63" i="16"/>
  <c r="G63" i="12" s="1"/>
  <c r="G115" i="12"/>
  <c r="G117" i="16"/>
  <c r="G117" i="12" s="1"/>
  <c r="G118" i="16"/>
  <c r="G118" i="12" s="1"/>
  <c r="G148" i="12"/>
  <c r="G151" i="16"/>
  <c r="G151" i="12" s="1"/>
  <c r="G150" i="16"/>
  <c r="G150" i="12" s="1"/>
  <c r="G115" i="13"/>
  <c r="G117" i="17"/>
  <c r="G117" i="13" s="1"/>
  <c r="G5" i="13"/>
  <c r="G7" i="17"/>
  <c r="G7" i="13" s="1"/>
  <c r="G74" i="18"/>
  <c r="G74" i="6" s="1"/>
  <c r="G52" i="18"/>
  <c r="G151" i="18"/>
  <c r="G151" i="6" s="1"/>
  <c r="G40" i="17"/>
  <c r="G40" i="13" s="1"/>
  <c r="G62" i="17"/>
  <c r="G62" i="13" s="1"/>
  <c r="G30" i="18"/>
  <c r="G30" i="6" s="1"/>
  <c r="G27" i="6"/>
  <c r="G73" i="18"/>
  <c r="G73" i="6" s="1"/>
  <c r="G51" i="18"/>
  <c r="G51" i="6" s="1"/>
  <c r="G62" i="18"/>
  <c r="G62" i="6" s="1"/>
  <c r="G150" i="18"/>
  <c r="G150" i="6" s="1"/>
  <c r="G106" i="18"/>
  <c r="G106" i="6" s="1"/>
  <c r="G117" i="18"/>
  <c r="G117" i="6" s="1"/>
  <c r="G29" i="18"/>
  <c r="G29" i="6" s="1"/>
  <c r="G164" i="13"/>
  <c r="G139" i="18"/>
  <c r="G139" i="6" s="1"/>
  <c r="G7" i="18"/>
  <c r="G7" i="6" s="1"/>
  <c r="G84" i="18"/>
  <c r="G84" i="6" s="1"/>
  <c r="F152" i="17"/>
  <c r="F130" i="17"/>
  <c r="F141" i="17"/>
  <c r="F86" i="17"/>
  <c r="F119" i="17"/>
  <c r="F42" i="17"/>
  <c r="F9" i="17"/>
  <c r="F108" i="17"/>
  <c r="F31" i="17"/>
  <c r="F97" i="17"/>
  <c r="F64" i="17"/>
  <c r="F75" i="17"/>
  <c r="F20" i="17"/>
  <c r="F53" i="17"/>
  <c r="Q174" i="11"/>
  <c r="F153" i="17"/>
  <c r="F153" i="13" s="1"/>
  <c r="F10" i="17"/>
  <c r="F10" i="13" s="1"/>
  <c r="F76" i="17"/>
  <c r="F76" i="13" s="1"/>
  <c r="F98" i="17"/>
  <c r="F98" i="13" s="1"/>
  <c r="F120" i="17"/>
  <c r="F120" i="13" s="1"/>
  <c r="F21" i="17"/>
  <c r="F21" i="13" s="1"/>
  <c r="F142" i="17"/>
  <c r="F142" i="13" s="1"/>
  <c r="F109" i="17"/>
  <c r="F109" i="13" s="1"/>
  <c r="F131" i="17"/>
  <c r="F131" i="13" s="1"/>
  <c r="F43" i="17"/>
  <c r="F43" i="13" s="1"/>
  <c r="F65" i="17"/>
  <c r="F65" i="13" s="1"/>
  <c r="F32" i="17"/>
  <c r="F32" i="13" s="1"/>
  <c r="F54" i="17"/>
  <c r="F54" i="13" s="1"/>
  <c r="F87" i="17"/>
  <c r="F87" i="13" s="1"/>
  <c r="Q175" i="11"/>
  <c r="Q172" i="9"/>
  <c r="F120" i="18"/>
  <c r="F120" i="6" s="1"/>
  <c r="F131" i="18"/>
  <c r="F131" i="6" s="1"/>
  <c r="F32" i="18"/>
  <c r="F32" i="6" s="1"/>
  <c r="F109" i="18"/>
  <c r="F109" i="6" s="1"/>
  <c r="F10" i="18"/>
  <c r="F10" i="6" s="1"/>
  <c r="F21" i="18"/>
  <c r="F21" i="6" s="1"/>
  <c r="F65" i="18"/>
  <c r="F65" i="6" s="1"/>
  <c r="F142" i="18"/>
  <c r="F142" i="6" s="1"/>
  <c r="F98" i="18"/>
  <c r="F98" i="6" s="1"/>
  <c r="F153" i="18"/>
  <c r="F153" i="6" s="1"/>
  <c r="F54" i="18"/>
  <c r="F54" i="6" s="1"/>
  <c r="F43" i="18"/>
  <c r="F43" i="6" s="1"/>
  <c r="F76" i="18"/>
  <c r="F76" i="6" s="1"/>
  <c r="F87" i="18"/>
  <c r="F87" i="6" s="1"/>
  <c r="Q175" i="9"/>
  <c r="Q173" i="10"/>
  <c r="F20" i="16"/>
  <c r="F108" i="16"/>
  <c r="F119" i="16"/>
  <c r="F9" i="16"/>
  <c r="F64" i="16"/>
  <c r="F53" i="16"/>
  <c r="F42" i="16"/>
  <c r="F97" i="16"/>
  <c r="F86" i="16"/>
  <c r="F31" i="16"/>
  <c r="F152" i="16"/>
  <c r="F141" i="16"/>
  <c r="F130" i="16"/>
  <c r="F75" i="16"/>
  <c r="Q174" i="10"/>
  <c r="F5" i="17"/>
  <c r="F5" i="13" s="1"/>
  <c r="F115" i="17"/>
  <c r="F115" i="13" s="1"/>
  <c r="F82" i="17"/>
  <c r="F82" i="13" s="1"/>
  <c r="F137" i="17"/>
  <c r="F137" i="13" s="1"/>
  <c r="F60" i="17"/>
  <c r="F60" i="13" s="1"/>
  <c r="F38" i="17"/>
  <c r="F38" i="13" s="1"/>
  <c r="F104" i="17"/>
  <c r="F104" i="13" s="1"/>
  <c r="F71" i="17"/>
  <c r="F71" i="13" s="1"/>
  <c r="F126" i="17"/>
  <c r="F27" i="17"/>
  <c r="F27" i="13" s="1"/>
  <c r="F148" i="17"/>
  <c r="F148" i="13" s="1"/>
  <c r="F49" i="17"/>
  <c r="F49" i="13" s="1"/>
  <c r="Q170" i="11"/>
  <c r="Q172" i="11"/>
  <c r="F138" i="17"/>
  <c r="F138" i="13" s="1"/>
  <c r="F50" i="17"/>
  <c r="F50" i="13" s="1"/>
  <c r="F6" i="17"/>
  <c r="F6" i="13" s="1"/>
  <c r="F127" i="17"/>
  <c r="F116" i="17"/>
  <c r="F116" i="13" s="1"/>
  <c r="F72" i="17"/>
  <c r="F72" i="13" s="1"/>
  <c r="F28" i="17"/>
  <c r="F28" i="13" s="1"/>
  <c r="F61" i="17"/>
  <c r="F61" i="13" s="1"/>
  <c r="F83" i="17"/>
  <c r="F83" i="13" s="1"/>
  <c r="F105" i="17"/>
  <c r="F105" i="13" s="1"/>
  <c r="F39" i="17"/>
  <c r="F39" i="13" s="1"/>
  <c r="F149" i="17"/>
  <c r="F149" i="13" s="1"/>
  <c r="Q171" i="11"/>
  <c r="F116" i="18"/>
  <c r="F116" i="6" s="1"/>
  <c r="F83" i="18"/>
  <c r="F83" i="6" s="1"/>
  <c r="F72" i="18"/>
  <c r="F72" i="6" s="1"/>
  <c r="F149" i="18"/>
  <c r="F149" i="6" s="1"/>
  <c r="F127" i="18"/>
  <c r="F39" i="18"/>
  <c r="F39" i="6" s="1"/>
  <c r="F61" i="18"/>
  <c r="F61" i="6" s="1"/>
  <c r="F50" i="18"/>
  <c r="F50" i="6" s="1"/>
  <c r="F28" i="18"/>
  <c r="F28" i="6" s="1"/>
  <c r="F6" i="18"/>
  <c r="F6" i="6" s="1"/>
  <c r="F105" i="18"/>
  <c r="F105" i="6" s="1"/>
  <c r="F138" i="18"/>
  <c r="F138" i="6" s="1"/>
  <c r="Q171" i="9"/>
  <c r="F104" i="18"/>
  <c r="F104" i="6" s="1"/>
  <c r="F126" i="18"/>
  <c r="F27" i="18"/>
  <c r="F27" i="6" s="1"/>
  <c r="F38" i="18"/>
  <c r="F38" i="6" s="1"/>
  <c r="F5" i="18"/>
  <c r="F5" i="6" s="1"/>
  <c r="F137" i="18"/>
  <c r="F137" i="6" s="1"/>
  <c r="F82" i="18"/>
  <c r="F82" i="6" s="1"/>
  <c r="F148" i="18"/>
  <c r="F148" i="6" s="1"/>
  <c r="F115" i="18"/>
  <c r="F115" i="6" s="1"/>
  <c r="F60" i="18"/>
  <c r="F60" i="6" s="1"/>
  <c r="F49" i="18"/>
  <c r="F49" i="6" s="1"/>
  <c r="F71" i="18"/>
  <c r="F71" i="6" s="1"/>
  <c r="Q170" i="9"/>
  <c r="F10" i="16"/>
  <c r="F10" i="12" s="1"/>
  <c r="F43" i="16"/>
  <c r="F43" i="12" s="1"/>
  <c r="F87" i="16"/>
  <c r="F87" i="12" s="1"/>
  <c r="F54" i="16"/>
  <c r="F54" i="12" s="1"/>
  <c r="F109" i="16"/>
  <c r="F109" i="12" s="1"/>
  <c r="F65" i="16"/>
  <c r="F65" i="12" s="1"/>
  <c r="F131" i="16"/>
  <c r="F131" i="12" s="1"/>
  <c r="F142" i="16"/>
  <c r="F142" i="12" s="1"/>
  <c r="F76" i="16"/>
  <c r="F76" i="12" s="1"/>
  <c r="F153" i="16"/>
  <c r="F153" i="12" s="1"/>
  <c r="F32" i="16"/>
  <c r="F32" i="12" s="1"/>
  <c r="F120" i="16"/>
  <c r="F120" i="12" s="1"/>
  <c r="F98" i="16"/>
  <c r="F98" i="12" s="1"/>
  <c r="F21" i="16"/>
  <c r="F21" i="12" s="1"/>
  <c r="Q175" i="10"/>
  <c r="Q176" i="9"/>
  <c r="F44" i="18"/>
  <c r="F44" i="6" s="1"/>
  <c r="F33" i="18"/>
  <c r="F33" i="6" s="1"/>
  <c r="F77" i="18"/>
  <c r="F77" i="6" s="1"/>
  <c r="F88" i="18"/>
  <c r="F88" i="6" s="1"/>
  <c r="F11" i="18"/>
  <c r="F11" i="6" s="1"/>
  <c r="F143" i="18"/>
  <c r="F143" i="6" s="1"/>
  <c r="F110" i="18"/>
  <c r="F110" i="6" s="1"/>
  <c r="F154" i="18"/>
  <c r="F154" i="6" s="1"/>
  <c r="F121" i="18"/>
  <c r="F121" i="6" s="1"/>
  <c r="F55" i="18"/>
  <c r="F55" i="6" s="1"/>
  <c r="F66" i="18"/>
  <c r="F66" i="6" s="1"/>
  <c r="F102" i="17"/>
  <c r="F102" i="13" s="1"/>
  <c r="F146" i="17"/>
  <c r="F146" i="13" s="1"/>
  <c r="F135" i="17"/>
  <c r="F135" i="13" s="1"/>
  <c r="F124" i="17"/>
  <c r="F124" i="13" s="1"/>
  <c r="F36" i="17"/>
  <c r="F36" i="13" s="1"/>
  <c r="F25" i="17"/>
  <c r="F25" i="13" s="1"/>
  <c r="F58" i="17"/>
  <c r="F58" i="13" s="1"/>
  <c r="F91" i="17"/>
  <c r="F91" i="13" s="1"/>
  <c r="F69" i="17"/>
  <c r="F69" i="13" s="1"/>
  <c r="F113" i="17"/>
  <c r="F113" i="13" s="1"/>
  <c r="F14" i="17"/>
  <c r="F14" i="13" s="1"/>
  <c r="F47" i="17"/>
  <c r="F47" i="13" s="1"/>
  <c r="F157" i="17"/>
  <c r="F157" i="13" s="1"/>
  <c r="F80" i="17"/>
  <c r="F80" i="13" s="1"/>
  <c r="Q179" i="11"/>
  <c r="F123" i="17"/>
  <c r="F123" i="13" s="1"/>
  <c r="F156" i="17"/>
  <c r="F156" i="13" s="1"/>
  <c r="F79" i="17"/>
  <c r="F79" i="13" s="1"/>
  <c r="F90" i="17"/>
  <c r="F90" i="13" s="1"/>
  <c r="F35" i="17"/>
  <c r="F35" i="13" s="1"/>
  <c r="F101" i="17"/>
  <c r="F101" i="13" s="1"/>
  <c r="F68" i="17"/>
  <c r="F68" i="13" s="1"/>
  <c r="F13" i="17"/>
  <c r="F13" i="13" s="1"/>
  <c r="F57" i="17"/>
  <c r="F57" i="13" s="1"/>
  <c r="F134" i="17"/>
  <c r="F134" i="13" s="1"/>
  <c r="F145" i="17"/>
  <c r="F145" i="13" s="1"/>
  <c r="F112" i="17"/>
  <c r="F112" i="13" s="1"/>
  <c r="F46" i="17"/>
  <c r="F46" i="13" s="1"/>
  <c r="Q178" i="11"/>
  <c r="F9" i="18"/>
  <c r="F64" i="18"/>
  <c r="F152" i="18"/>
  <c r="F31" i="18"/>
  <c r="F42" i="18"/>
  <c r="F20" i="18"/>
  <c r="F108" i="18"/>
  <c r="F119" i="18"/>
  <c r="F75" i="18"/>
  <c r="F97" i="18"/>
  <c r="F53" i="18"/>
  <c r="F141" i="18"/>
  <c r="F130" i="18"/>
  <c r="F86" i="18"/>
  <c r="Q174" i="9"/>
  <c r="Q173" i="9"/>
  <c r="F137" i="16"/>
  <c r="F137" i="12" s="1"/>
  <c r="F38" i="16"/>
  <c r="F38" i="12" s="1"/>
  <c r="F27" i="16"/>
  <c r="F27" i="12" s="1"/>
  <c r="F115" i="16"/>
  <c r="F115" i="12" s="1"/>
  <c r="F82" i="16"/>
  <c r="F82" i="12" s="1"/>
  <c r="F104" i="16"/>
  <c r="F104" i="12" s="1"/>
  <c r="F49" i="16"/>
  <c r="F49" i="12" s="1"/>
  <c r="F71" i="16"/>
  <c r="F71" i="12" s="1"/>
  <c r="F5" i="16"/>
  <c r="F5" i="12" s="1"/>
  <c r="F148" i="16"/>
  <c r="F148" i="12" s="1"/>
  <c r="F126" i="16"/>
  <c r="F60" i="16"/>
  <c r="F60" i="12" s="1"/>
  <c r="Q170" i="10"/>
  <c r="Q172" i="10"/>
  <c r="Q176" i="11"/>
  <c r="F132" i="17"/>
  <c r="F33" i="17"/>
  <c r="F33" i="13" s="1"/>
  <c r="F143" i="17"/>
  <c r="F143" i="13" s="1"/>
  <c r="F110" i="17"/>
  <c r="F110" i="13" s="1"/>
  <c r="F11" i="17"/>
  <c r="F11" i="13" s="1"/>
  <c r="F121" i="17"/>
  <c r="F121" i="13" s="1"/>
  <c r="F66" i="17"/>
  <c r="F66" i="13" s="1"/>
  <c r="F154" i="17"/>
  <c r="F154" i="13" s="1"/>
  <c r="F77" i="17"/>
  <c r="F77" i="13" s="1"/>
  <c r="F88" i="17"/>
  <c r="F88" i="13" s="1"/>
  <c r="F55" i="17"/>
  <c r="F55" i="13" s="1"/>
  <c r="F44" i="17"/>
  <c r="F44" i="13" s="1"/>
  <c r="Q173" i="11"/>
  <c r="F91" i="18"/>
  <c r="F91" i="6" s="1"/>
  <c r="F135" i="18"/>
  <c r="F135" i="6" s="1"/>
  <c r="F47" i="18"/>
  <c r="F47" i="6" s="1"/>
  <c r="F14" i="18"/>
  <c r="F14" i="6" s="1"/>
  <c r="F80" i="18"/>
  <c r="F80" i="6" s="1"/>
  <c r="F157" i="18"/>
  <c r="F157" i="6" s="1"/>
  <c r="F69" i="18"/>
  <c r="F69" i="6" s="1"/>
  <c r="F124" i="18"/>
  <c r="F124" i="6" s="1"/>
  <c r="F146" i="18"/>
  <c r="F146" i="6" s="1"/>
  <c r="F25" i="18"/>
  <c r="F25" i="6" s="1"/>
  <c r="F102" i="18"/>
  <c r="F102" i="6" s="1"/>
  <c r="F58" i="18"/>
  <c r="F58" i="6" s="1"/>
  <c r="F36" i="18"/>
  <c r="F36" i="6" s="1"/>
  <c r="F113" i="18"/>
  <c r="F113" i="6" s="1"/>
  <c r="Q179" i="9"/>
  <c r="F156" i="18"/>
  <c r="F134" i="18"/>
  <c r="F101" i="18"/>
  <c r="F101" i="6" s="1"/>
  <c r="F68" i="18"/>
  <c r="F68" i="6" s="1"/>
  <c r="F90" i="18"/>
  <c r="F90" i="6" s="1"/>
  <c r="F57" i="18"/>
  <c r="F57" i="6" s="1"/>
  <c r="F112" i="18"/>
  <c r="F112" i="6" s="1"/>
  <c r="F35" i="18"/>
  <c r="F35" i="6" s="1"/>
  <c r="F79" i="18"/>
  <c r="F79" i="6" s="1"/>
  <c r="F123" i="18"/>
  <c r="F123" i="6" s="1"/>
  <c r="F145" i="18"/>
  <c r="F145" i="6" s="1"/>
  <c r="F13" i="18"/>
  <c r="F13" i="6" s="1"/>
  <c r="F46" i="18"/>
  <c r="F46" i="6" s="1"/>
  <c r="Q178" i="9"/>
  <c r="F80" i="16"/>
  <c r="F80" i="12" s="1"/>
  <c r="F146" i="16"/>
  <c r="F146" i="12" s="1"/>
  <c r="F14" i="16"/>
  <c r="F14" i="12" s="1"/>
  <c r="F25" i="16"/>
  <c r="F25" i="12" s="1"/>
  <c r="F113" i="16"/>
  <c r="F113" i="12" s="1"/>
  <c r="F124" i="16"/>
  <c r="F124" i="12" s="1"/>
  <c r="F47" i="16"/>
  <c r="F47" i="12" s="1"/>
  <c r="F69" i="16"/>
  <c r="F69" i="12" s="1"/>
  <c r="F58" i="16"/>
  <c r="F58" i="12" s="1"/>
  <c r="F157" i="16"/>
  <c r="F157" i="12" s="1"/>
  <c r="F102" i="16"/>
  <c r="F102" i="12" s="1"/>
  <c r="F36" i="16"/>
  <c r="F36" i="12" s="1"/>
  <c r="F135" i="16"/>
  <c r="F135" i="12" s="1"/>
  <c r="F91" i="16"/>
  <c r="F91" i="12" s="1"/>
  <c r="Q179" i="10"/>
  <c r="F61" i="16"/>
  <c r="F61" i="12" s="1"/>
  <c r="F28" i="16"/>
  <c r="F28" i="12" s="1"/>
  <c r="F83" i="16"/>
  <c r="F83" i="12" s="1"/>
  <c r="F149" i="16"/>
  <c r="F149" i="12" s="1"/>
  <c r="F6" i="16"/>
  <c r="F6" i="12" s="1"/>
  <c r="F105" i="16"/>
  <c r="F105" i="12" s="1"/>
  <c r="F72" i="16"/>
  <c r="F72" i="12" s="1"/>
  <c r="F138" i="16"/>
  <c r="F138" i="12" s="1"/>
  <c r="F50" i="16"/>
  <c r="F50" i="12" s="1"/>
  <c r="F127" i="16"/>
  <c r="F116" i="16"/>
  <c r="F116" i="12" s="1"/>
  <c r="F39" i="16"/>
  <c r="F39" i="12" s="1"/>
  <c r="Q171" i="10"/>
  <c r="F132" i="16"/>
  <c r="Q176" i="10"/>
  <c r="F143" i="16"/>
  <c r="F143" i="12" s="1"/>
  <c r="F121" i="16"/>
  <c r="F121" i="12" s="1"/>
  <c r="F88" i="16"/>
  <c r="F88" i="12" s="1"/>
  <c r="F44" i="16"/>
  <c r="F44" i="12" s="1"/>
  <c r="F154" i="16"/>
  <c r="F154" i="12" s="1"/>
  <c r="F77" i="16"/>
  <c r="F77" i="12" s="1"/>
  <c r="F55" i="16"/>
  <c r="F55" i="12" s="1"/>
  <c r="F110" i="16"/>
  <c r="F110" i="12" s="1"/>
  <c r="F33" i="16"/>
  <c r="F33" i="12" s="1"/>
  <c r="F11" i="16"/>
  <c r="F11" i="12" s="1"/>
  <c r="F66" i="16"/>
  <c r="F66" i="12" s="1"/>
  <c r="D162" i="17"/>
  <c r="D168" i="17"/>
  <c r="D163" i="17"/>
  <c r="D167" i="17"/>
  <c r="D161" i="17"/>
  <c r="D159" i="17"/>
  <c r="D164" i="17"/>
  <c r="D160" i="17"/>
  <c r="O178" i="10"/>
  <c r="E165" i="17"/>
  <c r="E165" i="18"/>
  <c r="E165" i="16"/>
  <c r="E168" i="16"/>
  <c r="E159" i="16"/>
  <c r="E161" i="16"/>
  <c r="E164" i="16"/>
  <c r="E162" i="16"/>
  <c r="E160" i="16"/>
  <c r="E163" i="16"/>
  <c r="E162" i="18"/>
  <c r="E161" i="18"/>
  <c r="E164" i="18"/>
  <c r="E168" i="18"/>
  <c r="E167" i="18"/>
  <c r="E160" i="18"/>
  <c r="E163" i="18"/>
  <c r="E159" i="18"/>
  <c r="E163" i="17"/>
  <c r="E168" i="17"/>
  <c r="E159" i="17"/>
  <c r="E160" i="17"/>
  <c r="E167" i="17"/>
  <c r="E161" i="17"/>
  <c r="E162" i="17"/>
  <c r="E164" i="17"/>
  <c r="P178" i="10"/>
  <c r="D165" i="17"/>
  <c r="D165" i="16"/>
  <c r="D165" i="18"/>
  <c r="D159" i="16"/>
  <c r="D164" i="16"/>
  <c r="O175" i="10" s="1"/>
  <c r="D163" i="16"/>
  <c r="O174" i="10" s="1"/>
  <c r="D160" i="16"/>
  <c r="D168" i="16"/>
  <c r="O179" i="10" s="1"/>
  <c r="D161" i="16"/>
  <c r="O172" i="10" s="1"/>
  <c r="D162" i="16"/>
  <c r="O173" i="10" s="1"/>
  <c r="D167" i="18"/>
  <c r="O178" i="9" s="1"/>
  <c r="D163" i="18"/>
  <c r="O174" i="9" s="1"/>
  <c r="D161" i="18"/>
  <c r="O172" i="9" s="1"/>
  <c r="D164" i="18"/>
  <c r="O175" i="9" s="1"/>
  <c r="D168" i="18"/>
  <c r="O179" i="9" s="1"/>
  <c r="D162" i="18"/>
  <c r="O173" i="9" s="1"/>
  <c r="D160" i="18"/>
  <c r="O171" i="9" s="1"/>
  <c r="D159" i="18"/>
  <c r="O170" i="9" s="1"/>
  <c r="C158" i="7"/>
  <c r="F128" i="18" l="1"/>
  <c r="F128" i="6" s="1"/>
  <c r="G31" i="13"/>
  <c r="G152" i="13"/>
  <c r="G119" i="13"/>
  <c r="G53" i="13"/>
  <c r="G141" i="13"/>
  <c r="G64" i="6"/>
  <c r="G59" i="6" s="1"/>
  <c r="G75" i="13"/>
  <c r="F151" i="17"/>
  <c r="F151" i="13" s="1"/>
  <c r="G86" i="13"/>
  <c r="G42" i="13"/>
  <c r="G9" i="12"/>
  <c r="F8" i="17"/>
  <c r="F8" i="13" s="1"/>
  <c r="F129" i="17"/>
  <c r="F140" i="18"/>
  <c r="F140" i="6" s="1"/>
  <c r="G64" i="13"/>
  <c r="F63" i="17"/>
  <c r="F63" i="13" s="1"/>
  <c r="F30" i="17"/>
  <c r="F30" i="13" s="1"/>
  <c r="F85" i="17"/>
  <c r="F85" i="13" s="1"/>
  <c r="G9" i="6"/>
  <c r="G4" i="6" s="1"/>
  <c r="G42" i="6"/>
  <c r="G37" i="6" s="1"/>
  <c r="G127" i="13"/>
  <c r="G86" i="6"/>
  <c r="G81" i="6" s="1"/>
  <c r="G119" i="6"/>
  <c r="G114" i="6" s="1"/>
  <c r="G75" i="12"/>
  <c r="F41" i="18"/>
  <c r="F41" i="6" s="1"/>
  <c r="G129" i="13"/>
  <c r="G42" i="12"/>
  <c r="F118" i="17"/>
  <c r="F118" i="13" s="1"/>
  <c r="F129" i="18"/>
  <c r="G141" i="6"/>
  <c r="G136" i="6" s="1"/>
  <c r="G86" i="12"/>
  <c r="G132" i="12"/>
  <c r="F41" i="17"/>
  <c r="F41" i="13" s="1"/>
  <c r="G31" i="6"/>
  <c r="G26" i="6" s="1"/>
  <c r="F30" i="18"/>
  <c r="F30" i="6" s="1"/>
  <c r="G126" i="6"/>
  <c r="G108" i="13"/>
  <c r="F140" i="17"/>
  <c r="F140" i="13" s="1"/>
  <c r="G75" i="6"/>
  <c r="G70" i="6" s="1"/>
  <c r="G129" i="6"/>
  <c r="G108" i="12"/>
  <c r="F107" i="18"/>
  <c r="F107" i="6" s="1"/>
  <c r="F118" i="18"/>
  <c r="F118" i="6" s="1"/>
  <c r="F128" i="17"/>
  <c r="G119" i="12"/>
  <c r="F74" i="17"/>
  <c r="F74" i="13" s="1"/>
  <c r="F8" i="18"/>
  <c r="F8" i="6" s="1"/>
  <c r="F151" i="18"/>
  <c r="F151" i="6" s="1"/>
  <c r="F74" i="18"/>
  <c r="F74" i="6" s="1"/>
  <c r="G152" i="6"/>
  <c r="G147" i="6" s="1"/>
  <c r="F52" i="17"/>
  <c r="F52" i="13" s="1"/>
  <c r="F107" i="17"/>
  <c r="F107" i="13" s="1"/>
  <c r="F63" i="18"/>
  <c r="F63" i="6" s="1"/>
  <c r="F52" i="18"/>
  <c r="F85" i="18"/>
  <c r="F85" i="6" s="1"/>
  <c r="G128" i="6"/>
  <c r="G133" i="6"/>
  <c r="G132" i="6"/>
  <c r="G152" i="12"/>
  <c r="G127" i="6"/>
  <c r="G128" i="13"/>
  <c r="G133" i="13"/>
  <c r="G127" i="12"/>
  <c r="G128" i="12"/>
  <c r="G133" i="12"/>
  <c r="G52" i="6"/>
  <c r="G53" i="6" s="1"/>
  <c r="G64" i="12"/>
  <c r="G9" i="13"/>
  <c r="G141" i="12"/>
  <c r="G126" i="13"/>
  <c r="G129" i="12"/>
  <c r="G52" i="12"/>
  <c r="G108" i="6"/>
  <c r="G103" i="6" s="1"/>
  <c r="G31" i="12"/>
  <c r="G126" i="12"/>
  <c r="G132" i="13"/>
  <c r="F134" i="6"/>
  <c r="F156" i="6"/>
  <c r="F168" i="6"/>
  <c r="F150" i="16"/>
  <c r="F150" i="12" s="1"/>
  <c r="F7" i="16"/>
  <c r="F7" i="12" s="1"/>
  <c r="F84" i="16"/>
  <c r="F84" i="12" s="1"/>
  <c r="F84" i="17"/>
  <c r="F84" i="13" s="1"/>
  <c r="F73" i="17"/>
  <c r="F73" i="13" s="1"/>
  <c r="F139" i="17"/>
  <c r="F139" i="13" s="1"/>
  <c r="F85" i="16"/>
  <c r="F85" i="12" s="1"/>
  <c r="F151" i="16"/>
  <c r="F151" i="12" s="1"/>
  <c r="F118" i="16"/>
  <c r="F118" i="12" s="1"/>
  <c r="F29" i="18"/>
  <c r="F29" i="6" s="1"/>
  <c r="F84" i="18"/>
  <c r="F84" i="6" s="1"/>
  <c r="F40" i="16"/>
  <c r="F40" i="12" s="1"/>
  <c r="F51" i="16"/>
  <c r="F51" i="12" s="1"/>
  <c r="F128" i="16"/>
  <c r="F164" i="12"/>
  <c r="F117" i="17"/>
  <c r="F117" i="13" s="1"/>
  <c r="F150" i="17"/>
  <c r="F150" i="13" s="1"/>
  <c r="F7" i="17"/>
  <c r="F7" i="13" s="1"/>
  <c r="F63" i="16"/>
  <c r="F63" i="12" s="1"/>
  <c r="F140" i="16"/>
  <c r="F140" i="12" s="1"/>
  <c r="F41" i="16"/>
  <c r="F41" i="12" s="1"/>
  <c r="F139" i="18"/>
  <c r="F139" i="6" s="1"/>
  <c r="F73" i="18"/>
  <c r="F73" i="6" s="1"/>
  <c r="F117" i="18"/>
  <c r="F117" i="6" s="1"/>
  <c r="F106" i="16"/>
  <c r="F106" i="12" s="1"/>
  <c r="F73" i="16"/>
  <c r="F73" i="12" s="1"/>
  <c r="F117" i="16"/>
  <c r="F117" i="12" s="1"/>
  <c r="F168" i="13"/>
  <c r="F51" i="17"/>
  <c r="F51" i="13" s="1"/>
  <c r="F29" i="17"/>
  <c r="F29" i="13" s="1"/>
  <c r="F62" i="17"/>
  <c r="F62" i="13" s="1"/>
  <c r="F30" i="16"/>
  <c r="F30" i="12" s="1"/>
  <c r="F107" i="16"/>
  <c r="F107" i="12" s="1"/>
  <c r="F74" i="16"/>
  <c r="F74" i="12" s="1"/>
  <c r="F164" i="6"/>
  <c r="F51" i="18"/>
  <c r="F51" i="6" s="1"/>
  <c r="F150" i="18"/>
  <c r="F150" i="6" s="1"/>
  <c r="F62" i="18"/>
  <c r="F62" i="6" s="1"/>
  <c r="F168" i="12"/>
  <c r="F139" i="16"/>
  <c r="F139" i="12" s="1"/>
  <c r="F29" i="16"/>
  <c r="F29" i="12" s="1"/>
  <c r="F62" i="16"/>
  <c r="F62" i="12" s="1"/>
  <c r="F40" i="17"/>
  <c r="F40" i="13" s="1"/>
  <c r="F106" i="17"/>
  <c r="F106" i="13" s="1"/>
  <c r="F8" i="16"/>
  <c r="F8" i="12" s="1"/>
  <c r="F129" i="16"/>
  <c r="F52" i="16"/>
  <c r="F7" i="18"/>
  <c r="F7" i="6" s="1"/>
  <c r="F40" i="18"/>
  <c r="F40" i="6" s="1"/>
  <c r="F106" i="18"/>
  <c r="F106" i="6" s="1"/>
  <c r="F164" i="13"/>
  <c r="E131" i="17"/>
  <c r="E131" i="13" s="1"/>
  <c r="E153" i="17"/>
  <c r="E153" i="13" s="1"/>
  <c r="E32" i="17"/>
  <c r="E32" i="13" s="1"/>
  <c r="E142" i="17"/>
  <c r="E142" i="13" s="1"/>
  <c r="E21" i="17"/>
  <c r="E21" i="13" s="1"/>
  <c r="E120" i="17"/>
  <c r="E120" i="13" s="1"/>
  <c r="E109" i="17"/>
  <c r="E109" i="13" s="1"/>
  <c r="E43" i="17"/>
  <c r="E43" i="13" s="1"/>
  <c r="E54" i="17"/>
  <c r="E54" i="13" s="1"/>
  <c r="E10" i="17"/>
  <c r="E10" i="13" s="1"/>
  <c r="E76" i="17"/>
  <c r="E76" i="13" s="1"/>
  <c r="E65" i="17"/>
  <c r="E65" i="13" s="1"/>
  <c r="E98" i="17"/>
  <c r="E98" i="13" s="1"/>
  <c r="E87" i="17"/>
  <c r="E87" i="13" s="1"/>
  <c r="P175" i="11"/>
  <c r="E72" i="17"/>
  <c r="E72" i="13" s="1"/>
  <c r="E105" i="17"/>
  <c r="E105" i="13" s="1"/>
  <c r="E50" i="17"/>
  <c r="E50" i="13" s="1"/>
  <c r="E28" i="17"/>
  <c r="E28" i="13" s="1"/>
  <c r="E149" i="17"/>
  <c r="E149" i="13" s="1"/>
  <c r="E39" i="17"/>
  <c r="E39" i="13" s="1"/>
  <c r="E83" i="17"/>
  <c r="E83" i="13" s="1"/>
  <c r="E6" i="17"/>
  <c r="E6" i="13" s="1"/>
  <c r="E127" i="17"/>
  <c r="E116" i="17"/>
  <c r="E116" i="13" s="1"/>
  <c r="E61" i="17"/>
  <c r="E61" i="13" s="1"/>
  <c r="E138" i="17"/>
  <c r="E138" i="13" s="1"/>
  <c r="P171" i="11"/>
  <c r="E137" i="18"/>
  <c r="E38" i="18"/>
  <c r="E38" i="6" s="1"/>
  <c r="E148" i="18"/>
  <c r="E148" i="6" s="1"/>
  <c r="E104" i="18"/>
  <c r="E104" i="6" s="1"/>
  <c r="E126" i="18"/>
  <c r="E115" i="18"/>
  <c r="E115" i="6" s="1"/>
  <c r="E27" i="18"/>
  <c r="E27" i="6" s="1"/>
  <c r="E71" i="18"/>
  <c r="E71" i="6" s="1"/>
  <c r="E49" i="18"/>
  <c r="E49" i="6" s="1"/>
  <c r="E82" i="18"/>
  <c r="E82" i="6" s="1"/>
  <c r="E5" i="18"/>
  <c r="E5" i="6" s="1"/>
  <c r="E60" i="18"/>
  <c r="E60" i="6" s="1"/>
  <c r="P170" i="9"/>
  <c r="E124" i="18"/>
  <c r="E124" i="6" s="1"/>
  <c r="E80" i="18"/>
  <c r="E80" i="6" s="1"/>
  <c r="E91" i="18"/>
  <c r="E91" i="6" s="1"/>
  <c r="E113" i="18"/>
  <c r="E113" i="6" s="1"/>
  <c r="E146" i="18"/>
  <c r="E146" i="6" s="1"/>
  <c r="E25" i="18"/>
  <c r="E25" i="6" s="1"/>
  <c r="E102" i="18"/>
  <c r="E102" i="6" s="1"/>
  <c r="E36" i="18"/>
  <c r="E36" i="6" s="1"/>
  <c r="E47" i="18"/>
  <c r="E47" i="6" s="1"/>
  <c r="E135" i="18"/>
  <c r="E135" i="6" s="1"/>
  <c r="E69" i="18"/>
  <c r="E69" i="6" s="1"/>
  <c r="E157" i="18"/>
  <c r="E157" i="6" s="1"/>
  <c r="E14" i="18"/>
  <c r="E14" i="6" s="1"/>
  <c r="E58" i="18"/>
  <c r="E58" i="6" s="1"/>
  <c r="P179" i="9"/>
  <c r="E108" i="16"/>
  <c r="E9" i="16"/>
  <c r="E141" i="16"/>
  <c r="E42" i="16"/>
  <c r="E31" i="16"/>
  <c r="E53" i="16"/>
  <c r="E130" i="16"/>
  <c r="E152" i="16"/>
  <c r="E75" i="16"/>
  <c r="E97" i="16"/>
  <c r="E64" i="16"/>
  <c r="E20" i="16"/>
  <c r="E86" i="16"/>
  <c r="E119" i="16"/>
  <c r="P174" i="10"/>
  <c r="P172" i="10"/>
  <c r="P176" i="9"/>
  <c r="E88" i="18"/>
  <c r="E88" i="6" s="1"/>
  <c r="E44" i="18"/>
  <c r="E44" i="6" s="1"/>
  <c r="E77" i="18"/>
  <c r="E77" i="6" s="1"/>
  <c r="E66" i="18"/>
  <c r="E66" i="6" s="1"/>
  <c r="E154" i="18"/>
  <c r="E154" i="6" s="1"/>
  <c r="E33" i="18"/>
  <c r="E33" i="6" s="1"/>
  <c r="E110" i="18"/>
  <c r="E110" i="6" s="1"/>
  <c r="E55" i="18"/>
  <c r="E55" i="6" s="1"/>
  <c r="E121" i="18"/>
  <c r="E121" i="6" s="1"/>
  <c r="E11" i="18"/>
  <c r="E11" i="6" s="1"/>
  <c r="E143" i="18"/>
  <c r="E143" i="6" s="1"/>
  <c r="O171" i="11"/>
  <c r="D39" i="17"/>
  <c r="D39" i="13" s="1"/>
  <c r="D28" i="17"/>
  <c r="D28" i="13" s="1"/>
  <c r="D6" i="17"/>
  <c r="D6" i="13" s="1"/>
  <c r="D149" i="17"/>
  <c r="D149" i="13" s="1"/>
  <c r="D50" i="17"/>
  <c r="D50" i="13" s="1"/>
  <c r="D61" i="17"/>
  <c r="D61" i="13" s="1"/>
  <c r="D127" i="17"/>
  <c r="D72" i="17"/>
  <c r="D72" i="13" s="1"/>
  <c r="D116" i="17"/>
  <c r="D116" i="13" s="1"/>
  <c r="D105" i="17"/>
  <c r="D105" i="13" s="1"/>
  <c r="D138" i="17"/>
  <c r="D138" i="13" s="1"/>
  <c r="D83" i="17"/>
  <c r="D83" i="13" s="1"/>
  <c r="O178" i="11"/>
  <c r="D101" i="17"/>
  <c r="D101" i="13" s="1"/>
  <c r="D46" i="17"/>
  <c r="D46" i="13" s="1"/>
  <c r="D13" i="17"/>
  <c r="D13" i="13" s="1"/>
  <c r="D68" i="17"/>
  <c r="D68" i="13" s="1"/>
  <c r="D90" i="17"/>
  <c r="D90" i="13" s="1"/>
  <c r="D134" i="17"/>
  <c r="D134" i="13" s="1"/>
  <c r="D35" i="17"/>
  <c r="D35" i="13" s="1"/>
  <c r="D57" i="17"/>
  <c r="D57" i="13" s="1"/>
  <c r="D112" i="17"/>
  <c r="D112" i="13" s="1"/>
  <c r="D79" i="17"/>
  <c r="D79" i="13" s="1"/>
  <c r="D156" i="17"/>
  <c r="D156" i="13" s="1"/>
  <c r="D145" i="17"/>
  <c r="D145" i="13" s="1"/>
  <c r="D123" i="17"/>
  <c r="D123" i="13" s="1"/>
  <c r="P173" i="11"/>
  <c r="E137" i="17"/>
  <c r="E137" i="13" s="1"/>
  <c r="E126" i="17"/>
  <c r="E71" i="17"/>
  <c r="E71" i="13" s="1"/>
  <c r="E148" i="17"/>
  <c r="E148" i="13" s="1"/>
  <c r="E104" i="17"/>
  <c r="E104" i="13" s="1"/>
  <c r="E49" i="17"/>
  <c r="E49" i="13" s="1"/>
  <c r="E27" i="17"/>
  <c r="E27" i="13" s="1"/>
  <c r="E5" i="17"/>
  <c r="E5" i="13" s="1"/>
  <c r="E38" i="17"/>
  <c r="E38" i="13" s="1"/>
  <c r="E115" i="17"/>
  <c r="E115" i="13" s="1"/>
  <c r="E60" i="17"/>
  <c r="E60" i="13" s="1"/>
  <c r="E82" i="17"/>
  <c r="E82" i="13" s="1"/>
  <c r="P170" i="11"/>
  <c r="E86" i="18"/>
  <c r="E64" i="18"/>
  <c r="E141" i="18"/>
  <c r="E20" i="18"/>
  <c r="E9" i="18"/>
  <c r="E75" i="18"/>
  <c r="E42" i="18"/>
  <c r="E119" i="18"/>
  <c r="E31" i="18"/>
  <c r="E53" i="18"/>
  <c r="E130" i="18"/>
  <c r="E97" i="18"/>
  <c r="E152" i="18"/>
  <c r="E108" i="18"/>
  <c r="P174" i="9"/>
  <c r="E153" i="18"/>
  <c r="E153" i="6" s="1"/>
  <c r="E109" i="18"/>
  <c r="E109" i="6" s="1"/>
  <c r="E131" i="18"/>
  <c r="E131" i="6" s="1"/>
  <c r="E98" i="18"/>
  <c r="E98" i="6" s="1"/>
  <c r="E43" i="18"/>
  <c r="E43" i="6" s="1"/>
  <c r="E32" i="18"/>
  <c r="E32" i="6" s="1"/>
  <c r="E87" i="18"/>
  <c r="E87" i="6" s="1"/>
  <c r="E54" i="18"/>
  <c r="E54" i="6" s="1"/>
  <c r="E10" i="18"/>
  <c r="E10" i="6" s="1"/>
  <c r="E76" i="18"/>
  <c r="E76" i="6" s="1"/>
  <c r="E120" i="18"/>
  <c r="E120" i="6" s="1"/>
  <c r="E142" i="18"/>
  <c r="E142" i="6" s="1"/>
  <c r="E65" i="18"/>
  <c r="E65" i="6" s="1"/>
  <c r="E21" i="18"/>
  <c r="E21" i="6" s="1"/>
  <c r="P175" i="9"/>
  <c r="E6" i="16"/>
  <c r="E6" i="12" s="1"/>
  <c r="E116" i="16"/>
  <c r="E116" i="12" s="1"/>
  <c r="E105" i="16"/>
  <c r="E105" i="12" s="1"/>
  <c r="E72" i="16"/>
  <c r="E72" i="12" s="1"/>
  <c r="E83" i="16"/>
  <c r="E83" i="12" s="1"/>
  <c r="E127" i="16"/>
  <c r="E50" i="16"/>
  <c r="E50" i="12" s="1"/>
  <c r="E28" i="16"/>
  <c r="E28" i="12" s="1"/>
  <c r="E138" i="16"/>
  <c r="E138" i="12" s="1"/>
  <c r="E61" i="16"/>
  <c r="E61" i="12" s="1"/>
  <c r="E39" i="16"/>
  <c r="E39" i="12" s="1"/>
  <c r="E149" i="16"/>
  <c r="E149" i="12" s="1"/>
  <c r="P171" i="10"/>
  <c r="E115" i="16"/>
  <c r="E115" i="12" s="1"/>
  <c r="E82" i="16"/>
  <c r="E82" i="12" s="1"/>
  <c r="E27" i="16"/>
  <c r="E27" i="12" s="1"/>
  <c r="E38" i="16"/>
  <c r="E38" i="12" s="1"/>
  <c r="E60" i="16"/>
  <c r="E60" i="12" s="1"/>
  <c r="E148" i="16"/>
  <c r="E148" i="12" s="1"/>
  <c r="E137" i="16"/>
  <c r="E137" i="12" s="1"/>
  <c r="E71" i="16"/>
  <c r="E71" i="12" s="1"/>
  <c r="E49" i="16"/>
  <c r="E49" i="12" s="1"/>
  <c r="E126" i="16"/>
  <c r="E104" i="16"/>
  <c r="E104" i="12" s="1"/>
  <c r="E5" i="16"/>
  <c r="E5" i="12" s="1"/>
  <c r="P170" i="10"/>
  <c r="P176" i="11"/>
  <c r="E132" i="17"/>
  <c r="E143" i="17"/>
  <c r="E143" i="13" s="1"/>
  <c r="E154" i="17"/>
  <c r="E154" i="13" s="1"/>
  <c r="E110" i="17"/>
  <c r="E110" i="13" s="1"/>
  <c r="E88" i="17"/>
  <c r="E88" i="13" s="1"/>
  <c r="E121" i="17"/>
  <c r="E121" i="13" s="1"/>
  <c r="E66" i="17"/>
  <c r="E66" i="13" s="1"/>
  <c r="E77" i="17"/>
  <c r="E77" i="13" s="1"/>
  <c r="E11" i="17"/>
  <c r="E11" i="13" s="1"/>
  <c r="E55" i="17"/>
  <c r="E55" i="13" s="1"/>
  <c r="E33" i="17"/>
  <c r="E33" i="13" s="1"/>
  <c r="E44" i="17"/>
  <c r="E44" i="13" s="1"/>
  <c r="O175" i="11"/>
  <c r="D32" i="17"/>
  <c r="D32" i="13" s="1"/>
  <c r="D43" i="17"/>
  <c r="D43" i="13" s="1"/>
  <c r="D98" i="17"/>
  <c r="D98" i="13" s="1"/>
  <c r="D10" i="17"/>
  <c r="D10" i="13" s="1"/>
  <c r="D109" i="17"/>
  <c r="D109" i="13" s="1"/>
  <c r="D54" i="17"/>
  <c r="D54" i="13" s="1"/>
  <c r="D153" i="17"/>
  <c r="D153" i="13" s="1"/>
  <c r="D120" i="17"/>
  <c r="D120" i="13" s="1"/>
  <c r="D21" i="17"/>
  <c r="D21" i="13" s="1"/>
  <c r="D65" i="17"/>
  <c r="D65" i="13" s="1"/>
  <c r="D131" i="17"/>
  <c r="D131" i="13" s="1"/>
  <c r="D87" i="17"/>
  <c r="D87" i="13" s="1"/>
  <c r="D76" i="17"/>
  <c r="D76" i="13" s="1"/>
  <c r="D142" i="17"/>
  <c r="D142" i="13" s="1"/>
  <c r="O174" i="11"/>
  <c r="D130" i="17"/>
  <c r="D9" i="17"/>
  <c r="D86" i="17"/>
  <c r="D53" i="17"/>
  <c r="D20" i="17"/>
  <c r="D42" i="17"/>
  <c r="D152" i="17"/>
  <c r="D75" i="17"/>
  <c r="D119" i="17"/>
  <c r="D64" i="17"/>
  <c r="D31" i="17"/>
  <c r="D141" i="17"/>
  <c r="D108" i="17"/>
  <c r="D97" i="17"/>
  <c r="D11" i="16"/>
  <c r="D11" i="12" s="1"/>
  <c r="D77" i="16"/>
  <c r="D77" i="12" s="1"/>
  <c r="D33" i="16"/>
  <c r="D33" i="12" s="1"/>
  <c r="D154" i="16"/>
  <c r="D154" i="12" s="1"/>
  <c r="D110" i="16"/>
  <c r="D110" i="12" s="1"/>
  <c r="D143" i="16"/>
  <c r="D143" i="12" s="1"/>
  <c r="D66" i="16"/>
  <c r="D66" i="12" s="1"/>
  <c r="D44" i="16"/>
  <c r="D44" i="12" s="1"/>
  <c r="D121" i="16"/>
  <c r="D121" i="12" s="1"/>
  <c r="D55" i="16"/>
  <c r="D55" i="12" s="1"/>
  <c r="D88" i="16"/>
  <c r="D88" i="12" s="1"/>
  <c r="P172" i="11"/>
  <c r="E102" i="17"/>
  <c r="E102" i="13" s="1"/>
  <c r="E157" i="17"/>
  <c r="E157" i="13" s="1"/>
  <c r="E47" i="17"/>
  <c r="E47" i="13" s="1"/>
  <c r="E14" i="17"/>
  <c r="E14" i="13" s="1"/>
  <c r="E25" i="17"/>
  <c r="E25" i="13" s="1"/>
  <c r="E146" i="17"/>
  <c r="E146" i="13" s="1"/>
  <c r="E91" i="17"/>
  <c r="E91" i="13" s="1"/>
  <c r="E69" i="17"/>
  <c r="E69" i="13" s="1"/>
  <c r="E58" i="17"/>
  <c r="E58" i="13" s="1"/>
  <c r="E135" i="17"/>
  <c r="E135" i="13" s="1"/>
  <c r="E80" i="17"/>
  <c r="E80" i="13" s="1"/>
  <c r="E124" i="17"/>
  <c r="E124" i="13" s="1"/>
  <c r="E113" i="17"/>
  <c r="E113" i="13" s="1"/>
  <c r="E36" i="17"/>
  <c r="E36" i="13" s="1"/>
  <c r="P179" i="11"/>
  <c r="E127" i="18"/>
  <c r="E105" i="18"/>
  <c r="E105" i="6" s="1"/>
  <c r="E39" i="18"/>
  <c r="E39" i="6" s="1"/>
  <c r="E83" i="18"/>
  <c r="E83" i="6" s="1"/>
  <c r="E149" i="18"/>
  <c r="E149" i="6" s="1"/>
  <c r="E28" i="18"/>
  <c r="E28" i="6" s="1"/>
  <c r="E72" i="18"/>
  <c r="E72" i="6" s="1"/>
  <c r="E138" i="18"/>
  <c r="E138" i="6" s="1"/>
  <c r="E61" i="18"/>
  <c r="E61" i="6" s="1"/>
  <c r="E116" i="18"/>
  <c r="E116" i="6" s="1"/>
  <c r="E6" i="18"/>
  <c r="E6" i="6" s="1"/>
  <c r="E50" i="18"/>
  <c r="E50" i="6" s="1"/>
  <c r="P171" i="9"/>
  <c r="P172" i="9"/>
  <c r="P173" i="10"/>
  <c r="E135" i="16"/>
  <c r="E135" i="12" s="1"/>
  <c r="E124" i="16"/>
  <c r="E124" i="12" s="1"/>
  <c r="E113" i="16"/>
  <c r="E113" i="12" s="1"/>
  <c r="E58" i="16"/>
  <c r="E58" i="12" s="1"/>
  <c r="E157" i="16"/>
  <c r="E157" i="12" s="1"/>
  <c r="E36" i="16"/>
  <c r="E36" i="12" s="1"/>
  <c r="E47" i="16"/>
  <c r="E47" i="12" s="1"/>
  <c r="E25" i="16"/>
  <c r="E25" i="12" s="1"/>
  <c r="E91" i="16"/>
  <c r="E91" i="12" s="1"/>
  <c r="E69" i="16"/>
  <c r="E69" i="12" s="1"/>
  <c r="E80" i="16"/>
  <c r="E80" i="12" s="1"/>
  <c r="E146" i="16"/>
  <c r="E146" i="12" s="1"/>
  <c r="E102" i="16"/>
  <c r="E102" i="12" s="1"/>
  <c r="E14" i="16"/>
  <c r="E14" i="12" s="1"/>
  <c r="P179" i="10"/>
  <c r="O170" i="11"/>
  <c r="D60" i="17"/>
  <c r="D60" i="13" s="1"/>
  <c r="D115" i="17"/>
  <c r="D115" i="13" s="1"/>
  <c r="D38" i="17"/>
  <c r="D38" i="13" s="1"/>
  <c r="D137" i="17"/>
  <c r="D137" i="13" s="1"/>
  <c r="D71" i="17"/>
  <c r="D71" i="13" s="1"/>
  <c r="D27" i="17"/>
  <c r="D27" i="13" s="1"/>
  <c r="D49" i="17"/>
  <c r="D49" i="13" s="1"/>
  <c r="D82" i="17"/>
  <c r="D82" i="13" s="1"/>
  <c r="D5" i="17"/>
  <c r="D5" i="13" s="1"/>
  <c r="D126" i="17"/>
  <c r="D148" i="17"/>
  <c r="D148" i="13" s="1"/>
  <c r="D104" i="17"/>
  <c r="D104" i="13" s="1"/>
  <c r="O179" i="11"/>
  <c r="D146" i="17"/>
  <c r="D146" i="13" s="1"/>
  <c r="D14" i="17"/>
  <c r="D14" i="13" s="1"/>
  <c r="D69" i="17"/>
  <c r="D69" i="13" s="1"/>
  <c r="D135" i="17"/>
  <c r="D135" i="13" s="1"/>
  <c r="D47" i="17"/>
  <c r="D47" i="13" s="1"/>
  <c r="D80" i="17"/>
  <c r="D80" i="13" s="1"/>
  <c r="D157" i="17"/>
  <c r="D157" i="13" s="1"/>
  <c r="D91" i="17"/>
  <c r="D91" i="13" s="1"/>
  <c r="D124" i="17"/>
  <c r="D124" i="13" s="1"/>
  <c r="D102" i="17"/>
  <c r="D102" i="13" s="1"/>
  <c r="D113" i="17"/>
  <c r="D113" i="13" s="1"/>
  <c r="D58" i="17"/>
  <c r="D58" i="13" s="1"/>
  <c r="D36" i="17"/>
  <c r="D36" i="13" s="1"/>
  <c r="D25" i="17"/>
  <c r="D25" i="13" s="1"/>
  <c r="D88" i="17"/>
  <c r="D88" i="13" s="1"/>
  <c r="D143" i="17"/>
  <c r="D143" i="13" s="1"/>
  <c r="D66" i="17"/>
  <c r="D66" i="13" s="1"/>
  <c r="D77" i="17"/>
  <c r="D77" i="13" s="1"/>
  <c r="D110" i="17"/>
  <c r="D110" i="13" s="1"/>
  <c r="D11" i="17"/>
  <c r="D11" i="13" s="1"/>
  <c r="D121" i="17"/>
  <c r="D121" i="13" s="1"/>
  <c r="D33" i="17"/>
  <c r="D33" i="13" s="1"/>
  <c r="D44" i="17"/>
  <c r="D44" i="13" s="1"/>
  <c r="D154" i="17"/>
  <c r="D154" i="13" s="1"/>
  <c r="D55" i="17"/>
  <c r="D55" i="13" s="1"/>
  <c r="E57" i="17"/>
  <c r="E57" i="13" s="1"/>
  <c r="E134" i="17"/>
  <c r="E134" i="13" s="1"/>
  <c r="E35" i="17"/>
  <c r="E35" i="13" s="1"/>
  <c r="E13" i="17"/>
  <c r="E13" i="13" s="1"/>
  <c r="E123" i="17"/>
  <c r="E123" i="13" s="1"/>
  <c r="E112" i="17"/>
  <c r="E112" i="13" s="1"/>
  <c r="E79" i="17"/>
  <c r="E79" i="13" s="1"/>
  <c r="E68" i="17"/>
  <c r="E68" i="13" s="1"/>
  <c r="E156" i="17"/>
  <c r="E156" i="13" s="1"/>
  <c r="E46" i="17"/>
  <c r="E46" i="13" s="1"/>
  <c r="E145" i="17"/>
  <c r="E145" i="13" s="1"/>
  <c r="E101" i="17"/>
  <c r="E101" i="13" s="1"/>
  <c r="E90" i="17"/>
  <c r="E90" i="13" s="1"/>
  <c r="P178" i="11"/>
  <c r="E152" i="17"/>
  <c r="E9" i="17"/>
  <c r="E130" i="17"/>
  <c r="E42" i="17"/>
  <c r="E20" i="17"/>
  <c r="E119" i="17"/>
  <c r="E64" i="17"/>
  <c r="E141" i="17"/>
  <c r="E108" i="17"/>
  <c r="E75" i="17"/>
  <c r="E53" i="17"/>
  <c r="E31" i="17"/>
  <c r="E97" i="17"/>
  <c r="E86" i="17"/>
  <c r="P174" i="11"/>
  <c r="E134" i="18"/>
  <c r="E145" i="18"/>
  <c r="E145" i="6" s="1"/>
  <c r="E46" i="18"/>
  <c r="E46" i="6" s="1"/>
  <c r="E13" i="18"/>
  <c r="E13" i="6" s="1"/>
  <c r="E79" i="18"/>
  <c r="E79" i="6" s="1"/>
  <c r="E101" i="18"/>
  <c r="E101" i="6" s="1"/>
  <c r="E123" i="18"/>
  <c r="E123" i="6" s="1"/>
  <c r="E57" i="18"/>
  <c r="E57" i="6" s="1"/>
  <c r="E90" i="18"/>
  <c r="E90" i="6" s="1"/>
  <c r="E35" i="18"/>
  <c r="E35" i="6" s="1"/>
  <c r="E156" i="18"/>
  <c r="E68" i="18"/>
  <c r="E68" i="6" s="1"/>
  <c r="E112" i="18"/>
  <c r="E112" i="6" s="1"/>
  <c r="P178" i="9"/>
  <c r="P173" i="9"/>
  <c r="E10" i="16"/>
  <c r="E10" i="12" s="1"/>
  <c r="E98" i="16"/>
  <c r="E98" i="12" s="1"/>
  <c r="E76" i="16"/>
  <c r="E76" i="12" s="1"/>
  <c r="E153" i="16"/>
  <c r="E153" i="12" s="1"/>
  <c r="E32" i="16"/>
  <c r="E32" i="12" s="1"/>
  <c r="E87" i="16"/>
  <c r="E87" i="12" s="1"/>
  <c r="E43" i="16"/>
  <c r="E43" i="12" s="1"/>
  <c r="E65" i="16"/>
  <c r="E65" i="12" s="1"/>
  <c r="E131" i="16"/>
  <c r="E131" i="12" s="1"/>
  <c r="E109" i="16"/>
  <c r="E109" i="12" s="1"/>
  <c r="E54" i="16"/>
  <c r="E54" i="12" s="1"/>
  <c r="E120" i="16"/>
  <c r="E120" i="12" s="1"/>
  <c r="E21" i="16"/>
  <c r="E21" i="12" s="1"/>
  <c r="E142" i="16"/>
  <c r="E142" i="12" s="1"/>
  <c r="P175" i="10"/>
  <c r="E132" i="16"/>
  <c r="P176" i="10"/>
  <c r="E154" i="16"/>
  <c r="E154" i="12" s="1"/>
  <c r="E55" i="16"/>
  <c r="E55" i="12" s="1"/>
  <c r="E77" i="16"/>
  <c r="E77" i="12" s="1"/>
  <c r="E143" i="16"/>
  <c r="E143" i="12" s="1"/>
  <c r="E110" i="16"/>
  <c r="E110" i="12" s="1"/>
  <c r="E66" i="16"/>
  <c r="E66" i="12" s="1"/>
  <c r="E33" i="16"/>
  <c r="E33" i="12" s="1"/>
  <c r="E121" i="16"/>
  <c r="E121" i="12" s="1"/>
  <c r="E11" i="16"/>
  <c r="E11" i="12" s="1"/>
  <c r="E44" i="16"/>
  <c r="E44" i="12" s="1"/>
  <c r="E88" i="16"/>
  <c r="E88" i="12" s="1"/>
  <c r="O172" i="11"/>
  <c r="O173" i="11"/>
  <c r="D137" i="18"/>
  <c r="D137" i="6" s="1"/>
  <c r="D148" i="18"/>
  <c r="D148" i="6" s="1"/>
  <c r="D5" i="18"/>
  <c r="D5" i="6" s="1"/>
  <c r="D82" i="18"/>
  <c r="D82" i="6" s="1"/>
  <c r="D115" i="18"/>
  <c r="D38" i="18"/>
  <c r="D38" i="6" s="1"/>
  <c r="D104" i="18"/>
  <c r="D104" i="6" s="1"/>
  <c r="D49" i="18"/>
  <c r="D49" i="6" s="1"/>
  <c r="D27" i="18"/>
  <c r="D27" i="6" s="1"/>
  <c r="D126" i="18"/>
  <c r="D60" i="18"/>
  <c r="D60" i="6" s="1"/>
  <c r="D71" i="18"/>
  <c r="D71" i="6" s="1"/>
  <c r="D83" i="18"/>
  <c r="D83" i="6" s="1"/>
  <c r="D149" i="18"/>
  <c r="D149" i="6" s="1"/>
  <c r="D105" i="18"/>
  <c r="D105" i="6" s="1"/>
  <c r="D116" i="18"/>
  <c r="D116" i="6" s="1"/>
  <c r="D39" i="18"/>
  <c r="D39" i="6" s="1"/>
  <c r="D28" i="18"/>
  <c r="D28" i="6" s="1"/>
  <c r="D50" i="18"/>
  <c r="D50" i="6" s="1"/>
  <c r="D72" i="18"/>
  <c r="D72" i="6" s="1"/>
  <c r="D127" i="18"/>
  <c r="D61" i="18"/>
  <c r="D61" i="6" s="1"/>
  <c r="D138" i="18"/>
  <c r="D138" i="6" s="1"/>
  <c r="D6" i="18"/>
  <c r="D6" i="6" s="1"/>
  <c r="D135" i="18"/>
  <c r="D135" i="6" s="1"/>
  <c r="D146" i="18"/>
  <c r="D146" i="6" s="1"/>
  <c r="D36" i="18"/>
  <c r="D36" i="6" s="1"/>
  <c r="D14" i="18"/>
  <c r="D14" i="6" s="1"/>
  <c r="D69" i="18"/>
  <c r="D69" i="6" s="1"/>
  <c r="D58" i="18"/>
  <c r="D58" i="6" s="1"/>
  <c r="D113" i="18"/>
  <c r="D113" i="6" s="1"/>
  <c r="D80" i="18"/>
  <c r="D80" i="6" s="1"/>
  <c r="D157" i="18"/>
  <c r="D157" i="6" s="1"/>
  <c r="D47" i="18"/>
  <c r="D47" i="6" s="1"/>
  <c r="D91" i="18"/>
  <c r="D91" i="6" s="1"/>
  <c r="D25" i="18"/>
  <c r="D25" i="6" s="1"/>
  <c r="D102" i="18"/>
  <c r="D102" i="6" s="1"/>
  <c r="D124" i="18"/>
  <c r="D124" i="6" s="1"/>
  <c r="D109" i="18"/>
  <c r="D109" i="6" s="1"/>
  <c r="D10" i="18"/>
  <c r="D10" i="6" s="1"/>
  <c r="D153" i="18"/>
  <c r="D153" i="6" s="1"/>
  <c r="D32" i="18"/>
  <c r="D32" i="6" s="1"/>
  <c r="D54" i="18"/>
  <c r="D54" i="6" s="1"/>
  <c r="D43" i="18"/>
  <c r="D43" i="6" s="1"/>
  <c r="D131" i="18"/>
  <c r="D131" i="6" s="1"/>
  <c r="D142" i="18"/>
  <c r="D142" i="6" s="1"/>
  <c r="D21" i="18"/>
  <c r="D21" i="6" s="1"/>
  <c r="D120" i="18"/>
  <c r="D120" i="6" s="1"/>
  <c r="D87" i="18"/>
  <c r="D87" i="6" s="1"/>
  <c r="D98" i="18"/>
  <c r="D98" i="6" s="1"/>
  <c r="D65" i="18"/>
  <c r="D65" i="6" s="1"/>
  <c r="D76" i="18"/>
  <c r="D76" i="6" s="1"/>
  <c r="D97" i="18"/>
  <c r="D152" i="18"/>
  <c r="D64" i="18"/>
  <c r="D20" i="18"/>
  <c r="D53" i="18"/>
  <c r="D141" i="18"/>
  <c r="D108" i="18"/>
  <c r="D42" i="18"/>
  <c r="D9" i="18"/>
  <c r="D75" i="18"/>
  <c r="D130" i="18"/>
  <c r="D119" i="18"/>
  <c r="D31" i="18"/>
  <c r="D86" i="18"/>
  <c r="D90" i="18"/>
  <c r="D90" i="6" s="1"/>
  <c r="D46" i="18"/>
  <c r="D46" i="6" s="1"/>
  <c r="D112" i="18"/>
  <c r="D112" i="6" s="1"/>
  <c r="D68" i="18"/>
  <c r="D68" i="6" s="1"/>
  <c r="D134" i="18"/>
  <c r="D57" i="18"/>
  <c r="D57" i="6" s="1"/>
  <c r="D101" i="18"/>
  <c r="D101" i="6" s="1"/>
  <c r="D13" i="18"/>
  <c r="D13" i="6" s="1"/>
  <c r="D156" i="18"/>
  <c r="D123" i="18"/>
  <c r="D123" i="6" s="1"/>
  <c r="D145" i="18"/>
  <c r="D145" i="6" s="1"/>
  <c r="D35" i="18"/>
  <c r="D35" i="6" s="1"/>
  <c r="D79" i="18"/>
  <c r="D79" i="6" s="1"/>
  <c r="D124" i="16"/>
  <c r="D124" i="12" s="1"/>
  <c r="D47" i="16"/>
  <c r="D47" i="12" s="1"/>
  <c r="D69" i="16"/>
  <c r="D69" i="12" s="1"/>
  <c r="D80" i="16"/>
  <c r="D80" i="12" s="1"/>
  <c r="D135" i="16"/>
  <c r="D135" i="12" s="1"/>
  <c r="D113" i="16"/>
  <c r="D113" i="12" s="1"/>
  <c r="D14" i="16"/>
  <c r="D14" i="12" s="1"/>
  <c r="D157" i="16"/>
  <c r="D157" i="12" s="1"/>
  <c r="D58" i="16"/>
  <c r="D58" i="12" s="1"/>
  <c r="D146" i="16"/>
  <c r="D146" i="12" s="1"/>
  <c r="D91" i="16"/>
  <c r="D91" i="12" s="1"/>
  <c r="D36" i="16"/>
  <c r="D36" i="12" s="1"/>
  <c r="D25" i="16"/>
  <c r="D25" i="12" s="1"/>
  <c r="D102" i="16"/>
  <c r="D102" i="12" s="1"/>
  <c r="O171" i="10"/>
  <c r="D149" i="16"/>
  <c r="D149" i="12" s="1"/>
  <c r="D61" i="16"/>
  <c r="D61" i="12" s="1"/>
  <c r="D28" i="16"/>
  <c r="D28" i="12" s="1"/>
  <c r="D50" i="16"/>
  <c r="D50" i="12" s="1"/>
  <c r="D6" i="16"/>
  <c r="D6" i="12" s="1"/>
  <c r="D116" i="16"/>
  <c r="D116" i="12" s="1"/>
  <c r="D83" i="16"/>
  <c r="D83" i="12" s="1"/>
  <c r="D72" i="16"/>
  <c r="D72" i="12" s="1"/>
  <c r="D105" i="16"/>
  <c r="D105" i="12" s="1"/>
  <c r="D138" i="16"/>
  <c r="D138" i="12" s="1"/>
  <c r="D127" i="16"/>
  <c r="D39" i="16"/>
  <c r="D39" i="12" s="1"/>
  <c r="D9" i="16"/>
  <c r="D97" i="16"/>
  <c r="D130" i="16"/>
  <c r="D119" i="16"/>
  <c r="D152" i="16"/>
  <c r="D53" i="16"/>
  <c r="D31" i="16"/>
  <c r="D20" i="16"/>
  <c r="D108" i="16"/>
  <c r="D64" i="16"/>
  <c r="D75" i="16"/>
  <c r="D86" i="16"/>
  <c r="D42" i="16"/>
  <c r="D141" i="16"/>
  <c r="D120" i="16"/>
  <c r="D120" i="12" s="1"/>
  <c r="D21" i="16"/>
  <c r="D21" i="12" s="1"/>
  <c r="D87" i="16"/>
  <c r="D87" i="12" s="1"/>
  <c r="D54" i="16"/>
  <c r="D54" i="12" s="1"/>
  <c r="D32" i="16"/>
  <c r="D32" i="12" s="1"/>
  <c r="D109" i="16"/>
  <c r="D109" i="12" s="1"/>
  <c r="D131" i="16"/>
  <c r="D131" i="12" s="1"/>
  <c r="D142" i="16"/>
  <c r="D142" i="12" s="1"/>
  <c r="D76" i="16"/>
  <c r="D76" i="12" s="1"/>
  <c r="D10" i="16"/>
  <c r="D10" i="12" s="1"/>
  <c r="D65" i="16"/>
  <c r="D65" i="12" s="1"/>
  <c r="D153" i="16"/>
  <c r="D153" i="12" s="1"/>
  <c r="D98" i="16"/>
  <c r="D98" i="12" s="1"/>
  <c r="D43" i="16"/>
  <c r="D43" i="12" s="1"/>
  <c r="O170" i="10"/>
  <c r="D137" i="16"/>
  <c r="D137" i="12" s="1"/>
  <c r="D49" i="16"/>
  <c r="D49" i="12" s="1"/>
  <c r="D27" i="16"/>
  <c r="D27" i="12" s="1"/>
  <c r="D104" i="16"/>
  <c r="D104" i="12" s="1"/>
  <c r="D126" i="16"/>
  <c r="D148" i="16"/>
  <c r="D148" i="12" s="1"/>
  <c r="D38" i="16"/>
  <c r="D38" i="12" s="1"/>
  <c r="D115" i="16"/>
  <c r="D115" i="12" s="1"/>
  <c r="D82" i="16"/>
  <c r="D82" i="12" s="1"/>
  <c r="D60" i="16"/>
  <c r="D60" i="12" s="1"/>
  <c r="D5" i="16"/>
  <c r="D5" i="12" s="1"/>
  <c r="D71" i="16"/>
  <c r="D71" i="12" s="1"/>
  <c r="O176" i="9"/>
  <c r="D33" i="18"/>
  <c r="D33" i="6" s="1"/>
  <c r="D55" i="18"/>
  <c r="D55" i="6" s="1"/>
  <c r="D121" i="18"/>
  <c r="D121" i="6" s="1"/>
  <c r="D110" i="18"/>
  <c r="D110" i="6" s="1"/>
  <c r="D44" i="18"/>
  <c r="D44" i="6" s="1"/>
  <c r="D66" i="18"/>
  <c r="D66" i="6" s="1"/>
  <c r="D11" i="18"/>
  <c r="D11" i="6" s="1"/>
  <c r="D143" i="18"/>
  <c r="D143" i="6" s="1"/>
  <c r="D154" i="18"/>
  <c r="D154" i="6" s="1"/>
  <c r="D88" i="18"/>
  <c r="D88" i="6" s="1"/>
  <c r="D77" i="18"/>
  <c r="D77" i="6" s="1"/>
  <c r="D132" i="16"/>
  <c r="O176" i="10"/>
  <c r="O176" i="11"/>
  <c r="D132" i="17"/>
  <c r="C165" i="17"/>
  <c r="C165" i="16"/>
  <c r="C165" i="18"/>
  <c r="C160" i="16"/>
  <c r="C168" i="16"/>
  <c r="C163" i="16"/>
  <c r="C164" i="16"/>
  <c r="C162" i="16"/>
  <c r="C161" i="16"/>
  <c r="C159" i="16"/>
  <c r="C162" i="18"/>
  <c r="C167" i="18"/>
  <c r="C163" i="18"/>
  <c r="C161" i="18"/>
  <c r="C160" i="18"/>
  <c r="C168" i="18"/>
  <c r="C164" i="18"/>
  <c r="C159" i="18"/>
  <c r="C159" i="17"/>
  <c r="C168" i="17"/>
  <c r="C163" i="17"/>
  <c r="C164" i="17"/>
  <c r="C167" i="17"/>
  <c r="C161" i="17"/>
  <c r="N178" i="10"/>
  <c r="C162" i="17"/>
  <c r="C160" i="17"/>
  <c r="F132" i="6" l="1"/>
  <c r="F52" i="6"/>
  <c r="F53" i="6" s="1"/>
  <c r="F48" i="6" s="1"/>
  <c r="F42" i="6"/>
  <c r="F37" i="6" s="1"/>
  <c r="K156" i="16"/>
  <c r="K156" i="12" s="1"/>
  <c r="K134" i="16"/>
  <c r="K134" i="12" s="1"/>
  <c r="K112" i="16"/>
  <c r="K112" i="12" s="1"/>
  <c r="K68" i="16"/>
  <c r="K68" i="12" s="1"/>
  <c r="K46" i="16"/>
  <c r="K46" i="12" s="1"/>
  <c r="K123" i="16"/>
  <c r="K123" i="12" s="1"/>
  <c r="K79" i="16"/>
  <c r="K79" i="12" s="1"/>
  <c r="K145" i="16"/>
  <c r="K145" i="12" s="1"/>
  <c r="K13" i="16"/>
  <c r="K13" i="12" s="1"/>
  <c r="K101" i="16"/>
  <c r="K101" i="12" s="1"/>
  <c r="K90" i="16"/>
  <c r="K90" i="12" s="1"/>
  <c r="K35" i="16"/>
  <c r="K35" i="12" s="1"/>
  <c r="K57" i="16"/>
  <c r="K57" i="12" s="1"/>
  <c r="F141" i="6"/>
  <c r="F136" i="6" s="1"/>
  <c r="F108" i="13"/>
  <c r="E128" i="17"/>
  <c r="E128" i="13" s="1"/>
  <c r="F126" i="6"/>
  <c r="F152" i="6"/>
  <c r="F147" i="6" s="1"/>
  <c r="F64" i="6"/>
  <c r="F59" i="6" s="1"/>
  <c r="F126" i="13"/>
  <c r="F152" i="13"/>
  <c r="F64" i="13"/>
  <c r="F75" i="6"/>
  <c r="F70" i="6" s="1"/>
  <c r="G130" i="6"/>
  <c r="D128" i="17"/>
  <c r="F119" i="6"/>
  <c r="F114" i="6" s="1"/>
  <c r="D129" i="17"/>
  <c r="E85" i="16"/>
  <c r="E85" i="12" s="1"/>
  <c r="F86" i="13"/>
  <c r="E151" i="18"/>
  <c r="E151" i="6" s="1"/>
  <c r="E129" i="16"/>
  <c r="F108" i="6"/>
  <c r="F103" i="6" s="1"/>
  <c r="F31" i="6"/>
  <c r="F26" i="6" s="1"/>
  <c r="F31" i="13"/>
  <c r="E63" i="18"/>
  <c r="E63" i="6" s="1"/>
  <c r="F86" i="6"/>
  <c r="F81" i="6" s="1"/>
  <c r="F119" i="13"/>
  <c r="D151" i="17"/>
  <c r="D151" i="13" s="1"/>
  <c r="D139" i="17"/>
  <c r="D139" i="13" s="1"/>
  <c r="D52" i="17"/>
  <c r="D52" i="13" s="1"/>
  <c r="E85" i="18"/>
  <c r="E85" i="6" s="1"/>
  <c r="E73" i="17"/>
  <c r="E73" i="13" s="1"/>
  <c r="F9" i="12"/>
  <c r="F9" i="6"/>
  <c r="F4" i="6" s="1"/>
  <c r="F42" i="13"/>
  <c r="F53" i="13"/>
  <c r="F133" i="6"/>
  <c r="D150" i="17"/>
  <c r="D150" i="13" s="1"/>
  <c r="E118" i="18"/>
  <c r="E118" i="6" s="1"/>
  <c r="F127" i="6"/>
  <c r="F129" i="6"/>
  <c r="F130" i="6" s="1"/>
  <c r="F141" i="13"/>
  <c r="D40" i="17"/>
  <c r="D40" i="13" s="1"/>
  <c r="G130" i="13"/>
  <c r="D8" i="17"/>
  <c r="D8" i="13" s="1"/>
  <c r="E41" i="18"/>
  <c r="E41" i="6" s="1"/>
  <c r="E62" i="17"/>
  <c r="E62" i="13" s="1"/>
  <c r="D129" i="18"/>
  <c r="D41" i="17"/>
  <c r="D41" i="13" s="1"/>
  <c r="E150" i="17"/>
  <c r="E150" i="13" s="1"/>
  <c r="F152" i="12"/>
  <c r="E62" i="18"/>
  <c r="E62" i="6" s="1"/>
  <c r="E129" i="18"/>
  <c r="E74" i="18"/>
  <c r="E74" i="6" s="1"/>
  <c r="E52" i="16"/>
  <c r="F133" i="13"/>
  <c r="D63" i="17"/>
  <c r="D63" i="13" s="1"/>
  <c r="D40" i="18"/>
  <c r="D40" i="6" s="1"/>
  <c r="D118" i="18"/>
  <c r="D118" i="6" s="1"/>
  <c r="D30" i="17"/>
  <c r="D30" i="13" s="1"/>
  <c r="D140" i="17"/>
  <c r="D140" i="13" s="1"/>
  <c r="D51" i="17"/>
  <c r="D51" i="13" s="1"/>
  <c r="D29" i="17"/>
  <c r="D29" i="13" s="1"/>
  <c r="E107" i="18"/>
  <c r="E107" i="6" s="1"/>
  <c r="E107" i="16"/>
  <c r="E107" i="12" s="1"/>
  <c r="F132" i="13"/>
  <c r="F129" i="13"/>
  <c r="F75" i="13"/>
  <c r="F128" i="13"/>
  <c r="D7" i="18"/>
  <c r="D7" i="6" s="1"/>
  <c r="D62" i="17"/>
  <c r="D62" i="13" s="1"/>
  <c r="E30" i="18"/>
  <c r="E30" i="6" s="1"/>
  <c r="E151" i="16"/>
  <c r="E151" i="12" s="1"/>
  <c r="E41" i="16"/>
  <c r="E41" i="12" s="1"/>
  <c r="E84" i="17"/>
  <c r="E84" i="13" s="1"/>
  <c r="F129" i="12"/>
  <c r="F127" i="13"/>
  <c r="E128" i="18"/>
  <c r="D139" i="18"/>
  <c r="D139" i="6" s="1"/>
  <c r="D74" i="17"/>
  <c r="D74" i="13" s="1"/>
  <c r="D73" i="17"/>
  <c r="D73" i="13" s="1"/>
  <c r="D106" i="17"/>
  <c r="D106" i="13" s="1"/>
  <c r="E8" i="18"/>
  <c r="E8" i="6" s="1"/>
  <c r="E63" i="16"/>
  <c r="E63" i="12" s="1"/>
  <c r="E73" i="18"/>
  <c r="E73" i="6" s="1"/>
  <c r="E40" i="17"/>
  <c r="E40" i="13" s="1"/>
  <c r="E30" i="16"/>
  <c r="E30" i="12" s="1"/>
  <c r="E74" i="16"/>
  <c r="E74" i="12" s="1"/>
  <c r="E40" i="18"/>
  <c r="E40" i="6" s="1"/>
  <c r="E106" i="17"/>
  <c r="E106" i="13" s="1"/>
  <c r="E7" i="17"/>
  <c r="E7" i="13" s="1"/>
  <c r="F42" i="12"/>
  <c r="D29" i="18"/>
  <c r="D29" i="6" s="1"/>
  <c r="D85" i="17"/>
  <c r="D85" i="13" s="1"/>
  <c r="D117" i="17"/>
  <c r="D117" i="13" s="1"/>
  <c r="E118" i="16"/>
  <c r="E118" i="12" s="1"/>
  <c r="E7" i="18"/>
  <c r="E7" i="6" s="1"/>
  <c r="E139" i="17"/>
  <c r="E139" i="13" s="1"/>
  <c r="E106" i="18"/>
  <c r="E106" i="6" s="1"/>
  <c r="F75" i="12"/>
  <c r="E29" i="18"/>
  <c r="E29" i="6" s="1"/>
  <c r="E117" i="18"/>
  <c r="E117" i="6" s="1"/>
  <c r="D106" i="18"/>
  <c r="D106" i="6" s="1"/>
  <c r="D62" i="18"/>
  <c r="D62" i="6" s="1"/>
  <c r="D151" i="18"/>
  <c r="D151" i="6" s="1"/>
  <c r="D107" i="17"/>
  <c r="D107" i="13" s="1"/>
  <c r="D84" i="17"/>
  <c r="D84" i="13" s="1"/>
  <c r="E52" i="18"/>
  <c r="E84" i="18"/>
  <c r="E84" i="6" s="1"/>
  <c r="E51" i="18"/>
  <c r="E51" i="6" s="1"/>
  <c r="E117" i="17"/>
  <c r="E117" i="13" s="1"/>
  <c r="D129" i="16"/>
  <c r="D51" i="18"/>
  <c r="D51" i="6" s="1"/>
  <c r="D73" i="18"/>
  <c r="D73" i="6" s="1"/>
  <c r="D30" i="18"/>
  <c r="D30" i="6" s="1"/>
  <c r="D118" i="17"/>
  <c r="D118" i="13" s="1"/>
  <c r="D7" i="17"/>
  <c r="D7" i="13" s="1"/>
  <c r="E8" i="16"/>
  <c r="E8" i="12" s="1"/>
  <c r="E140" i="16"/>
  <c r="E140" i="12" s="1"/>
  <c r="E150" i="18"/>
  <c r="E150" i="6" s="1"/>
  <c r="E51" i="17"/>
  <c r="E51" i="13" s="1"/>
  <c r="E29" i="17"/>
  <c r="E29" i="13" s="1"/>
  <c r="D150" i="18"/>
  <c r="D150" i="6" s="1"/>
  <c r="D84" i="18"/>
  <c r="D84" i="6" s="1"/>
  <c r="D74" i="18"/>
  <c r="D74" i="6" s="1"/>
  <c r="G48" i="6"/>
  <c r="F132" i="12"/>
  <c r="G53" i="12"/>
  <c r="G130" i="12"/>
  <c r="E52" i="17"/>
  <c r="E52" i="13" s="1"/>
  <c r="F52" i="12"/>
  <c r="F108" i="12"/>
  <c r="F126" i="12"/>
  <c r="F128" i="12"/>
  <c r="F133" i="12"/>
  <c r="F127" i="12"/>
  <c r="F64" i="12"/>
  <c r="F9" i="13"/>
  <c r="D85" i="18"/>
  <c r="D85" i="6" s="1"/>
  <c r="D140" i="18"/>
  <c r="D140" i="6" s="1"/>
  <c r="E74" i="17"/>
  <c r="E74" i="13" s="1"/>
  <c r="F119" i="12"/>
  <c r="F86" i="12"/>
  <c r="D8" i="18"/>
  <c r="D8" i="6" s="1"/>
  <c r="D41" i="18"/>
  <c r="D41" i="6" s="1"/>
  <c r="D107" i="18"/>
  <c r="D107" i="6" s="1"/>
  <c r="E139" i="18"/>
  <c r="E139" i="6" s="1"/>
  <c r="E118" i="17"/>
  <c r="E118" i="13" s="1"/>
  <c r="F31" i="12"/>
  <c r="F141" i="12"/>
  <c r="D168" i="12"/>
  <c r="D128" i="16"/>
  <c r="D128" i="12" s="1"/>
  <c r="D62" i="16"/>
  <c r="D62" i="12" s="1"/>
  <c r="D40" i="16"/>
  <c r="D40" i="12" s="1"/>
  <c r="D107" i="16"/>
  <c r="D107" i="12" s="1"/>
  <c r="D41" i="16"/>
  <c r="D41" i="12" s="1"/>
  <c r="E164" i="12"/>
  <c r="D168" i="13"/>
  <c r="E129" i="17"/>
  <c r="E63" i="17"/>
  <c r="E63" i="13" s="1"/>
  <c r="E140" i="17"/>
  <c r="E140" i="13" s="1"/>
  <c r="E40" i="16"/>
  <c r="E40" i="12" s="1"/>
  <c r="E51" i="16"/>
  <c r="E51" i="12" s="1"/>
  <c r="E150" i="16"/>
  <c r="E150" i="12" s="1"/>
  <c r="E168" i="6"/>
  <c r="D7" i="16"/>
  <c r="D7" i="12" s="1"/>
  <c r="D106" i="16"/>
  <c r="D106" i="12" s="1"/>
  <c r="D139" i="16"/>
  <c r="D139" i="12" s="1"/>
  <c r="D85" i="16"/>
  <c r="D85" i="12" s="1"/>
  <c r="D118" i="16"/>
  <c r="D118" i="12" s="1"/>
  <c r="D151" i="16"/>
  <c r="D151" i="12" s="1"/>
  <c r="E41" i="17"/>
  <c r="E41" i="13" s="1"/>
  <c r="E85" i="17"/>
  <c r="E85" i="13" s="1"/>
  <c r="E139" i="16"/>
  <c r="E139" i="12" s="1"/>
  <c r="E29" i="16"/>
  <c r="E29" i="12" s="1"/>
  <c r="E73" i="16"/>
  <c r="E73" i="12" s="1"/>
  <c r="D29" i="16"/>
  <c r="D29" i="12" s="1"/>
  <c r="D84" i="16"/>
  <c r="D84" i="12" s="1"/>
  <c r="D117" i="16"/>
  <c r="D117" i="12" s="1"/>
  <c r="D63" i="16"/>
  <c r="D63" i="12" s="1"/>
  <c r="D30" i="16"/>
  <c r="D30" i="12" s="1"/>
  <c r="D52" i="16"/>
  <c r="D164" i="6"/>
  <c r="D168" i="6"/>
  <c r="D52" i="18"/>
  <c r="D63" i="18"/>
  <c r="D63" i="6" s="1"/>
  <c r="E151" i="17"/>
  <c r="E151" i="13" s="1"/>
  <c r="E128" i="16"/>
  <c r="E62" i="16"/>
  <c r="E62" i="12" s="1"/>
  <c r="E117" i="16"/>
  <c r="E117" i="12" s="1"/>
  <c r="E164" i="13"/>
  <c r="D150" i="16"/>
  <c r="D150" i="12" s="1"/>
  <c r="D73" i="16"/>
  <c r="D73" i="12" s="1"/>
  <c r="D51" i="16"/>
  <c r="D51" i="12" s="1"/>
  <c r="D8" i="16"/>
  <c r="D8" i="12" s="1"/>
  <c r="D140" i="16"/>
  <c r="D140" i="12" s="1"/>
  <c r="D74" i="16"/>
  <c r="D74" i="12" s="1"/>
  <c r="E156" i="6"/>
  <c r="E134" i="6"/>
  <c r="E168" i="12"/>
  <c r="E168" i="13"/>
  <c r="D164" i="13"/>
  <c r="E164" i="6"/>
  <c r="E107" i="17"/>
  <c r="E107" i="13" s="1"/>
  <c r="E30" i="17"/>
  <c r="E30" i="13" s="1"/>
  <c r="E8" i="17"/>
  <c r="E8" i="13" s="1"/>
  <c r="E7" i="16"/>
  <c r="E7" i="12" s="1"/>
  <c r="E106" i="16"/>
  <c r="E106" i="12" s="1"/>
  <c r="E84" i="16"/>
  <c r="E84" i="12" s="1"/>
  <c r="E140" i="18"/>
  <c r="E140" i="6" s="1"/>
  <c r="E137" i="6"/>
  <c r="D164" i="12"/>
  <c r="D156" i="6"/>
  <c r="D134" i="6"/>
  <c r="D128" i="18"/>
  <c r="D117" i="18"/>
  <c r="D117" i="6" s="1"/>
  <c r="D115" i="6"/>
  <c r="N172" i="11"/>
  <c r="C135" i="17"/>
  <c r="C135" i="13" s="1"/>
  <c r="C80" i="17"/>
  <c r="C80" i="13" s="1"/>
  <c r="C36" i="17"/>
  <c r="C36" i="13" s="1"/>
  <c r="C102" i="17"/>
  <c r="C102" i="13" s="1"/>
  <c r="C47" i="17"/>
  <c r="C47" i="13" s="1"/>
  <c r="C69" i="17"/>
  <c r="C69" i="13" s="1"/>
  <c r="C146" i="17"/>
  <c r="C146" i="13" s="1"/>
  <c r="C157" i="17"/>
  <c r="C157" i="13" s="1"/>
  <c r="C14" i="17"/>
  <c r="C14" i="13" s="1"/>
  <c r="C58" i="17"/>
  <c r="C58" i="13" s="1"/>
  <c r="C124" i="17"/>
  <c r="C124" i="13" s="1"/>
  <c r="C91" i="17"/>
  <c r="C91" i="13" s="1"/>
  <c r="C25" i="17"/>
  <c r="C25" i="13" s="1"/>
  <c r="C113" i="17"/>
  <c r="C113" i="13" s="1"/>
  <c r="N179" i="11"/>
  <c r="C113" i="18"/>
  <c r="C113" i="6" s="1"/>
  <c r="C80" i="18"/>
  <c r="C80" i="6" s="1"/>
  <c r="C69" i="18"/>
  <c r="C69" i="6" s="1"/>
  <c r="C135" i="18"/>
  <c r="C135" i="6" s="1"/>
  <c r="C157" i="18"/>
  <c r="C157" i="6" s="1"/>
  <c r="C14" i="18"/>
  <c r="C14" i="6" s="1"/>
  <c r="C102" i="18"/>
  <c r="C102" i="6" s="1"/>
  <c r="C25" i="18"/>
  <c r="C25" i="6" s="1"/>
  <c r="C91" i="18"/>
  <c r="C91" i="6" s="1"/>
  <c r="C58" i="18"/>
  <c r="C58" i="6" s="1"/>
  <c r="C36" i="18"/>
  <c r="C36" i="6" s="1"/>
  <c r="C146" i="18"/>
  <c r="C146" i="6" s="1"/>
  <c r="C124" i="18"/>
  <c r="C124" i="6" s="1"/>
  <c r="C47" i="18"/>
  <c r="C47" i="6" s="1"/>
  <c r="N179" i="9"/>
  <c r="C145" i="18"/>
  <c r="C145" i="6" s="1"/>
  <c r="C46" i="18"/>
  <c r="C46" i="6" s="1"/>
  <c r="C101" i="18"/>
  <c r="C101" i="6" s="1"/>
  <c r="C112" i="18"/>
  <c r="C112" i="6" s="1"/>
  <c r="C90" i="18"/>
  <c r="C90" i="6" s="1"/>
  <c r="C13" i="18"/>
  <c r="C13" i="6" s="1"/>
  <c r="C79" i="18"/>
  <c r="C79" i="6" s="1"/>
  <c r="C134" i="18"/>
  <c r="C156" i="18"/>
  <c r="C35" i="18"/>
  <c r="C35" i="6" s="1"/>
  <c r="C57" i="18"/>
  <c r="C57" i="6" s="1"/>
  <c r="C123" i="18"/>
  <c r="C123" i="6" s="1"/>
  <c r="C68" i="18"/>
  <c r="C68" i="6" s="1"/>
  <c r="N178" i="9"/>
  <c r="N173" i="10"/>
  <c r="C116" i="16"/>
  <c r="C116" i="12" s="1"/>
  <c r="C127" i="16"/>
  <c r="C28" i="16"/>
  <c r="C28" i="12" s="1"/>
  <c r="C138" i="16"/>
  <c r="C138" i="12" s="1"/>
  <c r="C6" i="16"/>
  <c r="C6" i="12" s="1"/>
  <c r="C105" i="16"/>
  <c r="C105" i="12" s="1"/>
  <c r="C72" i="16"/>
  <c r="C72" i="12" s="1"/>
  <c r="C50" i="16"/>
  <c r="C50" i="12" s="1"/>
  <c r="C61" i="16"/>
  <c r="C61" i="12" s="1"/>
  <c r="C149" i="16"/>
  <c r="C149" i="12" s="1"/>
  <c r="C39" i="16"/>
  <c r="C39" i="12" s="1"/>
  <c r="C83" i="16"/>
  <c r="C83" i="12" s="1"/>
  <c r="N171" i="10"/>
  <c r="C105" i="17"/>
  <c r="C105" i="13" s="1"/>
  <c r="C149" i="17"/>
  <c r="C149" i="13" s="1"/>
  <c r="C6" i="17"/>
  <c r="C6" i="13" s="1"/>
  <c r="C28" i="17"/>
  <c r="C28" i="13" s="1"/>
  <c r="C127" i="17"/>
  <c r="C50" i="17"/>
  <c r="C50" i="13" s="1"/>
  <c r="C39" i="17"/>
  <c r="C39" i="13" s="1"/>
  <c r="C72" i="17"/>
  <c r="C72" i="13" s="1"/>
  <c r="C138" i="17"/>
  <c r="C138" i="13" s="1"/>
  <c r="C61" i="17"/>
  <c r="C61" i="13" s="1"/>
  <c r="C116" i="17"/>
  <c r="C116" i="13" s="1"/>
  <c r="C83" i="17"/>
  <c r="C83" i="13" s="1"/>
  <c r="N171" i="11"/>
  <c r="C145" i="17"/>
  <c r="C145" i="13" s="1"/>
  <c r="C112" i="17"/>
  <c r="C112" i="13" s="1"/>
  <c r="C123" i="17"/>
  <c r="C123" i="13" s="1"/>
  <c r="C35" i="17"/>
  <c r="C35" i="13" s="1"/>
  <c r="C134" i="17"/>
  <c r="C134" i="13" s="1"/>
  <c r="C46" i="17"/>
  <c r="C46" i="13" s="1"/>
  <c r="C13" i="17"/>
  <c r="C13" i="13" s="1"/>
  <c r="C101" i="17"/>
  <c r="C101" i="13" s="1"/>
  <c r="C156" i="17"/>
  <c r="C156" i="13" s="1"/>
  <c r="C90" i="17"/>
  <c r="C90" i="13" s="1"/>
  <c r="C57" i="17"/>
  <c r="C57" i="13" s="1"/>
  <c r="C79" i="17"/>
  <c r="C79" i="13" s="1"/>
  <c r="C68" i="17"/>
  <c r="C68" i="13" s="1"/>
  <c r="N178" i="11"/>
  <c r="C148" i="17"/>
  <c r="C148" i="13" s="1"/>
  <c r="C126" i="17"/>
  <c r="C38" i="17"/>
  <c r="C38" i="13" s="1"/>
  <c r="C115" i="17"/>
  <c r="C115" i="13" s="1"/>
  <c r="C82" i="17"/>
  <c r="C82" i="13" s="1"/>
  <c r="C60" i="17"/>
  <c r="C60" i="13" s="1"/>
  <c r="C137" i="17"/>
  <c r="C137" i="13" s="1"/>
  <c r="C27" i="17"/>
  <c r="C27" i="13" s="1"/>
  <c r="C104" i="17"/>
  <c r="C104" i="13" s="1"/>
  <c r="C5" i="17"/>
  <c r="C5" i="13" s="1"/>
  <c r="C49" i="17"/>
  <c r="C49" i="13" s="1"/>
  <c r="C71" i="17"/>
  <c r="C71" i="13" s="1"/>
  <c r="N170" i="11"/>
  <c r="C72" i="18"/>
  <c r="C72" i="6" s="1"/>
  <c r="C6" i="18"/>
  <c r="C6" i="6" s="1"/>
  <c r="C127" i="18"/>
  <c r="C28" i="18"/>
  <c r="C28" i="6" s="1"/>
  <c r="C149" i="18"/>
  <c r="C149" i="6" s="1"/>
  <c r="C83" i="18"/>
  <c r="C83" i="6" s="1"/>
  <c r="C138" i="18"/>
  <c r="C138" i="6" s="1"/>
  <c r="C116" i="18"/>
  <c r="C116" i="6" s="1"/>
  <c r="C61" i="18"/>
  <c r="C61" i="6" s="1"/>
  <c r="C50" i="18"/>
  <c r="C50" i="6" s="1"/>
  <c r="C105" i="18"/>
  <c r="C105" i="6" s="1"/>
  <c r="C39" i="18"/>
  <c r="C39" i="6" s="1"/>
  <c r="N171" i="9"/>
  <c r="N173" i="9"/>
  <c r="C76" i="16"/>
  <c r="C76" i="12" s="1"/>
  <c r="C98" i="16"/>
  <c r="C98" i="12" s="1"/>
  <c r="C21" i="16"/>
  <c r="C21" i="12" s="1"/>
  <c r="C153" i="16"/>
  <c r="C153" i="12" s="1"/>
  <c r="C131" i="16"/>
  <c r="C131" i="12" s="1"/>
  <c r="C120" i="16"/>
  <c r="C120" i="12" s="1"/>
  <c r="C109" i="16"/>
  <c r="C109" i="12" s="1"/>
  <c r="C10" i="16"/>
  <c r="C10" i="12" s="1"/>
  <c r="C32" i="16"/>
  <c r="C32" i="12" s="1"/>
  <c r="C54" i="16"/>
  <c r="C54" i="12" s="1"/>
  <c r="C43" i="16"/>
  <c r="C43" i="12" s="1"/>
  <c r="C142" i="16"/>
  <c r="C142" i="12" s="1"/>
  <c r="C65" i="16"/>
  <c r="C65" i="12" s="1"/>
  <c r="C87" i="16"/>
  <c r="C87" i="12" s="1"/>
  <c r="N175" i="10"/>
  <c r="N176" i="9"/>
  <c r="C88" i="18"/>
  <c r="C88" i="6" s="1"/>
  <c r="C154" i="18"/>
  <c r="C154" i="6" s="1"/>
  <c r="C11" i="18"/>
  <c r="C11" i="6" s="1"/>
  <c r="C110" i="18"/>
  <c r="C110" i="6" s="1"/>
  <c r="C33" i="18"/>
  <c r="C33" i="6" s="1"/>
  <c r="C121" i="18"/>
  <c r="C121" i="6" s="1"/>
  <c r="C143" i="18"/>
  <c r="C143" i="6" s="1"/>
  <c r="C66" i="18"/>
  <c r="C66" i="6" s="1"/>
  <c r="C44" i="18"/>
  <c r="C44" i="6" s="1"/>
  <c r="C77" i="18"/>
  <c r="C77" i="6" s="1"/>
  <c r="C55" i="18"/>
  <c r="C55" i="6" s="1"/>
  <c r="N173" i="11"/>
  <c r="C32" i="17"/>
  <c r="C32" i="13" s="1"/>
  <c r="C153" i="17"/>
  <c r="C153" i="13" s="1"/>
  <c r="C54" i="17"/>
  <c r="C54" i="13" s="1"/>
  <c r="C120" i="17"/>
  <c r="C120" i="13" s="1"/>
  <c r="C10" i="17"/>
  <c r="C10" i="13" s="1"/>
  <c r="C98" i="17"/>
  <c r="C98" i="13" s="1"/>
  <c r="C131" i="17"/>
  <c r="C131" i="13" s="1"/>
  <c r="C43" i="17"/>
  <c r="C43" i="13" s="1"/>
  <c r="C65" i="17"/>
  <c r="C65" i="13" s="1"/>
  <c r="C87" i="17"/>
  <c r="C87" i="13" s="1"/>
  <c r="C142" i="17"/>
  <c r="C142" i="13" s="1"/>
  <c r="C76" i="17"/>
  <c r="C76" i="13" s="1"/>
  <c r="C109" i="17"/>
  <c r="C109" i="13" s="1"/>
  <c r="C21" i="17"/>
  <c r="C21" i="13" s="1"/>
  <c r="N175" i="11"/>
  <c r="C82" i="18"/>
  <c r="C148" i="18"/>
  <c r="C148" i="6" s="1"/>
  <c r="C5" i="18"/>
  <c r="C5" i="6" s="1"/>
  <c r="C38" i="18"/>
  <c r="C38" i="6" s="1"/>
  <c r="C71" i="18"/>
  <c r="C71" i="6" s="1"/>
  <c r="C104" i="18"/>
  <c r="C104" i="6" s="1"/>
  <c r="C27" i="18"/>
  <c r="C27" i="6" s="1"/>
  <c r="C60" i="18"/>
  <c r="C60" i="6" s="1"/>
  <c r="C137" i="18"/>
  <c r="C137" i="6" s="1"/>
  <c r="C115" i="18"/>
  <c r="C115" i="6" s="1"/>
  <c r="C49" i="18"/>
  <c r="C49" i="6" s="1"/>
  <c r="C126" i="18"/>
  <c r="N170" i="9"/>
  <c r="N172" i="9"/>
  <c r="C38" i="16"/>
  <c r="C38" i="12" s="1"/>
  <c r="C126" i="16"/>
  <c r="C148" i="16"/>
  <c r="C148" i="12" s="1"/>
  <c r="C104" i="16"/>
  <c r="C104" i="12" s="1"/>
  <c r="C82" i="16"/>
  <c r="C82" i="12" s="1"/>
  <c r="C27" i="16"/>
  <c r="C27" i="12" s="1"/>
  <c r="C5" i="16"/>
  <c r="C5" i="12" s="1"/>
  <c r="C137" i="16"/>
  <c r="C137" i="12" s="1"/>
  <c r="C71" i="16"/>
  <c r="C71" i="12" s="1"/>
  <c r="C49" i="16"/>
  <c r="C49" i="12" s="1"/>
  <c r="C115" i="16"/>
  <c r="C115" i="12" s="1"/>
  <c r="C60" i="16"/>
  <c r="C60" i="12" s="1"/>
  <c r="N170" i="10"/>
  <c r="C152" i="16"/>
  <c r="C119" i="16"/>
  <c r="C9" i="16"/>
  <c r="C20" i="16"/>
  <c r="C86" i="16"/>
  <c r="C75" i="16"/>
  <c r="C97" i="16"/>
  <c r="C42" i="16"/>
  <c r="C64" i="16"/>
  <c r="C31" i="16"/>
  <c r="C130" i="16"/>
  <c r="C108" i="16"/>
  <c r="C141" i="16"/>
  <c r="C53" i="16"/>
  <c r="N174" i="10"/>
  <c r="C132" i="16"/>
  <c r="N176" i="10"/>
  <c r="C154" i="16"/>
  <c r="C154" i="12" s="1"/>
  <c r="C121" i="16"/>
  <c r="C121" i="12" s="1"/>
  <c r="C55" i="16"/>
  <c r="C55" i="12" s="1"/>
  <c r="C88" i="16"/>
  <c r="C88" i="12" s="1"/>
  <c r="C110" i="16"/>
  <c r="C110" i="12" s="1"/>
  <c r="C33" i="16"/>
  <c r="C33" i="12" s="1"/>
  <c r="C44" i="16"/>
  <c r="C44" i="12" s="1"/>
  <c r="C11" i="16"/>
  <c r="C11" i="12" s="1"/>
  <c r="C66" i="16"/>
  <c r="C66" i="12" s="1"/>
  <c r="C77" i="16"/>
  <c r="C77" i="12" s="1"/>
  <c r="C143" i="16"/>
  <c r="C143" i="12" s="1"/>
  <c r="C152" i="17"/>
  <c r="C108" i="17"/>
  <c r="C42" i="17"/>
  <c r="C31" i="17"/>
  <c r="C86" i="17"/>
  <c r="C119" i="17"/>
  <c r="C75" i="17"/>
  <c r="C9" i="17"/>
  <c r="C130" i="17"/>
  <c r="C64" i="17"/>
  <c r="C53" i="17"/>
  <c r="C20" i="17"/>
  <c r="C141" i="17"/>
  <c r="C97" i="17"/>
  <c r="N174" i="11"/>
  <c r="C54" i="18"/>
  <c r="C54" i="6" s="1"/>
  <c r="C153" i="18"/>
  <c r="C153" i="6" s="1"/>
  <c r="C98" i="18"/>
  <c r="C98" i="6" s="1"/>
  <c r="C10" i="18"/>
  <c r="C10" i="6" s="1"/>
  <c r="C76" i="18"/>
  <c r="C76" i="6" s="1"/>
  <c r="C43" i="18"/>
  <c r="C43" i="6" s="1"/>
  <c r="C142" i="18"/>
  <c r="C142" i="6" s="1"/>
  <c r="C131" i="18"/>
  <c r="C131" i="6" s="1"/>
  <c r="C21" i="18"/>
  <c r="C21" i="6" s="1"/>
  <c r="C87" i="18"/>
  <c r="C87" i="6" s="1"/>
  <c r="C120" i="18"/>
  <c r="C120" i="6" s="1"/>
  <c r="C109" i="18"/>
  <c r="C109" i="6" s="1"/>
  <c r="C32" i="18"/>
  <c r="C32" i="6" s="1"/>
  <c r="C65" i="18"/>
  <c r="C65" i="6" s="1"/>
  <c r="N175" i="9"/>
  <c r="C9" i="18"/>
  <c r="C64" i="18"/>
  <c r="C86" i="18"/>
  <c r="C31" i="18"/>
  <c r="C20" i="18"/>
  <c r="C152" i="18"/>
  <c r="C119" i="18"/>
  <c r="C130" i="18"/>
  <c r="C53" i="18"/>
  <c r="C97" i="18"/>
  <c r="C141" i="18"/>
  <c r="C75" i="18"/>
  <c r="C108" i="18"/>
  <c r="C42" i="18"/>
  <c r="N174" i="9"/>
  <c r="N172" i="10"/>
  <c r="C58" i="16"/>
  <c r="C58" i="12" s="1"/>
  <c r="C14" i="16"/>
  <c r="C14" i="12" s="1"/>
  <c r="C135" i="16"/>
  <c r="C135" i="12" s="1"/>
  <c r="C80" i="16"/>
  <c r="C80" i="12" s="1"/>
  <c r="C113" i="16"/>
  <c r="C113" i="12" s="1"/>
  <c r="C124" i="16"/>
  <c r="C124" i="12" s="1"/>
  <c r="C157" i="16"/>
  <c r="C157" i="12" s="1"/>
  <c r="C146" i="16"/>
  <c r="C146" i="12" s="1"/>
  <c r="C47" i="16"/>
  <c r="C47" i="12" s="1"/>
  <c r="C25" i="16"/>
  <c r="C25" i="12" s="1"/>
  <c r="C102" i="16"/>
  <c r="C102" i="12" s="1"/>
  <c r="C91" i="16"/>
  <c r="C91" i="12" s="1"/>
  <c r="C36" i="16"/>
  <c r="C36" i="12" s="1"/>
  <c r="C69" i="16"/>
  <c r="C69" i="12" s="1"/>
  <c r="N179" i="10"/>
  <c r="N176" i="11"/>
  <c r="C132" i="17"/>
  <c r="C121" i="17"/>
  <c r="C121" i="13" s="1"/>
  <c r="C33" i="17"/>
  <c r="C33" i="13" s="1"/>
  <c r="C55" i="17"/>
  <c r="C55" i="13" s="1"/>
  <c r="C11" i="17"/>
  <c r="C11" i="13" s="1"/>
  <c r="C110" i="17"/>
  <c r="C110" i="13" s="1"/>
  <c r="C143" i="17"/>
  <c r="C143" i="13" s="1"/>
  <c r="C88" i="17"/>
  <c r="C88" i="13" s="1"/>
  <c r="C77" i="17"/>
  <c r="C77" i="13" s="1"/>
  <c r="C44" i="17"/>
  <c r="C44" i="13" s="1"/>
  <c r="C154" i="17"/>
  <c r="C154" i="13" s="1"/>
  <c r="C66" i="17"/>
  <c r="C66" i="13" s="1"/>
  <c r="D52" i="6" l="1"/>
  <c r="E129" i="13"/>
  <c r="K11" i="18"/>
  <c r="K11" i="6" s="1"/>
  <c r="K33" i="18"/>
  <c r="K33" i="6" s="1"/>
  <c r="K77" i="18"/>
  <c r="K77" i="6" s="1"/>
  <c r="K121" i="18"/>
  <c r="K121" i="6" s="1"/>
  <c r="K132" i="16"/>
  <c r="K143" i="18"/>
  <c r="K143" i="6" s="1"/>
  <c r="K55" i="18"/>
  <c r="K55" i="6" s="1"/>
  <c r="K66" i="18"/>
  <c r="K66" i="6" s="1"/>
  <c r="K154" i="18"/>
  <c r="K154" i="6" s="1"/>
  <c r="K110" i="18"/>
  <c r="K110" i="6" s="1"/>
  <c r="K44" i="18"/>
  <c r="K44" i="6" s="1"/>
  <c r="K88" i="18"/>
  <c r="K88" i="6" s="1"/>
  <c r="K143" i="16"/>
  <c r="K143" i="12" s="1"/>
  <c r="K121" i="16"/>
  <c r="K121" i="12" s="1"/>
  <c r="K77" i="16"/>
  <c r="K77" i="12" s="1"/>
  <c r="K55" i="16"/>
  <c r="K55" i="12" s="1"/>
  <c r="K110" i="16"/>
  <c r="K110" i="12" s="1"/>
  <c r="K66" i="16"/>
  <c r="K66" i="12" s="1"/>
  <c r="K11" i="16"/>
  <c r="K11" i="12" s="1"/>
  <c r="K88" i="16"/>
  <c r="K88" i="12" s="1"/>
  <c r="K154" i="16"/>
  <c r="K154" i="12" s="1"/>
  <c r="K44" i="16"/>
  <c r="K44" i="12" s="1"/>
  <c r="K33" i="16"/>
  <c r="K33" i="12" s="1"/>
  <c r="K154" i="17"/>
  <c r="K154" i="13" s="1"/>
  <c r="K143" i="17"/>
  <c r="K143" i="13" s="1"/>
  <c r="K121" i="17"/>
  <c r="K121" i="13" s="1"/>
  <c r="K88" i="17"/>
  <c r="K88" i="13" s="1"/>
  <c r="K44" i="17"/>
  <c r="K44" i="13" s="1"/>
  <c r="K110" i="17"/>
  <c r="K110" i="13" s="1"/>
  <c r="K55" i="17"/>
  <c r="K55" i="13" s="1"/>
  <c r="K77" i="17"/>
  <c r="K77" i="13" s="1"/>
  <c r="K11" i="17"/>
  <c r="K11" i="13" s="1"/>
  <c r="K66" i="17"/>
  <c r="K66" i="13" s="1"/>
  <c r="K33" i="17"/>
  <c r="K33" i="13" s="1"/>
  <c r="E129" i="12"/>
  <c r="E64" i="6"/>
  <c r="E59" i="6" s="1"/>
  <c r="D127" i="6"/>
  <c r="E52" i="12"/>
  <c r="E75" i="13"/>
  <c r="D42" i="6"/>
  <c r="D37" i="6" s="1"/>
  <c r="G125" i="6"/>
  <c r="D53" i="6"/>
  <c r="D48" i="6" s="1"/>
  <c r="D133" i="13"/>
  <c r="D127" i="13"/>
  <c r="D126" i="13"/>
  <c r="D128" i="13"/>
  <c r="D129" i="13"/>
  <c r="D132" i="13"/>
  <c r="E64" i="13"/>
  <c r="E86" i="6"/>
  <c r="E81" i="6" s="1"/>
  <c r="F125" i="6"/>
  <c r="D31" i="6"/>
  <c r="D26" i="6" s="1"/>
  <c r="E119" i="13"/>
  <c r="D108" i="6"/>
  <c r="D103" i="6" s="1"/>
  <c r="E152" i="6"/>
  <c r="E147" i="6" s="1"/>
  <c r="E31" i="13"/>
  <c r="D119" i="6"/>
  <c r="D114" i="6" s="1"/>
  <c r="E75" i="6"/>
  <c r="E70" i="6" s="1"/>
  <c r="E126" i="6"/>
  <c r="D152" i="13"/>
  <c r="D53" i="13"/>
  <c r="D64" i="6"/>
  <c r="D59" i="6" s="1"/>
  <c r="D9" i="13"/>
  <c r="D141" i="13"/>
  <c r="E152" i="13"/>
  <c r="E133" i="6"/>
  <c r="E31" i="6"/>
  <c r="E26" i="6" s="1"/>
  <c r="D42" i="13"/>
  <c r="E119" i="6"/>
  <c r="E114" i="6" s="1"/>
  <c r="C117" i="16"/>
  <c r="C117" i="12" s="1"/>
  <c r="D119" i="13"/>
  <c r="E42" i="6"/>
  <c r="E37" i="6" s="1"/>
  <c r="E129" i="6"/>
  <c r="C106" i="16"/>
  <c r="C106" i="12" s="1"/>
  <c r="E132" i="6"/>
  <c r="E53" i="13"/>
  <c r="E128" i="6"/>
  <c r="E127" i="6"/>
  <c r="E42" i="13"/>
  <c r="D86" i="6"/>
  <c r="D81" i="6" s="1"/>
  <c r="D75" i="6"/>
  <c r="D70" i="6" s="1"/>
  <c r="D64" i="13"/>
  <c r="C129" i="16"/>
  <c r="D75" i="13"/>
  <c r="E141" i="12"/>
  <c r="E127" i="13"/>
  <c r="C40" i="16"/>
  <c r="C40" i="12" s="1"/>
  <c r="C7" i="16"/>
  <c r="C7" i="12" s="1"/>
  <c r="C129" i="18"/>
  <c r="E133" i="13"/>
  <c r="E42" i="12"/>
  <c r="E132" i="13"/>
  <c r="D108" i="13"/>
  <c r="D132" i="12"/>
  <c r="E9" i="6"/>
  <c r="E4" i="6" s="1"/>
  <c r="F130" i="13"/>
  <c r="C118" i="17"/>
  <c r="C118" i="13" s="1"/>
  <c r="D133" i="12"/>
  <c r="E108" i="13"/>
  <c r="D129" i="12"/>
  <c r="D9" i="6"/>
  <c r="D4" i="6" s="1"/>
  <c r="C29" i="16"/>
  <c r="C29" i="12" s="1"/>
  <c r="D126" i="12"/>
  <c r="D141" i="6"/>
  <c r="D136" i="6" s="1"/>
  <c r="E108" i="6"/>
  <c r="E103" i="6" s="1"/>
  <c r="D31" i="13"/>
  <c r="E52" i="6"/>
  <c r="E141" i="13"/>
  <c r="D86" i="13"/>
  <c r="C150" i="16"/>
  <c r="C150" i="12" s="1"/>
  <c r="C129" i="17"/>
  <c r="E64" i="12"/>
  <c r="C139" i="16"/>
  <c r="C139" i="12" s="1"/>
  <c r="C84" i="16"/>
  <c r="C84" i="12" s="1"/>
  <c r="C52" i="17"/>
  <c r="C52" i="13" s="1"/>
  <c r="E152" i="12"/>
  <c r="E86" i="13"/>
  <c r="C140" i="17"/>
  <c r="C140" i="13" s="1"/>
  <c r="C62" i="16"/>
  <c r="C62" i="12" s="1"/>
  <c r="C74" i="17"/>
  <c r="C74" i="13" s="1"/>
  <c r="C30" i="17"/>
  <c r="C30" i="13" s="1"/>
  <c r="D64" i="12"/>
  <c r="D152" i="6"/>
  <c r="D147" i="6" s="1"/>
  <c r="C51" i="18"/>
  <c r="C51" i="6" s="1"/>
  <c r="C85" i="17"/>
  <c r="C85" i="13" s="1"/>
  <c r="C107" i="17"/>
  <c r="C107" i="13" s="1"/>
  <c r="C151" i="17"/>
  <c r="C151" i="13" s="1"/>
  <c r="E127" i="12"/>
  <c r="C51" i="16"/>
  <c r="C51" i="12" s="1"/>
  <c r="C7" i="18"/>
  <c r="C7" i="6" s="1"/>
  <c r="C84" i="18"/>
  <c r="C84" i="6" s="1"/>
  <c r="D52" i="12"/>
  <c r="C128" i="16"/>
  <c r="C128" i="12" s="1"/>
  <c r="C73" i="16"/>
  <c r="C73" i="12" s="1"/>
  <c r="C139" i="18"/>
  <c r="C139" i="6" s="1"/>
  <c r="C41" i="17"/>
  <c r="C41" i="13" s="1"/>
  <c r="C63" i="17"/>
  <c r="C63" i="13" s="1"/>
  <c r="E31" i="12"/>
  <c r="C106" i="18"/>
  <c r="C106" i="6" s="1"/>
  <c r="C73" i="18"/>
  <c r="C73" i="6" s="1"/>
  <c r="C8" i="17"/>
  <c r="C8" i="13" s="1"/>
  <c r="C29" i="18"/>
  <c r="C29" i="6" s="1"/>
  <c r="E75" i="12"/>
  <c r="D9" i="12"/>
  <c r="D126" i="6"/>
  <c r="F130" i="12"/>
  <c r="F53" i="12"/>
  <c r="C62" i="18"/>
  <c r="C62" i="6" s="1"/>
  <c r="C40" i="18"/>
  <c r="C40" i="6" s="1"/>
  <c r="C150" i="18"/>
  <c r="C150" i="6" s="1"/>
  <c r="D152" i="12"/>
  <c r="E86" i="12"/>
  <c r="D119" i="12"/>
  <c r="E9" i="12"/>
  <c r="E119" i="12"/>
  <c r="E141" i="6"/>
  <c r="E136" i="6" s="1"/>
  <c r="D127" i="12"/>
  <c r="D108" i="12"/>
  <c r="C117" i="18"/>
  <c r="C117" i="6" s="1"/>
  <c r="E128" i="12"/>
  <c r="E133" i="12"/>
  <c r="D31" i="12"/>
  <c r="E108" i="12"/>
  <c r="E132" i="12"/>
  <c r="D129" i="6"/>
  <c r="D42" i="12"/>
  <c r="E9" i="13"/>
  <c r="D141" i="12"/>
  <c r="D75" i="12"/>
  <c r="D86" i="12"/>
  <c r="E126" i="13"/>
  <c r="E126" i="12"/>
  <c r="D128" i="6"/>
  <c r="D133" i="6"/>
  <c r="D132" i="6"/>
  <c r="C164" i="6"/>
  <c r="C164" i="12"/>
  <c r="C74" i="18"/>
  <c r="C74" i="6" s="1"/>
  <c r="C30" i="18"/>
  <c r="C30" i="6" s="1"/>
  <c r="C118" i="16"/>
  <c r="C118" i="12" s="1"/>
  <c r="C140" i="16"/>
  <c r="C140" i="12" s="1"/>
  <c r="C156" i="6"/>
  <c r="C134" i="6"/>
  <c r="C29" i="17"/>
  <c r="C29" i="13" s="1"/>
  <c r="C84" i="17"/>
  <c r="C84" i="13" s="1"/>
  <c r="C139" i="17"/>
  <c r="C139" i="13" s="1"/>
  <c r="C168" i="12"/>
  <c r="C85" i="18"/>
  <c r="C85" i="6" s="1"/>
  <c r="C82" i="6"/>
  <c r="C151" i="18"/>
  <c r="C151" i="6" s="1"/>
  <c r="C41" i="18"/>
  <c r="C41" i="6" s="1"/>
  <c r="C140" i="18"/>
  <c r="C140" i="6" s="1"/>
  <c r="C151" i="16"/>
  <c r="C151" i="12" s="1"/>
  <c r="C107" i="16"/>
  <c r="C107" i="12" s="1"/>
  <c r="C30" i="16"/>
  <c r="C30" i="12" s="1"/>
  <c r="C40" i="17"/>
  <c r="C40" i="13" s="1"/>
  <c r="C73" i="17"/>
  <c r="C73" i="13" s="1"/>
  <c r="C150" i="17"/>
  <c r="C150" i="13" s="1"/>
  <c r="C128" i="18"/>
  <c r="C118" i="18"/>
  <c r="C118" i="6" s="1"/>
  <c r="C8" i="18"/>
  <c r="C8" i="6" s="1"/>
  <c r="C85" i="16"/>
  <c r="C85" i="12" s="1"/>
  <c r="C52" i="16"/>
  <c r="C8" i="16"/>
  <c r="C8" i="12" s="1"/>
  <c r="C168" i="6"/>
  <c r="C168" i="13"/>
  <c r="C117" i="17"/>
  <c r="C117" i="13" s="1"/>
  <c r="C106" i="17"/>
  <c r="C106" i="13" s="1"/>
  <c r="C128" i="17"/>
  <c r="C164" i="13"/>
  <c r="C52" i="18"/>
  <c r="C63" i="18"/>
  <c r="C63" i="6" s="1"/>
  <c r="C107" i="18"/>
  <c r="C107" i="6" s="1"/>
  <c r="C74" i="16"/>
  <c r="C74" i="12" s="1"/>
  <c r="C41" i="16"/>
  <c r="C41" i="12" s="1"/>
  <c r="C63" i="16"/>
  <c r="C63" i="12" s="1"/>
  <c r="C62" i="17"/>
  <c r="C62" i="13" s="1"/>
  <c r="C7" i="17"/>
  <c r="C7" i="13" s="1"/>
  <c r="C51" i="17"/>
  <c r="C51" i="13" s="1"/>
  <c r="E53" i="12" l="1"/>
  <c r="D130" i="12"/>
  <c r="E130" i="13"/>
  <c r="K167" i="18"/>
  <c r="K57" i="18" s="1"/>
  <c r="K57" i="6" s="1"/>
  <c r="K159" i="18"/>
  <c r="K49" i="18" s="1"/>
  <c r="K163" i="18"/>
  <c r="K108" i="18" s="1"/>
  <c r="K161" i="18"/>
  <c r="K162" i="18"/>
  <c r="K160" i="18"/>
  <c r="K50" i="18" s="1"/>
  <c r="K50" i="6" s="1"/>
  <c r="K164" i="18"/>
  <c r="K43" i="18" s="1"/>
  <c r="K43" i="6" s="1"/>
  <c r="K168" i="18"/>
  <c r="K102" i="18" s="1"/>
  <c r="K102" i="6" s="1"/>
  <c r="K25" i="16"/>
  <c r="K25" i="12" s="1"/>
  <c r="K61" i="16"/>
  <c r="K61" i="12" s="1"/>
  <c r="K75" i="16"/>
  <c r="K6" i="16"/>
  <c r="K6" i="12" s="1"/>
  <c r="K124" i="16"/>
  <c r="K124" i="12" s="1"/>
  <c r="K50" i="16"/>
  <c r="K50" i="12" s="1"/>
  <c r="K47" i="16"/>
  <c r="K47" i="12" s="1"/>
  <c r="K138" i="16"/>
  <c r="K138" i="12" s="1"/>
  <c r="K9" i="16"/>
  <c r="K135" i="16"/>
  <c r="K135" i="12" s="1"/>
  <c r="K28" i="16"/>
  <c r="K28" i="12" s="1"/>
  <c r="K116" i="16"/>
  <c r="K116" i="12" s="1"/>
  <c r="K82" i="16"/>
  <c r="K82" i="12" s="1"/>
  <c r="K105" i="16"/>
  <c r="K105" i="12" s="1"/>
  <c r="K108" i="16"/>
  <c r="K65" i="16"/>
  <c r="K65" i="12" s="1"/>
  <c r="K36" i="16"/>
  <c r="K36" i="12" s="1"/>
  <c r="K97" i="17"/>
  <c r="K120" i="17"/>
  <c r="K120" i="13" s="1"/>
  <c r="K82" i="17"/>
  <c r="K112" i="17"/>
  <c r="K112" i="13" s="1"/>
  <c r="K135" i="17"/>
  <c r="K135" i="13" s="1"/>
  <c r="K116" i="17"/>
  <c r="K116" i="13" s="1"/>
  <c r="C64" i="6"/>
  <c r="C59" i="6" s="1"/>
  <c r="C141" i="6"/>
  <c r="C136" i="6" s="1"/>
  <c r="D130" i="13"/>
  <c r="C129" i="6"/>
  <c r="C108" i="6"/>
  <c r="C103" i="6" s="1"/>
  <c r="C64" i="13"/>
  <c r="C86" i="13"/>
  <c r="C129" i="12"/>
  <c r="C152" i="13"/>
  <c r="C132" i="13"/>
  <c r="D130" i="6"/>
  <c r="C108" i="13"/>
  <c r="C9" i="12"/>
  <c r="C152" i="6"/>
  <c r="C147" i="6" s="1"/>
  <c r="E130" i="6"/>
  <c r="E125" i="6" s="1"/>
  <c r="D53" i="12"/>
  <c r="C53" i="13"/>
  <c r="C119" i="13"/>
  <c r="C75" i="13"/>
  <c r="C86" i="6"/>
  <c r="C81" i="6" s="1"/>
  <c r="C75" i="6"/>
  <c r="C70" i="6" s="1"/>
  <c r="C31" i="13"/>
  <c r="C133" i="12"/>
  <c r="C126" i="12"/>
  <c r="C132" i="12"/>
  <c r="C42" i="13"/>
  <c r="C127" i="12"/>
  <c r="C31" i="6"/>
  <c r="C26" i="6" s="1"/>
  <c r="C141" i="12"/>
  <c r="C141" i="13"/>
  <c r="C129" i="13"/>
  <c r="C9" i="6"/>
  <c r="C4" i="6" s="1"/>
  <c r="E53" i="6"/>
  <c r="C42" i="6"/>
  <c r="C37" i="6" s="1"/>
  <c r="C119" i="6"/>
  <c r="C114" i="6" s="1"/>
  <c r="E130" i="12"/>
  <c r="C108" i="12"/>
  <c r="C127" i="6"/>
  <c r="C9" i="13"/>
  <c r="C42" i="12"/>
  <c r="C86" i="12"/>
  <c r="C31" i="12"/>
  <c r="C128" i="13"/>
  <c r="C133" i="13"/>
  <c r="C127" i="13"/>
  <c r="C64" i="12"/>
  <c r="C52" i="6"/>
  <c r="C53" i="6" s="1"/>
  <c r="C48" i="6" s="1"/>
  <c r="C126" i="13"/>
  <c r="C126" i="6"/>
  <c r="C119" i="12"/>
  <c r="C52" i="12"/>
  <c r="C128" i="6"/>
  <c r="C132" i="6"/>
  <c r="C152" i="12"/>
  <c r="C75" i="12"/>
  <c r="C133" i="6"/>
  <c r="K20" i="18" l="1"/>
  <c r="K54" i="18"/>
  <c r="K54" i="6" s="1"/>
  <c r="K42" i="18"/>
  <c r="K148" i="18"/>
  <c r="K148" i="6" s="1"/>
  <c r="K145" i="18"/>
  <c r="K145" i="6" s="1"/>
  <c r="K98" i="18"/>
  <c r="K98" i="6" s="1"/>
  <c r="K141" i="18"/>
  <c r="K124" i="18"/>
  <c r="K124" i="6" s="1"/>
  <c r="K46" i="18"/>
  <c r="K46" i="6" s="1"/>
  <c r="K36" i="18"/>
  <c r="K36" i="6" s="1"/>
  <c r="K82" i="18"/>
  <c r="K82" i="6" s="1"/>
  <c r="K131" i="18"/>
  <c r="K131" i="6" s="1"/>
  <c r="K9" i="18"/>
  <c r="K32" i="18"/>
  <c r="K32" i="6" s="1"/>
  <c r="K134" i="18"/>
  <c r="K79" i="18"/>
  <c r="K79" i="6" s="1"/>
  <c r="K10" i="18"/>
  <c r="K10" i="6" s="1"/>
  <c r="K152" i="18"/>
  <c r="K157" i="18"/>
  <c r="K157" i="6" s="1"/>
  <c r="K64" i="18"/>
  <c r="K137" i="18"/>
  <c r="K137" i="6" s="1"/>
  <c r="K123" i="18"/>
  <c r="K123" i="6" s="1"/>
  <c r="K71" i="18"/>
  <c r="K71" i="6" s="1"/>
  <c r="K21" i="18"/>
  <c r="K21" i="6" s="1"/>
  <c r="K112" i="18"/>
  <c r="K112" i="6" s="1"/>
  <c r="K130" i="18"/>
  <c r="K97" i="18"/>
  <c r="K49" i="6"/>
  <c r="K52" i="18"/>
  <c r="K51" i="18"/>
  <c r="K51" i="6" s="1"/>
  <c r="K6" i="18"/>
  <c r="K6" i="6" s="1"/>
  <c r="K83" i="18"/>
  <c r="K127" i="18"/>
  <c r="K58" i="18"/>
  <c r="K58" i="6" s="1"/>
  <c r="K135" i="18"/>
  <c r="K135" i="6" s="1"/>
  <c r="K61" i="18"/>
  <c r="K61" i="6" s="1"/>
  <c r="K126" i="18"/>
  <c r="K87" i="18"/>
  <c r="K87" i="6" s="1"/>
  <c r="K38" i="18"/>
  <c r="K14" i="18"/>
  <c r="K14" i="6" s="1"/>
  <c r="K31" i="18"/>
  <c r="K13" i="18"/>
  <c r="K13" i="6" s="1"/>
  <c r="K5" i="18"/>
  <c r="K5" i="6" s="1"/>
  <c r="K75" i="18"/>
  <c r="K65" i="18"/>
  <c r="K65" i="6" s="1"/>
  <c r="K91" i="18"/>
  <c r="K91" i="6" s="1"/>
  <c r="K90" i="18"/>
  <c r="K90" i="6" s="1"/>
  <c r="K116" i="18"/>
  <c r="K116" i="6" s="1"/>
  <c r="K80" i="18"/>
  <c r="K80" i="6" s="1"/>
  <c r="K119" i="18"/>
  <c r="K35" i="18"/>
  <c r="K35" i="6" s="1"/>
  <c r="K142" i="18"/>
  <c r="K142" i="6" s="1"/>
  <c r="K53" i="18"/>
  <c r="K138" i="18"/>
  <c r="K27" i="18"/>
  <c r="K156" i="18"/>
  <c r="K39" i="18"/>
  <c r="K39" i="6" s="1"/>
  <c r="K105" i="18"/>
  <c r="K105" i="6" s="1"/>
  <c r="K149" i="18"/>
  <c r="K149" i="6" s="1"/>
  <c r="K113" i="18"/>
  <c r="K113" i="6" s="1"/>
  <c r="K60" i="18"/>
  <c r="K72" i="18"/>
  <c r="K28" i="18"/>
  <c r="K28" i="6" s="1"/>
  <c r="K109" i="18"/>
  <c r="K109" i="6" s="1"/>
  <c r="K115" i="18"/>
  <c r="K115" i="6" s="1"/>
  <c r="K47" i="18"/>
  <c r="K47" i="6" s="1"/>
  <c r="K86" i="18"/>
  <c r="K101" i="18"/>
  <c r="K101" i="6" s="1"/>
  <c r="K104" i="18"/>
  <c r="K104" i="6" s="1"/>
  <c r="K120" i="18"/>
  <c r="K120" i="6" s="1"/>
  <c r="K25" i="18"/>
  <c r="K25" i="6" s="1"/>
  <c r="K76" i="18"/>
  <c r="K76" i="6" s="1"/>
  <c r="K69" i="18"/>
  <c r="K69" i="6" s="1"/>
  <c r="K153" i="18"/>
  <c r="K153" i="6" s="1"/>
  <c r="K146" i="18"/>
  <c r="K146" i="6" s="1"/>
  <c r="K68" i="18"/>
  <c r="K68" i="6" s="1"/>
  <c r="K104" i="17"/>
  <c r="K104" i="13" s="1"/>
  <c r="K27" i="17"/>
  <c r="K27" i="13" s="1"/>
  <c r="K5" i="17"/>
  <c r="K5" i="13" s="1"/>
  <c r="K152" i="17"/>
  <c r="K53" i="17"/>
  <c r="K86" i="17"/>
  <c r="K68" i="17"/>
  <c r="K68" i="13" s="1"/>
  <c r="K25" i="17"/>
  <c r="K25" i="13" s="1"/>
  <c r="K80" i="17"/>
  <c r="K80" i="13" s="1"/>
  <c r="K156" i="17"/>
  <c r="K156" i="13" s="1"/>
  <c r="K90" i="17"/>
  <c r="K90" i="13" s="1"/>
  <c r="K46" i="17"/>
  <c r="K46" i="13" s="1"/>
  <c r="K31" i="17"/>
  <c r="K82" i="13"/>
  <c r="K127" i="17"/>
  <c r="K98" i="17"/>
  <c r="K98" i="13" s="1"/>
  <c r="K43" i="17"/>
  <c r="K43" i="13" s="1"/>
  <c r="K6" i="17"/>
  <c r="K142" i="17"/>
  <c r="K142" i="13" s="1"/>
  <c r="K109" i="17"/>
  <c r="K109" i="13" s="1"/>
  <c r="K134" i="17"/>
  <c r="K134" i="13" s="1"/>
  <c r="K28" i="17"/>
  <c r="K137" i="17"/>
  <c r="K137" i="13" s="1"/>
  <c r="K76" i="17"/>
  <c r="K76" i="13" s="1"/>
  <c r="K47" i="17"/>
  <c r="K47" i="13" s="1"/>
  <c r="K39" i="17"/>
  <c r="K39" i="13" s="1"/>
  <c r="K145" i="17"/>
  <c r="K145" i="13" s="1"/>
  <c r="K71" i="17"/>
  <c r="K75" i="17"/>
  <c r="K87" i="17"/>
  <c r="K87" i="13" s="1"/>
  <c r="K36" i="17"/>
  <c r="K36" i="13" s="1"/>
  <c r="K72" i="17"/>
  <c r="K72" i="13" s="1"/>
  <c r="K54" i="17"/>
  <c r="K54" i="13" s="1"/>
  <c r="K13" i="17"/>
  <c r="K13" i="13" s="1"/>
  <c r="K83" i="17"/>
  <c r="K83" i="13" s="1"/>
  <c r="K115" i="17"/>
  <c r="K117" i="17" s="1"/>
  <c r="K117" i="13" s="1"/>
  <c r="K141" i="17"/>
  <c r="K124" i="17"/>
  <c r="K124" i="13" s="1"/>
  <c r="K123" i="17"/>
  <c r="K123" i="13" s="1"/>
  <c r="K65" i="17"/>
  <c r="K65" i="13" s="1"/>
  <c r="K61" i="17"/>
  <c r="K61" i="13" s="1"/>
  <c r="K101" i="17"/>
  <c r="K101" i="13" s="1"/>
  <c r="K50" i="17"/>
  <c r="K50" i="13" s="1"/>
  <c r="K20" i="17"/>
  <c r="K21" i="17"/>
  <c r="K21" i="13" s="1"/>
  <c r="K91" i="17"/>
  <c r="K91" i="13" s="1"/>
  <c r="K126" i="17"/>
  <c r="K79" i="17"/>
  <c r="K79" i="13" s="1"/>
  <c r="K105" i="17"/>
  <c r="K49" i="17"/>
  <c r="K49" i="13" s="1"/>
  <c r="K42" i="17"/>
  <c r="K131" i="17"/>
  <c r="K131" i="13" s="1"/>
  <c r="K14" i="17"/>
  <c r="K14" i="13" s="1"/>
  <c r="K60" i="17"/>
  <c r="K69" i="17"/>
  <c r="K69" i="13" s="1"/>
  <c r="K149" i="17"/>
  <c r="K149" i="13" s="1"/>
  <c r="K148" i="17"/>
  <c r="K130" i="17"/>
  <c r="K10" i="17"/>
  <c r="K10" i="13" s="1"/>
  <c r="K102" i="17"/>
  <c r="K102" i="13" s="1"/>
  <c r="K113" i="17"/>
  <c r="K113" i="13" s="1"/>
  <c r="K32" i="17"/>
  <c r="K32" i="13" s="1"/>
  <c r="K57" i="17"/>
  <c r="K57" i="13" s="1"/>
  <c r="K119" i="17"/>
  <c r="K153" i="17"/>
  <c r="K153" i="13" s="1"/>
  <c r="K146" i="17"/>
  <c r="K146" i="13" s="1"/>
  <c r="K9" i="17"/>
  <c r="K35" i="17"/>
  <c r="K35" i="13" s="1"/>
  <c r="K138" i="17"/>
  <c r="K138" i="13" s="1"/>
  <c r="K64" i="17"/>
  <c r="K58" i="17"/>
  <c r="K58" i="13" s="1"/>
  <c r="K108" i="17"/>
  <c r="K38" i="17"/>
  <c r="K157" i="17"/>
  <c r="K157" i="13" s="1"/>
  <c r="K104" i="16"/>
  <c r="K104" i="12" s="1"/>
  <c r="K54" i="16"/>
  <c r="K54" i="12" s="1"/>
  <c r="K109" i="16"/>
  <c r="K109" i="12" s="1"/>
  <c r="K102" i="16"/>
  <c r="K102" i="12" s="1"/>
  <c r="K148" i="16"/>
  <c r="K148" i="12" s="1"/>
  <c r="K69" i="16"/>
  <c r="K69" i="12" s="1"/>
  <c r="K49" i="16"/>
  <c r="K14" i="16"/>
  <c r="K14" i="12" s="1"/>
  <c r="K142" i="16"/>
  <c r="K142" i="12" s="1"/>
  <c r="K157" i="16"/>
  <c r="K157" i="12" s="1"/>
  <c r="K97" i="16"/>
  <c r="K126" i="16"/>
  <c r="K113" i="16"/>
  <c r="K113" i="12" s="1"/>
  <c r="K137" i="16"/>
  <c r="K32" i="16"/>
  <c r="K32" i="12" s="1"/>
  <c r="K31" i="16"/>
  <c r="K72" i="16"/>
  <c r="K72" i="12" s="1"/>
  <c r="K87" i="16"/>
  <c r="K87" i="12" s="1"/>
  <c r="K80" i="16"/>
  <c r="K80" i="12" s="1"/>
  <c r="K86" i="16"/>
  <c r="K10" i="16"/>
  <c r="K10" i="12" s="1"/>
  <c r="K53" i="16"/>
  <c r="K71" i="16"/>
  <c r="K71" i="12" s="1"/>
  <c r="K141" i="16"/>
  <c r="K21" i="16"/>
  <c r="K21" i="12" s="1"/>
  <c r="K58" i="16"/>
  <c r="K58" i="12" s="1"/>
  <c r="K42" i="16"/>
  <c r="K27" i="16"/>
  <c r="K127" i="16"/>
  <c r="K130" i="16"/>
  <c r="K131" i="16"/>
  <c r="K131" i="12" s="1"/>
  <c r="K64" i="16"/>
  <c r="K76" i="16"/>
  <c r="K76" i="12" s="1"/>
  <c r="K153" i="16"/>
  <c r="K153" i="12" s="1"/>
  <c r="K38" i="16"/>
  <c r="K38" i="12" s="1"/>
  <c r="K5" i="16"/>
  <c r="K7" i="16" s="1"/>
  <c r="K7" i="12" s="1"/>
  <c r="K149" i="16"/>
  <c r="K149" i="12" s="1"/>
  <c r="K120" i="16"/>
  <c r="K120" i="12" s="1"/>
  <c r="K91" i="16"/>
  <c r="K91" i="12" s="1"/>
  <c r="K152" i="16"/>
  <c r="K60" i="16"/>
  <c r="K43" i="16"/>
  <c r="K43" i="12" s="1"/>
  <c r="K20" i="16"/>
  <c r="K98" i="16"/>
  <c r="K98" i="12" s="1"/>
  <c r="K39" i="16"/>
  <c r="K39" i="12" s="1"/>
  <c r="K146" i="16"/>
  <c r="K146" i="12" s="1"/>
  <c r="K119" i="16"/>
  <c r="K115" i="16"/>
  <c r="K115" i="12" s="1"/>
  <c r="K83" i="16"/>
  <c r="C130" i="6"/>
  <c r="D125" i="6"/>
  <c r="C130" i="12"/>
  <c r="E48" i="6"/>
  <c r="C130" i="13"/>
  <c r="C53" i="12"/>
  <c r="K63" i="18" l="1"/>
  <c r="K63" i="6" s="1"/>
  <c r="K52" i="6"/>
  <c r="K53" i="6" s="1"/>
  <c r="K48" i="6" s="1"/>
  <c r="K40" i="18"/>
  <c r="K40" i="6" s="1"/>
  <c r="K129" i="18"/>
  <c r="K107" i="17"/>
  <c r="K107" i="13" s="1"/>
  <c r="K73" i="18"/>
  <c r="K73" i="6" s="1"/>
  <c r="K84" i="18"/>
  <c r="K84" i="6" s="1"/>
  <c r="K150" i="18"/>
  <c r="K150" i="6" s="1"/>
  <c r="K164" i="6"/>
  <c r="K128" i="18"/>
  <c r="K60" i="6"/>
  <c r="K62" i="18"/>
  <c r="K62" i="6" s="1"/>
  <c r="K27" i="6"/>
  <c r="K29" i="18"/>
  <c r="K29" i="6" s="1"/>
  <c r="K30" i="18"/>
  <c r="K30" i="6" s="1"/>
  <c r="K107" i="18"/>
  <c r="K107" i="6" s="1"/>
  <c r="K138" i="6"/>
  <c r="K140" i="18"/>
  <c r="K140" i="6" s="1"/>
  <c r="K168" i="6"/>
  <c r="K117" i="18"/>
  <c r="K117" i="6" s="1"/>
  <c r="K139" i="18"/>
  <c r="K139" i="6" s="1"/>
  <c r="K151" i="18"/>
  <c r="K151" i="6" s="1"/>
  <c r="K38" i="6"/>
  <c r="K41" i="18"/>
  <c r="K41" i="6" s="1"/>
  <c r="K7" i="18"/>
  <c r="K7" i="6" s="1"/>
  <c r="K106" i="18"/>
  <c r="K106" i="6" s="1"/>
  <c r="K72" i="6"/>
  <c r="K74" i="18"/>
  <c r="K74" i="6" s="1"/>
  <c r="K134" i="6"/>
  <c r="K156" i="6"/>
  <c r="K8" i="18"/>
  <c r="K8" i="6" s="1"/>
  <c r="K83" i="6"/>
  <c r="K85" i="18"/>
  <c r="K85" i="6" s="1"/>
  <c r="K118" i="18"/>
  <c r="K118" i="6" s="1"/>
  <c r="K29" i="17"/>
  <c r="K29" i="13" s="1"/>
  <c r="K129" i="17"/>
  <c r="K74" i="17"/>
  <c r="K74" i="13" s="1"/>
  <c r="K128" i="17"/>
  <c r="K128" i="13" s="1"/>
  <c r="K139" i="17"/>
  <c r="K139" i="13" s="1"/>
  <c r="K84" i="17"/>
  <c r="K84" i="13" s="1"/>
  <c r="K60" i="13"/>
  <c r="K63" i="17"/>
  <c r="K63" i="13" s="1"/>
  <c r="K52" i="17"/>
  <c r="K52" i="13" s="1"/>
  <c r="K6" i="13"/>
  <c r="K7" i="17"/>
  <c r="K7" i="13" s="1"/>
  <c r="K148" i="13"/>
  <c r="K151" i="17"/>
  <c r="K151" i="13" s="1"/>
  <c r="K150" i="17"/>
  <c r="K150" i="13" s="1"/>
  <c r="K168" i="13"/>
  <c r="K105" i="13"/>
  <c r="K106" i="17"/>
  <c r="K106" i="13" s="1"/>
  <c r="K51" i="17"/>
  <c r="K51" i="13" s="1"/>
  <c r="K28" i="13"/>
  <c r="K30" i="17"/>
  <c r="K30" i="13" s="1"/>
  <c r="K85" i="17"/>
  <c r="K85" i="13" s="1"/>
  <c r="K115" i="13"/>
  <c r="K118" i="17"/>
  <c r="K118" i="13" s="1"/>
  <c r="K119" i="13" s="1"/>
  <c r="K71" i="13"/>
  <c r="K73" i="17"/>
  <c r="K73" i="13" s="1"/>
  <c r="K8" i="17"/>
  <c r="K8" i="13" s="1"/>
  <c r="K38" i="13"/>
  <c r="K41" i="17"/>
  <c r="K41" i="13" s="1"/>
  <c r="K40" i="17"/>
  <c r="K40" i="13" s="1"/>
  <c r="K164" i="13"/>
  <c r="K140" i="17"/>
  <c r="K140" i="13" s="1"/>
  <c r="K62" i="17"/>
  <c r="K62" i="13" s="1"/>
  <c r="K164" i="12"/>
  <c r="K140" i="16"/>
  <c r="K140" i="12" s="1"/>
  <c r="K137" i="12"/>
  <c r="K8" i="16"/>
  <c r="K8" i="12" s="1"/>
  <c r="K5" i="12"/>
  <c r="K85" i="16"/>
  <c r="K85" i="12" s="1"/>
  <c r="K83" i="12"/>
  <c r="K168" i="12"/>
  <c r="K63" i="16"/>
  <c r="K63" i="12" s="1"/>
  <c r="K60" i="12"/>
  <c r="K30" i="16"/>
  <c r="K30" i="12" s="1"/>
  <c r="K27" i="12"/>
  <c r="K52" i="16"/>
  <c r="K49" i="12"/>
  <c r="K74" i="16"/>
  <c r="K74" i="12" s="1"/>
  <c r="K29" i="16"/>
  <c r="K29" i="12" s="1"/>
  <c r="K139" i="16"/>
  <c r="K139" i="12" s="1"/>
  <c r="K84" i="16"/>
  <c r="K84" i="12" s="1"/>
  <c r="K41" i="16"/>
  <c r="K41" i="12" s="1"/>
  <c r="K40" i="16"/>
  <c r="K40" i="12" s="1"/>
  <c r="K62" i="16"/>
  <c r="K62" i="12" s="1"/>
  <c r="K51" i="16"/>
  <c r="K51" i="12" s="1"/>
  <c r="K73" i="16"/>
  <c r="K73" i="12" s="1"/>
  <c r="K117" i="16"/>
  <c r="K117" i="12" s="1"/>
  <c r="K118" i="16"/>
  <c r="K118" i="12" s="1"/>
  <c r="K128" i="16"/>
  <c r="K107" i="16"/>
  <c r="K107" i="12" s="1"/>
  <c r="K106" i="16"/>
  <c r="K106" i="12" s="1"/>
  <c r="K151" i="16"/>
  <c r="K151" i="12" s="1"/>
  <c r="K150" i="16"/>
  <c r="K150" i="12" s="1"/>
  <c r="K129" i="16"/>
  <c r="C125" i="6"/>
  <c r="K9" i="12" l="1"/>
  <c r="K64" i="6"/>
  <c r="K59" i="6" s="1"/>
  <c r="K53" i="13"/>
  <c r="K75" i="12"/>
  <c r="K42" i="6"/>
  <c r="K37" i="6" s="1"/>
  <c r="K141" i="13"/>
  <c r="K127" i="6"/>
  <c r="K86" i="6"/>
  <c r="K81" i="6" s="1"/>
  <c r="K108" i="6"/>
  <c r="K103" i="6" s="1"/>
  <c r="K108" i="13"/>
  <c r="K152" i="6"/>
  <c r="K147" i="6" s="1"/>
  <c r="K31" i="6"/>
  <c r="K26" i="6" s="1"/>
  <c r="K133" i="6"/>
  <c r="K129" i="6"/>
  <c r="K128" i="6"/>
  <c r="K132" i="6"/>
  <c r="K126" i="6"/>
  <c r="K9" i="6"/>
  <c r="K4" i="6" s="1"/>
  <c r="K141" i="6"/>
  <c r="K136" i="6" s="1"/>
  <c r="K119" i="6"/>
  <c r="K114" i="6" s="1"/>
  <c r="K75" i="6"/>
  <c r="K70" i="6" s="1"/>
  <c r="K31" i="13"/>
  <c r="K152" i="13"/>
  <c r="K132" i="13"/>
  <c r="K75" i="13"/>
  <c r="K133" i="13"/>
  <c r="K64" i="13"/>
  <c r="K129" i="13"/>
  <c r="K130" i="13" s="1"/>
  <c r="K126" i="13"/>
  <c r="K127" i="13"/>
  <c r="K42" i="13"/>
  <c r="K86" i="13"/>
  <c r="K9" i="13"/>
  <c r="K86" i="12"/>
  <c r="K64" i="12"/>
  <c r="K141" i="12"/>
  <c r="K42" i="12"/>
  <c r="K126" i="12"/>
  <c r="K119" i="12"/>
  <c r="K31" i="12"/>
  <c r="K152" i="12"/>
  <c r="K108" i="12"/>
  <c r="K128" i="12"/>
  <c r="K133" i="12"/>
  <c r="K132" i="12"/>
  <c r="K129" i="12"/>
  <c r="K52" i="12"/>
  <c r="K127" i="12"/>
  <c r="K53" i="12" l="1"/>
  <c r="K130" i="6"/>
  <c r="K125" i="6" s="1"/>
  <c r="K130" i="12"/>
  <c r="D39" i="15" l="1"/>
  <c r="D99" i="16" s="1"/>
  <c r="D40" i="15" s="1"/>
  <c r="F39" i="15"/>
  <c r="F99" i="16" s="1"/>
  <c r="F40" i="15" s="1"/>
  <c r="C51" i="15"/>
  <c r="C100" i="16" s="1"/>
  <c r="C52" i="15" s="1"/>
  <c r="E51" i="15"/>
  <c r="E100" i="16" s="1"/>
  <c r="E52" i="15" s="1"/>
  <c r="C49" i="15"/>
  <c r="C100" i="18" s="1"/>
  <c r="C50" i="15" s="1"/>
  <c r="D51" i="15"/>
  <c r="D100" i="16" s="1"/>
  <c r="D52" i="15" s="1"/>
  <c r="F49" i="15"/>
  <c r="F100" i="18" s="1"/>
  <c r="F50" i="15" s="1"/>
  <c r="G51" i="15"/>
  <c r="G100" i="16" s="1"/>
  <c r="G52" i="15" s="1"/>
  <c r="C39" i="15"/>
  <c r="C99" i="16" s="1"/>
  <c r="C40" i="15" s="1"/>
  <c r="E39" i="15"/>
  <c r="E99" i="16" s="1"/>
  <c r="E40" i="15" s="1"/>
  <c r="G37" i="15"/>
  <c r="G99" i="18" s="1"/>
  <c r="G38" i="15" s="1"/>
  <c r="C37" i="15"/>
  <c r="C99" i="18" s="1"/>
  <c r="C38" i="15" s="1"/>
  <c r="D37" i="15"/>
  <c r="D99" i="18" s="1"/>
  <c r="D38" i="15" s="1"/>
  <c r="D49" i="15"/>
  <c r="D100" i="18" s="1"/>
  <c r="D50" i="15" s="1"/>
  <c r="E49" i="15"/>
  <c r="E100" i="18" s="1"/>
  <c r="E50" i="15" s="1"/>
  <c r="F51" i="15"/>
  <c r="F100" i="16" s="1"/>
  <c r="F52" i="15" s="1"/>
  <c r="E37" i="15"/>
  <c r="E99" i="18" s="1"/>
  <c r="E38" i="15" s="1"/>
  <c r="G49" i="15"/>
  <c r="G100" i="18" s="1"/>
  <c r="G50" i="15" s="1"/>
  <c r="F37" i="15"/>
  <c r="F99" i="18" s="1"/>
  <c r="F38" i="15" s="1"/>
  <c r="G39" i="15"/>
  <c r="G99" i="16" s="1"/>
  <c r="G40" i="15" s="1"/>
  <c r="B39" i="15" l="1"/>
  <c r="B99" i="16" s="1"/>
  <c r="I51" i="15"/>
  <c r="I100" i="16" s="1"/>
  <c r="I52" i="15" s="1"/>
  <c r="J41" i="15"/>
  <c r="I53" i="15"/>
  <c r="I100" i="17" s="1"/>
  <c r="I54" i="15" s="1"/>
  <c r="H41" i="15"/>
  <c r="D41" i="15"/>
  <c r="B51" i="15"/>
  <c r="B100" i="16" s="1"/>
  <c r="K49" i="15"/>
  <c r="K100" i="18" s="1"/>
  <c r="K50" i="15" s="1"/>
  <c r="K41" i="15"/>
  <c r="I39" i="15"/>
  <c r="I99" i="16" s="1"/>
  <c r="I40" i="15" s="1"/>
  <c r="J53" i="15"/>
  <c r="J100" i="17" s="1"/>
  <c r="J54" i="15" s="1"/>
  <c r="K37" i="15"/>
  <c r="K99" i="18" s="1"/>
  <c r="K38" i="15" s="1"/>
  <c r="E41" i="15"/>
  <c r="G53" i="15"/>
  <c r="G100" i="17" s="1"/>
  <c r="G54" i="15" s="1"/>
  <c r="J49" i="15"/>
  <c r="J100" i="18" s="1"/>
  <c r="J50" i="15" s="1"/>
  <c r="K39" i="15"/>
  <c r="K99" i="16" s="1"/>
  <c r="K40" i="15" s="1"/>
  <c r="J37" i="15"/>
  <c r="J99" i="18" s="1"/>
  <c r="J38" i="15" s="1"/>
  <c r="B37" i="15"/>
  <c r="B99" i="18" s="1"/>
  <c r="C53" i="15"/>
  <c r="C100" i="17" s="1"/>
  <c r="C54" i="15" s="1"/>
  <c r="F53" i="15"/>
  <c r="F100" i="17" s="1"/>
  <c r="F54" i="15" s="1"/>
  <c r="H51" i="15"/>
  <c r="H100" i="16" s="1"/>
  <c r="H52" i="15" s="1"/>
  <c r="H37" i="15"/>
  <c r="H99" i="18" s="1"/>
  <c r="H38" i="15" s="1"/>
  <c r="J51" i="15"/>
  <c r="J100" i="16" s="1"/>
  <c r="J52" i="15" s="1"/>
  <c r="I49" i="15"/>
  <c r="I100" i="18" s="1"/>
  <c r="I50" i="15" s="1"/>
  <c r="J39" i="15"/>
  <c r="J99" i="16" s="1"/>
  <c r="J40" i="15" s="1"/>
  <c r="K53" i="15"/>
  <c r="K100" i="17" s="1"/>
  <c r="K54" i="15" s="1"/>
  <c r="H53" i="15"/>
  <c r="H100" i="17" s="1"/>
  <c r="H54" i="15" s="1"/>
  <c r="D53" i="15"/>
  <c r="D100" i="17" s="1"/>
  <c r="D54" i="15" s="1"/>
  <c r="F41" i="15"/>
  <c r="G41" i="15"/>
  <c r="C41" i="15"/>
  <c r="H49" i="15"/>
  <c r="H100" i="18" s="1"/>
  <c r="H50" i="15" s="1"/>
  <c r="H39" i="15"/>
  <c r="H99" i="16" s="1"/>
  <c r="H40" i="15" s="1"/>
  <c r="K51" i="15"/>
  <c r="K100" i="16" s="1"/>
  <c r="K52" i="15" s="1"/>
  <c r="I41" i="15"/>
  <c r="I37" i="15"/>
  <c r="I99" i="18" s="1"/>
  <c r="I38" i="15" s="1"/>
  <c r="E53" i="15"/>
  <c r="E100" i="17" s="1"/>
  <c r="E54" i="15" s="1"/>
  <c r="B100" i="12" l="1"/>
  <c r="B52" i="15"/>
  <c r="B99" i="12"/>
  <c r="B40" i="15"/>
  <c r="B99" i="6"/>
  <c r="B38" i="15"/>
  <c r="G99" i="17"/>
  <c r="G42" i="15" s="1"/>
  <c r="F99" i="17"/>
  <c r="F42" i="15" s="1"/>
  <c r="D99" i="17"/>
  <c r="D42" i="15" s="1"/>
  <c r="J99" i="17"/>
  <c r="J42" i="15" s="1"/>
  <c r="E99" i="17"/>
  <c r="E42" i="15" s="1"/>
  <c r="K99" i="17"/>
  <c r="K42" i="15" s="1"/>
  <c r="H99" i="17"/>
  <c r="H42" i="15" s="1"/>
  <c r="I99" i="17"/>
  <c r="I42" i="15" s="1"/>
  <c r="C99" i="17"/>
  <c r="C42" i="15" s="1"/>
  <c r="H171" i="16"/>
  <c r="I171" i="18"/>
  <c r="J174" i="18"/>
  <c r="B49" i="15"/>
  <c r="B100" i="18" s="1"/>
  <c r="G171" i="17"/>
  <c r="H174" i="16"/>
  <c r="H174" i="18"/>
  <c r="K174" i="18"/>
  <c r="I174" i="18"/>
  <c r="E171" i="17"/>
  <c r="B174" i="18"/>
  <c r="F174" i="18"/>
  <c r="D174" i="18"/>
  <c r="G174" i="18"/>
  <c r="C174" i="18"/>
  <c r="E174" i="18"/>
  <c r="B53" i="15"/>
  <c r="B100" i="17" s="1"/>
  <c r="B41" i="15"/>
  <c r="B99" i="17" s="1"/>
  <c r="B100" i="13" l="1"/>
  <c r="B54" i="15"/>
  <c r="B100" i="6"/>
  <c r="B50" i="15"/>
  <c r="B99" i="13"/>
  <c r="B42" i="15"/>
  <c r="J171" i="17"/>
  <c r="H171" i="17"/>
  <c r="D171" i="18"/>
  <c r="D96" i="18" s="1"/>
  <c r="I93" i="18"/>
  <c r="I96" i="18"/>
  <c r="I95" i="18"/>
  <c r="I94" i="18"/>
  <c r="H96" i="16"/>
  <c r="H93" i="16"/>
  <c r="H94" i="16"/>
  <c r="H95" i="16"/>
  <c r="I174" i="17"/>
  <c r="I174" i="16"/>
  <c r="G174" i="16"/>
  <c r="B174" i="17"/>
  <c r="B171" i="18"/>
  <c r="E174" i="16"/>
  <c r="K171" i="17"/>
  <c r="D171" i="17"/>
  <c r="I171" i="16"/>
  <c r="E171" i="18"/>
  <c r="F174" i="17"/>
  <c r="E171" i="16"/>
  <c r="K171" i="18"/>
  <c r="G171" i="18"/>
  <c r="H174" i="17"/>
  <c r="H95" i="17" s="1"/>
  <c r="H171" i="18"/>
  <c r="I171" i="17"/>
  <c r="G171" i="16"/>
  <c r="D174" i="16"/>
  <c r="K174" i="16"/>
  <c r="B171" i="17"/>
  <c r="F171" i="18"/>
  <c r="C171" i="18"/>
  <c r="C171" i="17"/>
  <c r="K171" i="16"/>
  <c r="J171" i="18"/>
  <c r="K174" i="17"/>
  <c r="C171" i="16"/>
  <c r="B174" i="16"/>
  <c r="C174" i="17"/>
  <c r="F171" i="17"/>
  <c r="D171" i="16"/>
  <c r="B171" i="16"/>
  <c r="J171" i="16"/>
  <c r="F171" i="16"/>
  <c r="J174" i="16"/>
  <c r="F174" i="16"/>
  <c r="G174" i="17"/>
  <c r="G93" i="17" s="1"/>
  <c r="D174" i="17"/>
  <c r="C174" i="16"/>
  <c r="E174" i="17"/>
  <c r="E94" i="17" s="1"/>
  <c r="J174" i="17"/>
  <c r="J95" i="17" s="1"/>
  <c r="D94" i="18" l="1"/>
  <c r="D93" i="18"/>
  <c r="D95" i="18"/>
  <c r="I96" i="6"/>
  <c r="H94" i="12"/>
  <c r="H94" i="17"/>
  <c r="H95" i="13"/>
  <c r="J95" i="13"/>
  <c r="K93" i="16"/>
  <c r="K96" i="16"/>
  <c r="K94" i="16"/>
  <c r="K95" i="16"/>
  <c r="I94" i="16"/>
  <c r="I96" i="16"/>
  <c r="I95" i="16"/>
  <c r="I93" i="16"/>
  <c r="F96" i="16"/>
  <c r="F95" i="16"/>
  <c r="F94" i="16"/>
  <c r="F93" i="16"/>
  <c r="F93" i="17"/>
  <c r="F94" i="17"/>
  <c r="F96" i="17"/>
  <c r="F95" i="17"/>
  <c r="C95" i="18"/>
  <c r="C94" i="18"/>
  <c r="C93" i="18"/>
  <c r="C96" i="18"/>
  <c r="K95" i="17"/>
  <c r="K93" i="17"/>
  <c r="K96" i="17"/>
  <c r="K94" i="17"/>
  <c r="E93" i="17"/>
  <c r="H93" i="17"/>
  <c r="J96" i="17"/>
  <c r="J96" i="13" s="1"/>
  <c r="H96" i="12"/>
  <c r="G95" i="17"/>
  <c r="I94" i="6"/>
  <c r="J94" i="16"/>
  <c r="J96" i="16"/>
  <c r="J93" i="16"/>
  <c r="J95" i="16"/>
  <c r="J93" i="18"/>
  <c r="J95" i="18"/>
  <c r="J96" i="18"/>
  <c r="J94" i="18"/>
  <c r="F95" i="18"/>
  <c r="F94" i="18"/>
  <c r="F96" i="18"/>
  <c r="F93" i="18"/>
  <c r="G94" i="16"/>
  <c r="G96" i="16"/>
  <c r="G95" i="16"/>
  <c r="G93" i="16"/>
  <c r="G93" i="18"/>
  <c r="G95" i="18"/>
  <c r="G96" i="18"/>
  <c r="G94" i="18"/>
  <c r="E93" i="18"/>
  <c r="E95" i="18"/>
  <c r="E94" i="18"/>
  <c r="E96" i="18"/>
  <c r="E95" i="17"/>
  <c r="H96" i="17"/>
  <c r="H96" i="13" s="1"/>
  <c r="J94" i="17"/>
  <c r="H95" i="12"/>
  <c r="H100" i="12"/>
  <c r="H99" i="12"/>
  <c r="G96" i="17"/>
  <c r="I95" i="6"/>
  <c r="I99" i="6"/>
  <c r="I100" i="6"/>
  <c r="I94" i="17"/>
  <c r="I96" i="17"/>
  <c r="I93" i="17"/>
  <c r="I95" i="17"/>
  <c r="B93" i="18"/>
  <c r="B93" i="6" s="1"/>
  <c r="B94" i="18"/>
  <c r="B94" i="6" s="1"/>
  <c r="B96" i="18"/>
  <c r="B96" i="6" s="1"/>
  <c r="B95" i="18"/>
  <c r="B95" i="6" s="1"/>
  <c r="E96" i="17"/>
  <c r="J93" i="17"/>
  <c r="G94" i="17"/>
  <c r="B96" i="16"/>
  <c r="B96" i="12" s="1"/>
  <c r="B95" i="16"/>
  <c r="B95" i="12" s="1"/>
  <c r="B93" i="16"/>
  <c r="B93" i="12" s="1"/>
  <c r="B94" i="16"/>
  <c r="B94" i="12" s="1"/>
  <c r="B93" i="17"/>
  <c r="B93" i="13" s="1"/>
  <c r="B95" i="17"/>
  <c r="B95" i="13" s="1"/>
  <c r="B96" i="17"/>
  <c r="B96" i="13" s="1"/>
  <c r="B94" i="17"/>
  <c r="B94" i="13" s="1"/>
  <c r="K96" i="18"/>
  <c r="K94" i="18"/>
  <c r="K95" i="18"/>
  <c r="K93" i="18"/>
  <c r="D95" i="16"/>
  <c r="D93" i="16"/>
  <c r="D94" i="16"/>
  <c r="D96" i="16"/>
  <c r="C94" i="16"/>
  <c r="C96" i="16"/>
  <c r="C93" i="16"/>
  <c r="C95" i="16"/>
  <c r="C94" i="17"/>
  <c r="C96" i="17"/>
  <c r="C95" i="17"/>
  <c r="C93" i="17"/>
  <c r="H95" i="18"/>
  <c r="H93" i="18"/>
  <c r="H96" i="18"/>
  <c r="H94" i="18"/>
  <c r="E95" i="16"/>
  <c r="E93" i="16"/>
  <c r="E94" i="16"/>
  <c r="E96" i="16"/>
  <c r="D93" i="17"/>
  <c r="D96" i="17"/>
  <c r="D94" i="17"/>
  <c r="D95" i="17"/>
  <c r="H93" i="12"/>
  <c r="I93" i="6"/>
  <c r="D94" i="6" l="1"/>
  <c r="D99" i="6"/>
  <c r="D100" i="6"/>
  <c r="D93" i="6"/>
  <c r="D96" i="6"/>
  <c r="D95" i="6"/>
  <c r="I97" i="6"/>
  <c r="I92" i="6" s="1"/>
  <c r="E96" i="13"/>
  <c r="G96" i="13"/>
  <c r="F96" i="6"/>
  <c r="E96" i="6"/>
  <c r="K96" i="13"/>
  <c r="G94" i="13"/>
  <c r="C93" i="6"/>
  <c r="F96" i="13"/>
  <c r="K96" i="6"/>
  <c r="H94" i="13"/>
  <c r="H97" i="12"/>
  <c r="J94" i="6"/>
  <c r="G96" i="6"/>
  <c r="J96" i="6"/>
  <c r="C94" i="6"/>
  <c r="C94" i="13"/>
  <c r="J94" i="13"/>
  <c r="E94" i="6"/>
  <c r="F94" i="13"/>
  <c r="I96" i="12"/>
  <c r="J93" i="13"/>
  <c r="F93" i="6"/>
  <c r="E96" i="12"/>
  <c r="H94" i="6"/>
  <c r="C93" i="13"/>
  <c r="D96" i="12"/>
  <c r="K93" i="6"/>
  <c r="G93" i="13"/>
  <c r="K93" i="13"/>
  <c r="K96" i="12"/>
  <c r="D96" i="13"/>
  <c r="E93" i="12"/>
  <c r="H93" i="6"/>
  <c r="C96" i="13"/>
  <c r="C96" i="12"/>
  <c r="D93" i="12"/>
  <c r="K94" i="6"/>
  <c r="I96" i="13"/>
  <c r="E95" i="13"/>
  <c r="E100" i="13"/>
  <c r="E99" i="13"/>
  <c r="E93" i="6"/>
  <c r="G93" i="6"/>
  <c r="G94" i="12"/>
  <c r="F95" i="6"/>
  <c r="F99" i="6"/>
  <c r="F100" i="6"/>
  <c r="J93" i="6"/>
  <c r="J94" i="12"/>
  <c r="K94" i="13"/>
  <c r="C96" i="6"/>
  <c r="F95" i="13"/>
  <c r="F100" i="13"/>
  <c r="F99" i="13"/>
  <c r="F93" i="12"/>
  <c r="I93" i="12"/>
  <c r="K95" i="12"/>
  <c r="K100" i="12"/>
  <c r="K99" i="12"/>
  <c r="J99" i="13"/>
  <c r="D93" i="13"/>
  <c r="E95" i="12"/>
  <c r="E100" i="12"/>
  <c r="E99" i="12"/>
  <c r="H95" i="6"/>
  <c r="H99" i="6"/>
  <c r="H100" i="6"/>
  <c r="C94" i="12"/>
  <c r="D95" i="12"/>
  <c r="D100" i="12"/>
  <c r="D99" i="12"/>
  <c r="B92" i="6"/>
  <c r="I94" i="13"/>
  <c r="G94" i="6"/>
  <c r="G93" i="12"/>
  <c r="J95" i="12"/>
  <c r="J100" i="12"/>
  <c r="J99" i="12"/>
  <c r="F94" i="12"/>
  <c r="I95" i="12"/>
  <c r="I100" i="12"/>
  <c r="I99" i="12"/>
  <c r="K94" i="12"/>
  <c r="J100" i="13"/>
  <c r="H99" i="13"/>
  <c r="C95" i="12"/>
  <c r="C99" i="12"/>
  <c r="C100" i="12"/>
  <c r="I95" i="13"/>
  <c r="I100" i="13"/>
  <c r="I99" i="13"/>
  <c r="G95" i="12"/>
  <c r="G99" i="12"/>
  <c r="G100" i="12"/>
  <c r="J93" i="12"/>
  <c r="H93" i="13"/>
  <c r="F95" i="12"/>
  <c r="F100" i="12"/>
  <c r="F99" i="12"/>
  <c r="J97" i="13"/>
  <c r="H100" i="13"/>
  <c r="D95" i="13"/>
  <c r="D100" i="13"/>
  <c r="D99" i="13"/>
  <c r="D94" i="13"/>
  <c r="E94" i="12"/>
  <c r="H96" i="6"/>
  <c r="C95" i="13"/>
  <c r="C100" i="13"/>
  <c r="C99" i="13"/>
  <c r="C93" i="12"/>
  <c r="D94" i="12"/>
  <c r="K99" i="6"/>
  <c r="K95" i="6"/>
  <c r="K100" i="6"/>
  <c r="I93" i="13"/>
  <c r="E95" i="6"/>
  <c r="E100" i="6"/>
  <c r="E99" i="6"/>
  <c r="G95" i="6"/>
  <c r="G100" i="6"/>
  <c r="G99" i="6"/>
  <c r="G96" i="12"/>
  <c r="F94" i="6"/>
  <c r="J95" i="6"/>
  <c r="J100" i="6"/>
  <c r="J99" i="6"/>
  <c r="J96" i="12"/>
  <c r="G95" i="13"/>
  <c r="G100" i="13"/>
  <c r="G99" i="13"/>
  <c r="E93" i="13"/>
  <c r="K95" i="13"/>
  <c r="K100" i="13"/>
  <c r="K99" i="13"/>
  <c r="C95" i="6"/>
  <c r="C100" i="6"/>
  <c r="C99" i="6"/>
  <c r="F93" i="13"/>
  <c r="F96" i="12"/>
  <c r="I94" i="12"/>
  <c r="K93" i="12"/>
  <c r="E94" i="13"/>
  <c r="H97" i="13"/>
  <c r="C97" i="13" l="1"/>
  <c r="G97" i="13"/>
  <c r="D97" i="6"/>
  <c r="D92" i="6" s="1"/>
  <c r="E97" i="13"/>
  <c r="K97" i="13"/>
  <c r="G97" i="6"/>
  <c r="G92" i="6" s="1"/>
  <c r="F97" i="6"/>
  <c r="F92" i="6" s="1"/>
  <c r="F97" i="13"/>
  <c r="J97" i="6"/>
  <c r="J92" i="6" s="1"/>
  <c r="E97" i="6"/>
  <c r="E92" i="6" s="1"/>
  <c r="I97" i="13"/>
  <c r="K97" i="6"/>
  <c r="K92" i="6" s="1"/>
  <c r="D97" i="12"/>
  <c r="K97" i="12"/>
  <c r="E97" i="12"/>
  <c r="C97" i="6"/>
  <c r="C92" i="6" s="1"/>
  <c r="I97" i="12"/>
  <c r="D97" i="13"/>
  <c r="C97" i="12"/>
  <c r="G97" i="12"/>
  <c r="F97" i="12"/>
  <c r="J97" i="12"/>
  <c r="H97" i="6"/>
  <c r="H92" i="6" s="1"/>
  <c r="B32" i="15" l="1"/>
  <c r="B30" i="15"/>
  <c r="B34" i="15"/>
  <c r="C34" i="15" l="1"/>
  <c r="B24" i="17"/>
  <c r="C30" i="15"/>
  <c r="B24" i="18"/>
  <c r="C32" i="15"/>
  <c r="B24" i="16"/>
  <c r="B31" i="15" l="1"/>
  <c r="B24" i="6"/>
  <c r="B167" i="6" s="1"/>
  <c r="D30" i="15"/>
  <c r="C24" i="18"/>
  <c r="B24" i="13"/>
  <c r="B167" i="13" s="1"/>
  <c r="B175" i="13" s="1"/>
  <c r="B35" i="15"/>
  <c r="B33" i="15"/>
  <c r="B24" i="12"/>
  <c r="B167" i="12" s="1"/>
  <c r="B175" i="12" s="1"/>
  <c r="D32" i="15"/>
  <c r="C24" i="16"/>
  <c r="C24" i="17"/>
  <c r="D34" i="15"/>
  <c r="C31" i="15" l="1"/>
  <c r="C24" i="6"/>
  <c r="C167" i="6" s="1"/>
  <c r="D24" i="16"/>
  <c r="E32" i="15"/>
  <c r="E34" i="15"/>
  <c r="D24" i="17"/>
  <c r="C35" i="15"/>
  <c r="C24" i="13"/>
  <c r="C167" i="13" s="1"/>
  <c r="C175" i="13" s="1"/>
  <c r="D24" i="18"/>
  <c r="E30" i="15"/>
  <c r="C24" i="12"/>
  <c r="C167" i="12" s="1"/>
  <c r="C175" i="12" s="1"/>
  <c r="C33" i="15"/>
  <c r="F32" i="15" l="1"/>
  <c r="E24" i="16"/>
  <c r="D24" i="12"/>
  <c r="D167" i="12" s="1"/>
  <c r="D175" i="12" s="1"/>
  <c r="D33" i="15"/>
  <c r="E24" i="18"/>
  <c r="F30" i="15"/>
  <c r="D35" i="15"/>
  <c r="D24" i="13"/>
  <c r="D167" i="13" s="1"/>
  <c r="D175" i="13" s="1"/>
  <c r="D24" i="6"/>
  <c r="D167" i="6" s="1"/>
  <c r="D31" i="15"/>
  <c r="E24" i="17"/>
  <c r="F34" i="15"/>
  <c r="F24" i="17" l="1"/>
  <c r="G34" i="15"/>
  <c r="G30" i="15"/>
  <c r="F24" i="18"/>
  <c r="E24" i="12"/>
  <c r="E167" i="12" s="1"/>
  <c r="E175" i="12" s="1"/>
  <c r="E33" i="15"/>
  <c r="E24" i="13"/>
  <c r="E167" i="13" s="1"/>
  <c r="E175" i="13" s="1"/>
  <c r="E35" i="15"/>
  <c r="E31" i="15"/>
  <c r="E24" i="6"/>
  <c r="E167" i="6" s="1"/>
  <c r="F24" i="16"/>
  <c r="G32" i="15"/>
  <c r="H32" i="15" l="1"/>
  <c r="G24" i="16"/>
  <c r="F24" i="6"/>
  <c r="F167" i="6" s="1"/>
  <c r="F31" i="15"/>
  <c r="G24" i="18"/>
  <c r="H30" i="15"/>
  <c r="F33" i="15"/>
  <c r="F24" i="12"/>
  <c r="F167" i="12" s="1"/>
  <c r="F175" i="12" s="1"/>
  <c r="H34" i="15"/>
  <c r="G24" i="17"/>
  <c r="F24" i="13"/>
  <c r="F167" i="13" s="1"/>
  <c r="F175" i="13" s="1"/>
  <c r="F35" i="15"/>
  <c r="G24" i="13" l="1"/>
  <c r="G167" i="13" s="1"/>
  <c r="G175" i="13" s="1"/>
  <c r="G35" i="15"/>
  <c r="H24" i="18"/>
  <c r="I30" i="15"/>
  <c r="G33" i="15"/>
  <c r="G24" i="12"/>
  <c r="G167" i="12" s="1"/>
  <c r="G175" i="12" s="1"/>
  <c r="H24" i="17"/>
  <c r="I34" i="15"/>
  <c r="G31" i="15"/>
  <c r="G24" i="6"/>
  <c r="G167" i="6" s="1"/>
  <c r="H24" i="16"/>
  <c r="I32" i="15"/>
  <c r="J32" i="15" l="1"/>
  <c r="I24" i="16"/>
  <c r="I24" i="17"/>
  <c r="J34" i="15"/>
  <c r="J30" i="15"/>
  <c r="I24" i="18"/>
  <c r="H33" i="15"/>
  <c r="H24" i="12"/>
  <c r="H167" i="12" s="1"/>
  <c r="H175" i="12" s="1"/>
  <c r="H24" i="13"/>
  <c r="H167" i="13" s="1"/>
  <c r="H175" i="13" s="1"/>
  <c r="H35" i="15"/>
  <c r="H24" i="6"/>
  <c r="H167" i="6" s="1"/>
  <c r="H31" i="15"/>
  <c r="F19" i="15"/>
  <c r="F23" i="18" s="1"/>
  <c r="F9" i="15"/>
  <c r="F22" i="16" s="1"/>
  <c r="E19" i="15"/>
  <c r="E23" i="18" s="1"/>
  <c r="C9" i="15"/>
  <c r="C22" i="16" s="1"/>
  <c r="E21" i="15"/>
  <c r="E23" i="16" s="1"/>
  <c r="G19" i="15"/>
  <c r="G23" i="18" s="1"/>
  <c r="F21" i="15"/>
  <c r="F23" i="16" s="1"/>
  <c r="D19" i="15"/>
  <c r="D23" i="18" s="1"/>
  <c r="E9" i="15"/>
  <c r="E22" i="16" s="1"/>
  <c r="G21" i="15"/>
  <c r="G23" i="16" s="1"/>
  <c r="D21" i="15"/>
  <c r="D23" i="16" s="1"/>
  <c r="G9" i="15"/>
  <c r="G22" i="16" s="1"/>
  <c r="C21" i="15"/>
  <c r="C23" i="16" s="1"/>
  <c r="D9" i="15"/>
  <c r="D22" i="16" s="1"/>
  <c r="C19" i="15"/>
  <c r="C23" i="18" s="1"/>
  <c r="G10" i="15" l="1"/>
  <c r="D20" i="15"/>
  <c r="C10" i="15"/>
  <c r="K34" i="15"/>
  <c r="K24" i="17" s="1"/>
  <c r="J24" i="17"/>
  <c r="C20" i="15"/>
  <c r="D22" i="15"/>
  <c r="F22" i="15"/>
  <c r="E20" i="15"/>
  <c r="I35" i="15"/>
  <c r="I24" i="13"/>
  <c r="I167" i="13" s="1"/>
  <c r="I175" i="13" s="1"/>
  <c r="D10" i="15"/>
  <c r="G22" i="15"/>
  <c r="G20" i="15"/>
  <c r="F10" i="15"/>
  <c r="I24" i="6"/>
  <c r="I167" i="6" s="1"/>
  <c r="I31" i="15"/>
  <c r="I24" i="12"/>
  <c r="I167" i="12" s="1"/>
  <c r="I175" i="12" s="1"/>
  <c r="I33" i="15"/>
  <c r="C22" i="15"/>
  <c r="E10" i="15"/>
  <c r="E22" i="15"/>
  <c r="F20" i="15"/>
  <c r="K30" i="15"/>
  <c r="K24" i="18" s="1"/>
  <c r="J24" i="18"/>
  <c r="J24" i="16"/>
  <c r="K32" i="15"/>
  <c r="K24" i="16" s="1"/>
  <c r="H19" i="15"/>
  <c r="H23" i="18" s="1"/>
  <c r="I9" i="15"/>
  <c r="I22" i="16" s="1"/>
  <c r="I10" i="15" s="1"/>
  <c r="K19" i="15"/>
  <c r="K23" i="18" s="1"/>
  <c r="I21" i="15"/>
  <c r="I23" i="16" s="1"/>
  <c r="I19" i="15"/>
  <c r="I23" i="18" s="1"/>
  <c r="B7" i="15"/>
  <c r="B22" i="18" s="1"/>
  <c r="K9" i="15"/>
  <c r="K22" i="16" s="1"/>
  <c r="K10" i="15" s="1"/>
  <c r="H9" i="15"/>
  <c r="H22" i="16" s="1"/>
  <c r="B19" i="15"/>
  <c r="B23" i="18" s="1"/>
  <c r="B173" i="18"/>
  <c r="J9" i="15"/>
  <c r="J22" i="16" s="1"/>
  <c r="J10" i="15" s="1"/>
  <c r="J21" i="15"/>
  <c r="J23" i="16" s="1"/>
  <c r="H21" i="15"/>
  <c r="H23" i="16" s="1"/>
  <c r="J19" i="15"/>
  <c r="J23" i="18" s="1"/>
  <c r="B21" i="15"/>
  <c r="B23" i="16" s="1"/>
  <c r="B9" i="15"/>
  <c r="B22" i="16" s="1"/>
  <c r="K21" i="15"/>
  <c r="K23" i="16" s="1"/>
  <c r="B22" i="12" l="1"/>
  <c r="B165" i="12" s="1"/>
  <c r="B173" i="12" s="1"/>
  <c r="B10" i="15"/>
  <c r="B23" i="12"/>
  <c r="B22" i="15"/>
  <c r="J22" i="15"/>
  <c r="H10" i="15"/>
  <c r="I20" i="15"/>
  <c r="H20" i="15"/>
  <c r="J31" i="15"/>
  <c r="J24" i="6"/>
  <c r="J167" i="6" s="1"/>
  <c r="J35" i="15"/>
  <c r="J24" i="13"/>
  <c r="J167" i="13" s="1"/>
  <c r="J175" i="13" s="1"/>
  <c r="K22" i="15"/>
  <c r="I22" i="15"/>
  <c r="K31" i="15"/>
  <c r="K24" i="6"/>
  <c r="K167" i="6" s="1"/>
  <c r="K24" i="13"/>
  <c r="K167" i="13" s="1"/>
  <c r="K175" i="13" s="1"/>
  <c r="K35" i="15"/>
  <c r="J20" i="15"/>
  <c r="B8" i="15"/>
  <c r="B22" i="6"/>
  <c r="B165" i="6" s="1"/>
  <c r="K20" i="15"/>
  <c r="K33" i="15"/>
  <c r="K24" i="12"/>
  <c r="K167" i="12" s="1"/>
  <c r="K175" i="12" s="1"/>
  <c r="H22" i="15"/>
  <c r="B20" i="15"/>
  <c r="B23" i="6"/>
  <c r="J33" i="15"/>
  <c r="J24" i="12"/>
  <c r="J167" i="12" s="1"/>
  <c r="J175" i="12" s="1"/>
  <c r="J173" i="16"/>
  <c r="B170" i="18"/>
  <c r="K173" i="16"/>
  <c r="J173" i="18"/>
  <c r="B173" i="16"/>
  <c r="H173" i="16"/>
  <c r="I173" i="18"/>
  <c r="J170" i="16"/>
  <c r="I173" i="16"/>
  <c r="K173" i="18"/>
  <c r="H173" i="18"/>
  <c r="F170" i="16"/>
  <c r="E170" i="16"/>
  <c r="C170" i="16"/>
  <c r="G170" i="16"/>
  <c r="D170" i="16"/>
  <c r="K170" i="16"/>
  <c r="I170" i="16"/>
  <c r="B170" i="16"/>
  <c r="E173" i="16"/>
  <c r="D173" i="16"/>
  <c r="C173" i="16"/>
  <c r="G173" i="16"/>
  <c r="F173" i="16"/>
  <c r="G173" i="18"/>
  <c r="D173" i="18"/>
  <c r="F173" i="18"/>
  <c r="E173" i="18"/>
  <c r="C173" i="18"/>
  <c r="H170" i="16"/>
  <c r="B166" i="6" l="1"/>
  <c r="B166" i="12"/>
  <c r="C17" i="16"/>
  <c r="C19" i="16"/>
  <c r="C16" i="16"/>
  <c r="C18" i="16"/>
  <c r="E17" i="16"/>
  <c r="E19" i="16"/>
  <c r="E18" i="16"/>
  <c r="E16" i="16"/>
  <c r="D17" i="16"/>
  <c r="D18" i="16"/>
  <c r="D16" i="16"/>
  <c r="D19" i="16"/>
  <c r="F16" i="16"/>
  <c r="F17" i="16"/>
  <c r="F19" i="16"/>
  <c r="F18" i="16"/>
  <c r="J17" i="16"/>
  <c r="J19" i="16"/>
  <c r="J16" i="16"/>
  <c r="J18" i="16"/>
  <c r="H19" i="16"/>
  <c r="H18" i="16"/>
  <c r="H16" i="16"/>
  <c r="H17" i="16"/>
  <c r="I18" i="16"/>
  <c r="I19" i="16"/>
  <c r="I17" i="16"/>
  <c r="I16" i="16"/>
  <c r="B18" i="18"/>
  <c r="B18" i="6" s="1"/>
  <c r="B161" i="6" s="1"/>
  <c r="B19" i="18"/>
  <c r="B19" i="6" s="1"/>
  <c r="B162" i="6" s="1"/>
  <c r="B17" i="18"/>
  <c r="B17" i="6" s="1"/>
  <c r="B160" i="6" s="1"/>
  <c r="B16" i="18"/>
  <c r="B16" i="6" s="1"/>
  <c r="K18" i="16"/>
  <c r="K19" i="16"/>
  <c r="K16" i="16"/>
  <c r="K17" i="16"/>
  <c r="B18" i="16"/>
  <c r="B18" i="12" s="1"/>
  <c r="B19" i="16"/>
  <c r="B19" i="12" s="1"/>
  <c r="B17" i="16"/>
  <c r="B17" i="12" s="1"/>
  <c r="B160" i="12" s="1"/>
  <c r="B172" i="12" s="1"/>
  <c r="B16" i="16"/>
  <c r="B16" i="12" s="1"/>
  <c r="B159" i="12" s="1"/>
  <c r="G18" i="16"/>
  <c r="G19" i="16"/>
  <c r="G17" i="16"/>
  <c r="G16" i="16"/>
  <c r="E19" i="12" l="1"/>
  <c r="B174" i="12"/>
  <c r="G19" i="12"/>
  <c r="K19" i="12"/>
  <c r="I19" i="12"/>
  <c r="J19" i="12"/>
  <c r="F17" i="12"/>
  <c r="F160" i="12" s="1"/>
  <c r="C19" i="12"/>
  <c r="G16" i="12"/>
  <c r="G159" i="12" s="1"/>
  <c r="G10" i="19" s="1"/>
  <c r="B171" i="12"/>
  <c r="K17" i="12"/>
  <c r="K160" i="12" s="1"/>
  <c r="B15" i="6"/>
  <c r="B159" i="6"/>
  <c r="B158" i="6" s="1"/>
  <c r="I16" i="12"/>
  <c r="I159" i="12" s="1"/>
  <c r="I10" i="19" s="1"/>
  <c r="H17" i="12"/>
  <c r="H160" i="12" s="1"/>
  <c r="J18" i="12"/>
  <c r="J23" i="12"/>
  <c r="J22" i="12"/>
  <c r="J165" i="12" s="1"/>
  <c r="J173" i="12" s="1"/>
  <c r="F18" i="12"/>
  <c r="F23" i="12"/>
  <c r="F22" i="12"/>
  <c r="F165" i="12" s="1"/>
  <c r="F173" i="12" s="1"/>
  <c r="D19" i="12"/>
  <c r="E16" i="12"/>
  <c r="E159" i="12" s="1"/>
  <c r="E10" i="19" s="1"/>
  <c r="C18" i="12"/>
  <c r="C22" i="12"/>
  <c r="C165" i="12" s="1"/>
  <c r="C173" i="12" s="1"/>
  <c r="C23" i="12"/>
  <c r="B162" i="12"/>
  <c r="B177" i="12"/>
  <c r="G17" i="12"/>
  <c r="G160" i="12" s="1"/>
  <c r="K16" i="12"/>
  <c r="K159" i="12" s="1"/>
  <c r="K10" i="19" s="1"/>
  <c r="I17" i="12"/>
  <c r="I160" i="12" s="1"/>
  <c r="H16" i="12"/>
  <c r="H159" i="12" s="1"/>
  <c r="H10" i="19" s="1"/>
  <c r="J16" i="12"/>
  <c r="J159" i="12" s="1"/>
  <c r="J10" i="19" s="1"/>
  <c r="F19" i="12"/>
  <c r="D16" i="12"/>
  <c r="D159" i="12" s="1"/>
  <c r="D10" i="19" s="1"/>
  <c r="E18" i="12"/>
  <c r="E22" i="12"/>
  <c r="E165" i="12" s="1"/>
  <c r="E173" i="12" s="1"/>
  <c r="E23" i="12"/>
  <c r="C16" i="12"/>
  <c r="C159" i="12" s="1"/>
  <c r="C10" i="19" s="1"/>
  <c r="K162" i="12"/>
  <c r="I177" i="12"/>
  <c r="H18" i="12"/>
  <c r="H22" i="12"/>
  <c r="H165" i="12" s="1"/>
  <c r="H173" i="12" s="1"/>
  <c r="H23" i="12"/>
  <c r="D18" i="12"/>
  <c r="D23" i="12"/>
  <c r="D22" i="12"/>
  <c r="D165" i="12" s="1"/>
  <c r="D173" i="12" s="1"/>
  <c r="G18" i="12"/>
  <c r="G22" i="12"/>
  <c r="G165" i="12" s="1"/>
  <c r="G173" i="12" s="1"/>
  <c r="G23" i="12"/>
  <c r="B176" i="12"/>
  <c r="B161" i="12"/>
  <c r="K18" i="12"/>
  <c r="K23" i="12"/>
  <c r="K22" i="12"/>
  <c r="K165" i="12" s="1"/>
  <c r="K173" i="12" s="1"/>
  <c r="I18" i="12"/>
  <c r="I23" i="12"/>
  <c r="I22" i="12"/>
  <c r="I165" i="12" s="1"/>
  <c r="I173" i="12" s="1"/>
  <c r="H19" i="12"/>
  <c r="J17" i="12"/>
  <c r="J160" i="12" s="1"/>
  <c r="F16" i="12"/>
  <c r="F159" i="12" s="1"/>
  <c r="F10" i="19" s="1"/>
  <c r="D17" i="12"/>
  <c r="D160" i="12" s="1"/>
  <c r="E17" i="12"/>
  <c r="E160" i="12" s="1"/>
  <c r="C17" i="12"/>
  <c r="C160" i="12" s="1"/>
  <c r="K11" i="15"/>
  <c r="K170" i="17"/>
  <c r="J11" i="15"/>
  <c r="J170" i="17"/>
  <c r="C11" i="15"/>
  <c r="C170" i="17"/>
  <c r="B11" i="15"/>
  <c r="B22" i="17" s="1"/>
  <c r="B170" i="17"/>
  <c r="F23" i="15"/>
  <c r="F23" i="17" s="1"/>
  <c r="F173" i="17"/>
  <c r="B23" i="15"/>
  <c r="B23" i="17" s="1"/>
  <c r="B173" i="17"/>
  <c r="G23" i="15"/>
  <c r="G23" i="17" s="1"/>
  <c r="G173" i="17"/>
  <c r="I23" i="15"/>
  <c r="I23" i="17" s="1"/>
  <c r="I173" i="17"/>
  <c r="H11" i="15"/>
  <c r="H170" i="17"/>
  <c r="C23" i="15"/>
  <c r="C23" i="17" s="1"/>
  <c r="C173" i="17"/>
  <c r="E23" i="15"/>
  <c r="E23" i="17" s="1"/>
  <c r="E173" i="17"/>
  <c r="I11" i="15"/>
  <c r="I170" i="17"/>
  <c r="F11" i="15"/>
  <c r="F170" i="17"/>
  <c r="D11" i="15"/>
  <c r="D170" i="17"/>
  <c r="E11" i="15"/>
  <c r="E170" i="17"/>
  <c r="G11" i="15"/>
  <c r="G170" i="17"/>
  <c r="K23" i="15"/>
  <c r="K23" i="17" s="1"/>
  <c r="K173" i="17"/>
  <c r="J23" i="15"/>
  <c r="J23" i="17" s="1"/>
  <c r="J173" i="17"/>
  <c r="H23" i="15"/>
  <c r="H23" i="17" s="1"/>
  <c r="H173" i="17"/>
  <c r="D23" i="15"/>
  <c r="D23" i="17" s="1"/>
  <c r="D173" i="17"/>
  <c r="B22" i="13" l="1"/>
  <c r="B165" i="13" s="1"/>
  <c r="B173" i="13" s="1"/>
  <c r="B12" i="15"/>
  <c r="C172" i="12"/>
  <c r="C19" i="19"/>
  <c r="J172" i="12"/>
  <c r="J19" i="19"/>
  <c r="E172" i="12"/>
  <c r="E19" i="19"/>
  <c r="I172" i="12"/>
  <c r="I19" i="19"/>
  <c r="H172" i="12"/>
  <c r="H19" i="19"/>
  <c r="K172" i="12"/>
  <c r="K19" i="19"/>
  <c r="F172" i="12"/>
  <c r="F19" i="19"/>
  <c r="D172" i="12"/>
  <c r="D19" i="19"/>
  <c r="G172" i="12"/>
  <c r="G19" i="19"/>
  <c r="E177" i="12"/>
  <c r="E162" i="12"/>
  <c r="C162" i="12"/>
  <c r="G177" i="12"/>
  <c r="I162" i="12"/>
  <c r="G162" i="12"/>
  <c r="C177" i="12"/>
  <c r="K177" i="12"/>
  <c r="H166" i="12"/>
  <c r="J177" i="12"/>
  <c r="J166" i="12"/>
  <c r="G166" i="12"/>
  <c r="C166" i="12"/>
  <c r="I166" i="12"/>
  <c r="D166" i="12"/>
  <c r="F166" i="12"/>
  <c r="K166" i="12"/>
  <c r="E166" i="12"/>
  <c r="J162" i="12"/>
  <c r="B158" i="12"/>
  <c r="D24" i="15"/>
  <c r="B23" i="13"/>
  <c r="B166" i="13" s="1"/>
  <c r="B174" i="13" s="1"/>
  <c r="B24" i="15"/>
  <c r="H24" i="15"/>
  <c r="K24" i="15"/>
  <c r="E22" i="17"/>
  <c r="E12" i="15" s="1"/>
  <c r="F22" i="17"/>
  <c r="F12" i="15" s="1"/>
  <c r="E24" i="15"/>
  <c r="H22" i="17"/>
  <c r="H12" i="15" s="1"/>
  <c r="G24" i="15"/>
  <c r="F24" i="15"/>
  <c r="C22" i="17"/>
  <c r="C12" i="15" s="1"/>
  <c r="K22" i="17"/>
  <c r="K12" i="15" s="1"/>
  <c r="F171" i="12"/>
  <c r="K20" i="12"/>
  <c r="K161" i="12"/>
  <c r="K176" i="12"/>
  <c r="C171" i="12"/>
  <c r="D171" i="12"/>
  <c r="E171" i="12"/>
  <c r="F176" i="12"/>
  <c r="F20" i="12"/>
  <c r="F161" i="12"/>
  <c r="G22" i="17"/>
  <c r="G12" i="15" s="1"/>
  <c r="D22" i="17"/>
  <c r="D12" i="15" s="1"/>
  <c r="I22" i="17"/>
  <c r="I12" i="15" s="1"/>
  <c r="G16" i="17"/>
  <c r="G17" i="17"/>
  <c r="G19" i="17"/>
  <c r="G18" i="17"/>
  <c r="G18" i="13" s="1"/>
  <c r="D16" i="17"/>
  <c r="D17" i="17"/>
  <c r="D18" i="17"/>
  <c r="D18" i="13" s="1"/>
  <c r="D19" i="17"/>
  <c r="I18" i="17"/>
  <c r="I18" i="13" s="1"/>
  <c r="I16" i="17"/>
  <c r="I17" i="17"/>
  <c r="I19" i="17"/>
  <c r="B19" i="17"/>
  <c r="B19" i="13" s="1"/>
  <c r="B17" i="17"/>
  <c r="B17" i="13" s="1"/>
  <c r="B160" i="13" s="1"/>
  <c r="B172" i="13" s="1"/>
  <c r="B18" i="17"/>
  <c r="B18" i="13" s="1"/>
  <c r="B16" i="17"/>
  <c r="B16" i="13" s="1"/>
  <c r="B159" i="13" s="1"/>
  <c r="J16" i="17"/>
  <c r="J18" i="17"/>
  <c r="J18" i="13" s="1"/>
  <c r="J19" i="17"/>
  <c r="J17" i="17"/>
  <c r="I161" i="12"/>
  <c r="I176" i="12"/>
  <c r="I20" i="12"/>
  <c r="G176" i="12"/>
  <c r="G20" i="12"/>
  <c r="G161" i="12"/>
  <c r="F162" i="12"/>
  <c r="F177" i="12"/>
  <c r="K171" i="12"/>
  <c r="D162" i="12"/>
  <c r="D177" i="12"/>
  <c r="I171" i="12"/>
  <c r="I24" i="15"/>
  <c r="J22" i="17"/>
  <c r="J12" i="15" s="1"/>
  <c r="H177" i="12"/>
  <c r="H162" i="12"/>
  <c r="D161" i="12"/>
  <c r="D20" i="12"/>
  <c r="D176" i="12"/>
  <c r="J171" i="12"/>
  <c r="B170" i="12"/>
  <c r="J24" i="15"/>
  <c r="C24" i="15"/>
  <c r="E19" i="17"/>
  <c r="E18" i="17"/>
  <c r="E18" i="13" s="1"/>
  <c r="E17" i="17"/>
  <c r="E16" i="17"/>
  <c r="F16" i="17"/>
  <c r="F19" i="17"/>
  <c r="F18" i="17"/>
  <c r="F18" i="13" s="1"/>
  <c r="F17" i="17"/>
  <c r="H18" i="17"/>
  <c r="H18" i="13" s="1"/>
  <c r="H17" i="17"/>
  <c r="H19" i="17"/>
  <c r="H16" i="17"/>
  <c r="C17" i="17"/>
  <c r="C16" i="17"/>
  <c r="C19" i="17"/>
  <c r="C18" i="17"/>
  <c r="C18" i="13" s="1"/>
  <c r="K18" i="17"/>
  <c r="K18" i="13" s="1"/>
  <c r="K17" i="17"/>
  <c r="K16" i="17"/>
  <c r="K19" i="17"/>
  <c r="H161" i="12"/>
  <c r="H176" i="12"/>
  <c r="H20" i="12"/>
  <c r="E176" i="12"/>
  <c r="E20" i="12"/>
  <c r="E161" i="12"/>
  <c r="H171" i="12"/>
  <c r="C20" i="12"/>
  <c r="C176" i="12"/>
  <c r="C161" i="12"/>
  <c r="J161" i="12"/>
  <c r="J176" i="12"/>
  <c r="J20" i="12"/>
  <c r="G171" i="12"/>
  <c r="K174" i="12" l="1"/>
  <c r="K170" i="12" s="1"/>
  <c r="G174" i="12"/>
  <c r="G170" i="12" s="1"/>
  <c r="C163" i="12"/>
  <c r="F174" i="12"/>
  <c r="F170" i="12" s="1"/>
  <c r="J163" i="12"/>
  <c r="H163" i="12"/>
  <c r="D163" i="12"/>
  <c r="I163" i="12"/>
  <c r="E174" i="12"/>
  <c r="E170" i="12" s="1"/>
  <c r="D174" i="12"/>
  <c r="D170" i="12" s="1"/>
  <c r="I174" i="12"/>
  <c r="I170" i="12" s="1"/>
  <c r="C174" i="12"/>
  <c r="C170" i="12" s="1"/>
  <c r="J174" i="12"/>
  <c r="J170" i="12" s="1"/>
  <c r="E163" i="12"/>
  <c r="G163" i="12"/>
  <c r="F163" i="12"/>
  <c r="H174" i="12"/>
  <c r="H170" i="12" s="1"/>
  <c r="K163" i="12"/>
  <c r="I19" i="13"/>
  <c r="I20" i="13" s="1"/>
  <c r="I163" i="13" s="1"/>
  <c r="D19" i="13"/>
  <c r="D177" i="13" s="1"/>
  <c r="J23" i="13"/>
  <c r="J166" i="13" s="1"/>
  <c r="J174" i="13" s="1"/>
  <c r="I23" i="13"/>
  <c r="I166" i="13" s="1"/>
  <c r="I174" i="13" s="1"/>
  <c r="K17" i="13"/>
  <c r="K160" i="13" s="1"/>
  <c r="C16" i="13"/>
  <c r="C159" i="13" s="1"/>
  <c r="H17" i="13"/>
  <c r="H160" i="13" s="1"/>
  <c r="F19" i="13"/>
  <c r="F162" i="13" s="1"/>
  <c r="J22" i="13"/>
  <c r="J165" i="13" s="1"/>
  <c r="J173" i="13" s="1"/>
  <c r="C17" i="13"/>
  <c r="C160" i="13" s="1"/>
  <c r="J17" i="13"/>
  <c r="J160" i="13" s="1"/>
  <c r="J19" i="13"/>
  <c r="J20" i="13" s="1"/>
  <c r="J163" i="13" s="1"/>
  <c r="E176" i="13"/>
  <c r="E161" i="13"/>
  <c r="B171" i="13"/>
  <c r="G161" i="13"/>
  <c r="G176" i="13"/>
  <c r="K22" i="13"/>
  <c r="K165" i="13" s="1"/>
  <c r="K173" i="13" s="1"/>
  <c r="F23" i="13"/>
  <c r="F166" i="13" s="1"/>
  <c r="F174" i="13" s="1"/>
  <c r="H22" i="13"/>
  <c r="H165" i="13" s="1"/>
  <c r="H173" i="13" s="1"/>
  <c r="F22" i="13"/>
  <c r="F165" i="13" s="1"/>
  <c r="F173" i="13" s="1"/>
  <c r="K23" i="13"/>
  <c r="K166" i="13" s="1"/>
  <c r="K174" i="13" s="1"/>
  <c r="H176" i="13"/>
  <c r="H161" i="13"/>
  <c r="F16" i="13"/>
  <c r="F159" i="13" s="1"/>
  <c r="F12" i="19" s="1"/>
  <c r="E19" i="13"/>
  <c r="B161" i="13"/>
  <c r="B176" i="13"/>
  <c r="I17" i="13"/>
  <c r="I160" i="13" s="1"/>
  <c r="D161" i="13"/>
  <c r="D176" i="13"/>
  <c r="G19" i="13"/>
  <c r="I22" i="13"/>
  <c r="I165" i="13" s="1"/>
  <c r="I173" i="13" s="1"/>
  <c r="G22" i="13"/>
  <c r="G165" i="13" s="1"/>
  <c r="G173" i="13" s="1"/>
  <c r="K19" i="13"/>
  <c r="K20" i="13" s="1"/>
  <c r="K163" i="13" s="1"/>
  <c r="C176" i="13"/>
  <c r="C161" i="13"/>
  <c r="H16" i="13"/>
  <c r="H159" i="13" s="1"/>
  <c r="H12" i="19" s="1"/>
  <c r="F17" i="13"/>
  <c r="F160" i="13" s="1"/>
  <c r="E16" i="13"/>
  <c r="E159" i="13" s="1"/>
  <c r="E12" i="19" s="1"/>
  <c r="C23" i="13"/>
  <c r="C166" i="13" s="1"/>
  <c r="C174" i="13" s="1"/>
  <c r="J161" i="13"/>
  <c r="J176" i="13"/>
  <c r="I16" i="13"/>
  <c r="I159" i="13" s="1"/>
  <c r="I12" i="19" s="1"/>
  <c r="D17" i="13"/>
  <c r="D160" i="13" s="1"/>
  <c r="G17" i="13"/>
  <c r="G160" i="13" s="1"/>
  <c r="D22" i="13"/>
  <c r="D165" i="13" s="1"/>
  <c r="D173" i="13" s="1"/>
  <c r="G23" i="13"/>
  <c r="G166" i="13" s="1"/>
  <c r="G174" i="13" s="1"/>
  <c r="E23" i="13"/>
  <c r="E166" i="13" s="1"/>
  <c r="E174" i="13" s="1"/>
  <c r="E22" i="13"/>
  <c r="E165" i="13" s="1"/>
  <c r="E173" i="13" s="1"/>
  <c r="H23" i="13"/>
  <c r="H166" i="13" s="1"/>
  <c r="H174" i="13" s="1"/>
  <c r="D23" i="13"/>
  <c r="D166" i="13" s="1"/>
  <c r="D174" i="13" s="1"/>
  <c r="K161" i="13"/>
  <c r="K176" i="13"/>
  <c r="K16" i="13"/>
  <c r="K159" i="13" s="1"/>
  <c r="K12" i="19" s="1"/>
  <c r="C19" i="13"/>
  <c r="H19" i="13"/>
  <c r="F176" i="13"/>
  <c r="F161" i="13"/>
  <c r="E17" i="13"/>
  <c r="E160" i="13" s="1"/>
  <c r="J16" i="13"/>
  <c r="J159" i="13" s="1"/>
  <c r="J12" i="19" s="1"/>
  <c r="B162" i="13"/>
  <c r="B177" i="13"/>
  <c r="I161" i="13"/>
  <c r="I176" i="13"/>
  <c r="D16" i="13"/>
  <c r="D159" i="13" s="1"/>
  <c r="D12" i="19" s="1"/>
  <c r="G16" i="13"/>
  <c r="G159" i="13" s="1"/>
  <c r="G12" i="19" s="1"/>
  <c r="C22" i="13"/>
  <c r="C165" i="13" s="1"/>
  <c r="C173" i="13" s="1"/>
  <c r="G172" i="13" l="1"/>
  <c r="G21" i="19"/>
  <c r="C172" i="13"/>
  <c r="C21" i="19"/>
  <c r="C171" i="13"/>
  <c r="C12" i="19"/>
  <c r="D172" i="13"/>
  <c r="D21" i="19"/>
  <c r="I172" i="13"/>
  <c r="I21" i="19"/>
  <c r="K172" i="13"/>
  <c r="K21" i="19"/>
  <c r="E172" i="13"/>
  <c r="E21" i="19"/>
  <c r="F172" i="13"/>
  <c r="F21" i="19"/>
  <c r="J172" i="13"/>
  <c r="J21" i="19"/>
  <c r="H172" i="13"/>
  <c r="H21" i="19"/>
  <c r="H158" i="12"/>
  <c r="I158" i="12"/>
  <c r="F20" i="13"/>
  <c r="F163" i="13" s="1"/>
  <c r="F158" i="13" s="1"/>
  <c r="I162" i="13"/>
  <c r="I158" i="13" s="1"/>
  <c r="G158" i="12"/>
  <c r="D20" i="13"/>
  <c r="D163" i="13" s="1"/>
  <c r="D158" i="12"/>
  <c r="C158" i="12"/>
  <c r="E158" i="12"/>
  <c r="F158" i="12"/>
  <c r="J158" i="12"/>
  <c r="I177" i="13"/>
  <c r="K158" i="12"/>
  <c r="D162" i="13"/>
  <c r="F177" i="13"/>
  <c r="J162" i="13"/>
  <c r="J158" i="13" s="1"/>
  <c r="B158" i="13"/>
  <c r="J177" i="13"/>
  <c r="J171" i="13"/>
  <c r="H162" i="13"/>
  <c r="H177" i="13"/>
  <c r="H171" i="13"/>
  <c r="K177" i="13"/>
  <c r="K162" i="13"/>
  <c r="K158" i="13" s="1"/>
  <c r="F171" i="13"/>
  <c r="G171" i="13"/>
  <c r="C177" i="13"/>
  <c r="C170" i="13" s="1"/>
  <c r="C162" i="13"/>
  <c r="I171" i="13"/>
  <c r="C20" i="13"/>
  <c r="C163" i="13" s="1"/>
  <c r="H20" i="13"/>
  <c r="H163" i="13" s="1"/>
  <c r="B170" i="13"/>
  <c r="D171" i="13"/>
  <c r="K171" i="13"/>
  <c r="E171" i="13"/>
  <c r="G20" i="13"/>
  <c r="G163" i="13" s="1"/>
  <c r="G162" i="13"/>
  <c r="G177" i="13"/>
  <c r="E162" i="13"/>
  <c r="E177" i="13"/>
  <c r="E20" i="13"/>
  <c r="E163" i="13" s="1"/>
  <c r="D170" i="13" l="1"/>
  <c r="D158" i="13"/>
  <c r="K170" i="13"/>
  <c r="I170" i="13"/>
  <c r="F170" i="13"/>
  <c r="G158" i="13"/>
  <c r="C158" i="13"/>
  <c r="J170" i="13"/>
  <c r="H158" i="13"/>
  <c r="E158" i="13"/>
  <c r="G170" i="13"/>
  <c r="H170" i="13"/>
  <c r="E170" i="13"/>
  <c r="I7" i="15" l="1"/>
  <c r="I22" i="18" s="1"/>
  <c r="I170" i="18"/>
  <c r="I19" i="18" l="1"/>
  <c r="I18" i="18"/>
  <c r="I17" i="18"/>
  <c r="I16" i="18"/>
  <c r="I8" i="15"/>
  <c r="H7" i="15"/>
  <c r="H22" i="18" s="1"/>
  <c r="G170" i="18"/>
  <c r="I22" i="6" l="1"/>
  <c r="I165" i="6" s="1"/>
  <c r="I16" i="6"/>
  <c r="I159" i="6" s="1"/>
  <c r="I8" i="19" s="1"/>
  <c r="I19" i="6"/>
  <c r="I162" i="6" s="1"/>
  <c r="I17" i="6"/>
  <c r="I160" i="6" s="1"/>
  <c r="I17" i="19" s="1"/>
  <c r="H8" i="15"/>
  <c r="I18" i="6"/>
  <c r="I23" i="6"/>
  <c r="I166" i="6" s="1"/>
  <c r="G18" i="18"/>
  <c r="G17" i="18"/>
  <c r="G16" i="18"/>
  <c r="G19" i="18"/>
  <c r="G7" i="15"/>
  <c r="G22" i="18" s="1"/>
  <c r="H170" i="18"/>
  <c r="J7" i="15"/>
  <c r="J22" i="18" s="1"/>
  <c r="J170" i="18"/>
  <c r="E7" i="15"/>
  <c r="E22" i="18" s="1"/>
  <c r="E170" i="18"/>
  <c r="K7" i="15"/>
  <c r="K22" i="18" s="1"/>
  <c r="K170" i="18"/>
  <c r="G19" i="6" l="1"/>
  <c r="G162" i="6" s="1"/>
  <c r="E8" i="15"/>
  <c r="G22" i="6"/>
  <c r="G165" i="6" s="1"/>
  <c r="G8" i="15"/>
  <c r="G18" i="6"/>
  <c r="G23" i="6"/>
  <c r="G166" i="6" s="1"/>
  <c r="K18" i="18"/>
  <c r="K19" i="18"/>
  <c r="K17" i="18"/>
  <c r="K16" i="18"/>
  <c r="J18" i="18"/>
  <c r="J19" i="18"/>
  <c r="J17" i="18"/>
  <c r="J16" i="18"/>
  <c r="K8" i="15"/>
  <c r="J8" i="15"/>
  <c r="G16" i="6"/>
  <c r="I20" i="6"/>
  <c r="I163" i="6" s="1"/>
  <c r="I161" i="6"/>
  <c r="E17" i="18"/>
  <c r="E16" i="18"/>
  <c r="E19" i="18"/>
  <c r="E18" i="18"/>
  <c r="H16" i="18"/>
  <c r="H18" i="18"/>
  <c r="H17" i="18"/>
  <c r="H19" i="18"/>
  <c r="G17" i="6"/>
  <c r="G160" i="6" s="1"/>
  <c r="G17" i="19" s="1"/>
  <c r="F7" i="15"/>
  <c r="F22" i="18" s="1"/>
  <c r="F170" i="18"/>
  <c r="K22" i="6" l="1"/>
  <c r="K165" i="6" s="1"/>
  <c r="E17" i="6"/>
  <c r="E160" i="6" s="1"/>
  <c r="E17" i="19" s="1"/>
  <c r="I158" i="6"/>
  <c r="E16" i="6"/>
  <c r="E159" i="6" s="1"/>
  <c r="E8" i="19" s="1"/>
  <c r="J19" i="6"/>
  <c r="J162" i="6" s="1"/>
  <c r="K19" i="6"/>
  <c r="K162" i="6" s="1"/>
  <c r="H16" i="6"/>
  <c r="G159" i="6"/>
  <c r="G8" i="19" s="1"/>
  <c r="J18" i="6"/>
  <c r="J23" i="6"/>
  <c r="J166" i="6" s="1"/>
  <c r="K18" i="6"/>
  <c r="K23" i="6"/>
  <c r="K166" i="6" s="1"/>
  <c r="F16" i="18"/>
  <c r="F17" i="18"/>
  <c r="F19" i="18"/>
  <c r="F18" i="18"/>
  <c r="H19" i="6"/>
  <c r="H162" i="6" s="1"/>
  <c r="E18" i="6"/>
  <c r="E23" i="6"/>
  <c r="E166" i="6" s="1"/>
  <c r="I15" i="6"/>
  <c r="J22" i="6"/>
  <c r="J165" i="6" s="1"/>
  <c r="J16" i="6"/>
  <c r="K16" i="6"/>
  <c r="E22" i="6"/>
  <c r="E165" i="6" s="1"/>
  <c r="H18" i="6"/>
  <c r="H23" i="6"/>
  <c r="H166" i="6" s="1"/>
  <c r="H22" i="6"/>
  <c r="H165" i="6" s="1"/>
  <c r="F8" i="15"/>
  <c r="H17" i="6"/>
  <c r="H160" i="6" s="1"/>
  <c r="H17" i="19" s="1"/>
  <c r="E19" i="6"/>
  <c r="E162" i="6" s="1"/>
  <c r="J17" i="6"/>
  <c r="J160" i="6" s="1"/>
  <c r="J17" i="19" s="1"/>
  <c r="K17" i="6"/>
  <c r="K160" i="6" s="1"/>
  <c r="K17" i="19" s="1"/>
  <c r="G20" i="6"/>
  <c r="G163" i="6" s="1"/>
  <c r="G161" i="6"/>
  <c r="F22" i="6" l="1"/>
  <c r="F165" i="6" s="1"/>
  <c r="F17" i="6"/>
  <c r="F160" i="6" s="1"/>
  <c r="F17" i="19" s="1"/>
  <c r="H161" i="6"/>
  <c r="H20" i="6"/>
  <c r="H163" i="6" s="1"/>
  <c r="F16" i="6"/>
  <c r="J161" i="6"/>
  <c r="J20" i="6"/>
  <c r="J163" i="6" s="1"/>
  <c r="J159" i="6"/>
  <c r="J8" i="19" s="1"/>
  <c r="F18" i="6"/>
  <c r="F23" i="6"/>
  <c r="F166" i="6" s="1"/>
  <c r="G15" i="6"/>
  <c r="E20" i="6"/>
  <c r="E163" i="6" s="1"/>
  <c r="E161" i="6"/>
  <c r="K159" i="6"/>
  <c r="K8" i="19" s="1"/>
  <c r="F19" i="6"/>
  <c r="F162" i="6" s="1"/>
  <c r="K20" i="6"/>
  <c r="K163" i="6" s="1"/>
  <c r="K161" i="6"/>
  <c r="G158" i="6"/>
  <c r="H159" i="6"/>
  <c r="H8" i="19" s="1"/>
  <c r="D7" i="15"/>
  <c r="D22" i="18" s="1"/>
  <c r="D170" i="18"/>
  <c r="C7" i="15"/>
  <c r="C22" i="18" s="1"/>
  <c r="C170" i="18"/>
  <c r="H158" i="6" l="1"/>
  <c r="E15" i="6"/>
  <c r="H15" i="6"/>
  <c r="E158" i="6"/>
  <c r="J15" i="6"/>
  <c r="J158" i="6"/>
  <c r="C8" i="15"/>
  <c r="F161" i="6"/>
  <c r="F20" i="6"/>
  <c r="F163" i="6" s="1"/>
  <c r="D8" i="15"/>
  <c r="F159" i="6"/>
  <c r="F8" i="19" s="1"/>
  <c r="D16" i="18"/>
  <c r="D17" i="18"/>
  <c r="D18" i="18"/>
  <c r="D19" i="18"/>
  <c r="C16" i="18"/>
  <c r="C17" i="18"/>
  <c r="C18" i="18"/>
  <c r="C19" i="18"/>
  <c r="K15" i="6"/>
  <c r="K158" i="6"/>
  <c r="C19" i="6" l="1"/>
  <c r="C162" i="6" s="1"/>
  <c r="D19" i="6"/>
  <c r="D162" i="6" s="1"/>
  <c r="F15" i="6"/>
  <c r="F158" i="6"/>
  <c r="D18" i="6"/>
  <c r="D23" i="6"/>
  <c r="D166" i="6" s="1"/>
  <c r="C18" i="6"/>
  <c r="C23" i="6"/>
  <c r="C166" i="6" s="1"/>
  <c r="C17" i="6"/>
  <c r="C160" i="6" s="1"/>
  <c r="C17" i="19" s="1"/>
  <c r="D17" i="6"/>
  <c r="D160" i="6" s="1"/>
  <c r="D17" i="19" s="1"/>
  <c r="D22" i="6"/>
  <c r="D165" i="6" s="1"/>
  <c r="C22" i="6"/>
  <c r="C165" i="6" s="1"/>
  <c r="C16" i="6"/>
  <c r="D16" i="6"/>
  <c r="C20" i="6" l="1"/>
  <c r="C163" i="6" s="1"/>
  <c r="C161" i="6"/>
  <c r="D159" i="6"/>
  <c r="D8" i="19" s="1"/>
  <c r="C159" i="6"/>
  <c r="C8" i="19" s="1"/>
  <c r="D161" i="6"/>
  <c r="D20" i="6"/>
  <c r="D163" i="6" s="1"/>
  <c r="C15" i="6" l="1"/>
  <c r="C158" i="6"/>
  <c r="D15" i="6"/>
  <c r="D158" i="6"/>
</calcChain>
</file>

<file path=xl/sharedStrings.xml><?xml version="1.0" encoding="utf-8"?>
<sst xmlns="http://schemas.openxmlformats.org/spreadsheetml/2006/main" count="539" uniqueCount="125">
  <si>
    <t>Region</t>
  </si>
  <si>
    <t>Fiscal Year</t>
  </si>
  <si>
    <t>Mode</t>
  </si>
  <si>
    <t>People in Sample</t>
  </si>
  <si>
    <t>Trips in Sample</t>
  </si>
  <si>
    <t>Total Trips</t>
  </si>
  <si>
    <t>(Million)</t>
  </si>
  <si>
    <t>Total Distance</t>
  </si>
  <si>
    <t>(Million KM)</t>
  </si>
  <si>
    <t>Total Duration</t>
  </si>
  <si>
    <t>(Milllion Hours)</t>
  </si>
  <si>
    <t>Total Trips (Millions)</t>
  </si>
  <si>
    <t>TOTAL</t>
  </si>
  <si>
    <t>Total Distance (Million Kilometres)</t>
  </si>
  <si>
    <t>Total Duration (Million Hours)</t>
  </si>
  <si>
    <t>Total Population</t>
  </si>
  <si>
    <t>Local Bus xAuck-Well-Chris</t>
  </si>
  <si>
    <t>Total Trips Before Final Adjustment (Millions)</t>
  </si>
  <si>
    <t>ADJUSTMENT CONSTANTS</t>
  </si>
  <si>
    <t>ACTUAL TOTAL</t>
  </si>
  <si>
    <t>Local Bus</t>
  </si>
  <si>
    <t>ORIGINAL TOTAL</t>
  </si>
  <si>
    <t>2012/13</t>
  </si>
  <si>
    <t>2013/14</t>
  </si>
  <si>
    <t>2014/15</t>
  </si>
  <si>
    <t>2017/18</t>
  </si>
  <si>
    <t>2022/23</t>
  </si>
  <si>
    <t>2027/28</t>
  </si>
  <si>
    <t>2032/33</t>
  </si>
  <si>
    <t>2037/38</t>
  </si>
  <si>
    <t>2042/43</t>
  </si>
  <si>
    <t>Actual</t>
  </si>
  <si>
    <t>Projected</t>
  </si>
  <si>
    <t>Northland</t>
  </si>
  <si>
    <t>Auckland</t>
  </si>
  <si>
    <t>Waikato</t>
  </si>
  <si>
    <t>Bay of Plenty</t>
  </si>
  <si>
    <t>Gisborne</t>
  </si>
  <si>
    <t>Hawke’s Bay</t>
  </si>
  <si>
    <t>Taranaki</t>
  </si>
  <si>
    <t>Manawatu</t>
  </si>
  <si>
    <t>Wellington</t>
  </si>
  <si>
    <t>TNM</t>
  </si>
  <si>
    <t>West Coast</t>
  </si>
  <si>
    <t>Canterbury</t>
  </si>
  <si>
    <t>Otago</t>
  </si>
  <si>
    <t>Southland</t>
  </si>
  <si>
    <t>Congestion Charging Assumptions</t>
  </si>
  <si>
    <t>Desired Reduction in Light Vehicle and Vehicle Share VKT Compared to Unconstrained Levels:</t>
  </si>
  <si>
    <t xml:space="preserve">  Household Travel</t>
  </si>
  <si>
    <t xml:space="preserve">  Commercial Travel</t>
  </si>
  <si>
    <t>Desired Modal Diversions:</t>
  </si>
  <si>
    <t xml:space="preserve">  To Light Vehicle + Vehicle Share Passenger</t>
  </si>
  <si>
    <t xml:space="preserve">  To Bus</t>
  </si>
  <si>
    <t xml:space="preserve">  To Rail</t>
  </si>
  <si>
    <t xml:space="preserve">  To Cycling</t>
  </si>
  <si>
    <t xml:space="preserve">  To Walking</t>
  </si>
  <si>
    <t>Assumed Percentage Share of Household Light Vehicle Driver and Passenger Travel Diverted to Taxi/Vehicle Sharing in This Scenario</t>
  </si>
  <si>
    <t>Assumed Percentage Share of Commercial Light Vehicle Travel Diverted to Taxi/Vehicle Sharing in This Scenario</t>
  </si>
  <si>
    <t>Total Duration Before Final Adjustment (Million Hours)</t>
  </si>
  <si>
    <t xml:space="preserve">PT Assumptions </t>
  </si>
  <si>
    <t>Fraction Drawn from Other Modes</t>
  </si>
  <si>
    <t>Pedestrian</t>
  </si>
  <si>
    <t>Cyclist</t>
  </si>
  <si>
    <t>Light Vehicle Drivers</t>
  </si>
  <si>
    <t>Light Vehicle Passengers</t>
  </si>
  <si>
    <t>Bus</t>
  </si>
  <si>
    <t>NET LOCAL TRAIN INCREASE</t>
  </si>
  <si>
    <t>NET LOCAL BUS INCREASE</t>
  </si>
  <si>
    <t>Assumed Change in Average Trip Length</t>
  </si>
  <si>
    <t>Total Distance Travelled Before Final Adjustment (Million KM)</t>
  </si>
  <si>
    <t>All Regions</t>
  </si>
  <si>
    <t xml:space="preserve">Active Mode Assumptions </t>
  </si>
  <si>
    <t>Growth of Pedestrian Trips Compared to BAU</t>
  </si>
  <si>
    <t>Implied Pedestrian Trips Per Capita</t>
  </si>
  <si>
    <t>Growth of Cycling Trips Compared to BAU</t>
  </si>
  <si>
    <t>Implied Cycling Trips per Capita</t>
  </si>
  <si>
    <t>Growth of Pedestrian Kilometres Compared to BAU</t>
  </si>
  <si>
    <t>Implied Pedestrian Kilometres Per Capita</t>
  </si>
  <si>
    <t>Growth of Pedestrian Hours Compared to BAU</t>
  </si>
  <si>
    <t>Implied Pedestrian Hours Per Capita</t>
  </si>
  <si>
    <t>Growth of Cycling Kilometres Compared to BAU</t>
  </si>
  <si>
    <t>Implied Cycling Kilometres per Capita</t>
  </si>
  <si>
    <t>Growth of Cycling Hours Compared to BAU</t>
  </si>
  <si>
    <t>Implied Cycling Hours per Capita</t>
  </si>
  <si>
    <t>Growth of Local Train Trips Compared to BAU</t>
  </si>
  <si>
    <t>Growth of Local Ferry Trips Compared to BAU</t>
  </si>
  <si>
    <t>Implied Local Train Trips (Millions)</t>
  </si>
  <si>
    <t>Implied Local Bus Trips (Millions)</t>
  </si>
  <si>
    <t>Implied Local Train Passenger-Kilometres (Millions)</t>
  </si>
  <si>
    <t>Implied Local Bus Passenger-Kilometres (Millions)</t>
  </si>
  <si>
    <t>Implied Local Bus Passenger-Hours (Millions)</t>
  </si>
  <si>
    <t>Implied Local Train Passenger-Hours (Millions)</t>
  </si>
  <si>
    <t>Implied Local Ferry Trips (Millions)</t>
  </si>
  <si>
    <t>Growth of Local Train Passenger-Kilometres Compared to BAU</t>
  </si>
  <si>
    <t>Growth of Local Train Passenger-Hours Compared to BAU</t>
  </si>
  <si>
    <t>Growth of Local Bus Trips Compared to BAU</t>
  </si>
  <si>
    <t>Growth of Local Bus Passenger-Kilometres Compared to BAU</t>
  </si>
  <si>
    <t>Growth of Local Bus Passenger-Hours Compared to BAU</t>
  </si>
  <si>
    <t>Growth of Local Ferry Passenger-Kilometres Compared to BAU</t>
  </si>
  <si>
    <t>Implied Local Ferry Passenger-Kilometres (Millions)</t>
  </si>
  <si>
    <t>Growth of Local Ferry Passenger-Hours Compared to BAU</t>
  </si>
  <si>
    <t>Implied Local Ferry Passenger-Hours (Millions)</t>
  </si>
  <si>
    <t>NEW ZEALAND TOTAL</t>
  </si>
  <si>
    <t>Local Train</t>
  </si>
  <si>
    <t>Other Modes</t>
  </si>
  <si>
    <t>Light Vehicle Driver</t>
  </si>
  <si>
    <t>Light Vehicle Passenger</t>
  </si>
  <si>
    <t>RESULTS FOR HEALTH MODEL (VEHICLE SHARE COMBINED W/LIGHT VEHICLE DRIVERS AND PASSENGERS)</t>
  </si>
  <si>
    <t>TRIPS/PERSON BASED ON ORIGINAL TOTALS AND ORIGINAL POPULATION</t>
  </si>
  <si>
    <t>CHECK: TRIPS/PERSON BASED ON ACTUAL TOTALS AND  UPDATED POPULATION</t>
  </si>
  <si>
    <t>TOTAL - XAUCK-WELL-CANT</t>
  </si>
  <si>
    <t>KILOMETRES/PERSON BASED ON ORIGINAL TOTALS AND ORIGINAL POPULATION</t>
  </si>
  <si>
    <t>CHECK: KILOMETRES/PERSON BASED ON ACTUAL TOTALS AND  UPDATED POPULATION</t>
  </si>
  <si>
    <t>HOURS/PERSON BASED ON ORIGINAL TOTALS AND ORIGINAL POPULATION</t>
  </si>
  <si>
    <t>CHECK: HOURS/PERSON BASED ON ACTUAL TOTALS AND  UPDATED POPULATION</t>
  </si>
  <si>
    <t>Taxi/Vehicle Share</t>
  </si>
  <si>
    <t>This workbook was copied from X:\Transport Outlook\Scenarios\base\Model Results\trip_summary_region_postprocess base 20170717 updated.xlsx</t>
  </si>
  <si>
    <t>2015/16</t>
  </si>
  <si>
    <t>2016/17</t>
  </si>
  <si>
    <t>2047/48</t>
  </si>
  <si>
    <t>2052/53</t>
  </si>
  <si>
    <t>2057/58</t>
  </si>
  <si>
    <t>NET LOCAL TRAIN INCREASE BEYOND BASE YEAR ADJUSTMENT</t>
  </si>
  <si>
    <t>NET LOCAL BUS INCREASE BEYOND BASE YEAR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</si>
</sst>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#,##0.000000"/>
    <numFmt numFmtId="167" formatCode="0.0%"/>
  </numFmts>
  <fonts count="1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1">
    <xf numFmtId="0" fontId="0" fillId="0" borderId="0" xfId="0"/>
    <xf numFmtId="164" fontId="0" fillId="0" borderId="0" xfId="0" applyNumberFormat="1"/>
    <xf numFmtId="0" fontId="16" fillId="0" borderId="0" xfId="0" applyFont="1" applyAlignment="1">
      <alignment horizontal="center"/>
    </xf>
    <xf numFmtId="0" fontId="16" fillId="0" borderId="0" xfId="0" applyFont="1"/>
    <xf numFmtId="165" fontId="0" fillId="0" borderId="0" xfId="0" applyNumberFormat="1"/>
    <xf numFmtId="1" fontId="0" fillId="0" borderId="0" xfId="0" applyNumberFormat="1"/>
    <xf numFmtId="0" fontId="18" fillId="0" borderId="10" xfId="0" applyFont="1" applyBorder="1"/>
    <xf numFmtId="0" fontId="0" fillId="0" borderId="11" xfId="0" applyBorder="1"/>
    <xf numFmtId="0" fontId="16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6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15" xfId="0" applyBorder="1"/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8" fillId="33" borderId="18" xfId="0" applyFont="1" applyFill="1" applyBorder="1"/>
    <xf numFmtId="167" fontId="0" fillId="0" borderId="10" xfId="0" applyNumberFormat="1" applyBorder="1"/>
    <xf numFmtId="167" fontId="0" fillId="0" borderId="11" xfId="0" applyNumberFormat="1" applyBorder="1"/>
    <xf numFmtId="167" fontId="0" fillId="0" borderId="13" xfId="0" applyNumberFormat="1" applyBorder="1"/>
    <xf numFmtId="167" fontId="0" fillId="0" borderId="0" xfId="0" applyNumberFormat="1" applyBorder="1"/>
    <xf numFmtId="167" fontId="0" fillId="34" borderId="0" xfId="0" applyNumberFormat="1" applyFill="1" applyBorder="1"/>
    <xf numFmtId="167" fontId="0" fillId="34" borderId="14" xfId="0" applyNumberFormat="1" applyFill="1" applyBorder="1"/>
    <xf numFmtId="0" fontId="18" fillId="33" borderId="19" xfId="0" applyFont="1" applyFill="1" applyBorder="1"/>
    <xf numFmtId="167" fontId="0" fillId="0" borderId="20" xfId="0" applyNumberFormat="1" applyBorder="1"/>
    <xf numFmtId="167" fontId="0" fillId="0" borderId="21" xfId="0" applyNumberFormat="1" applyBorder="1"/>
    <xf numFmtId="167" fontId="0" fillId="34" borderId="21" xfId="0" applyNumberFormat="1" applyFill="1" applyBorder="1"/>
    <xf numFmtId="167" fontId="0" fillId="34" borderId="22" xfId="0" applyNumberFormat="1" applyFill="1" applyBorder="1"/>
    <xf numFmtId="0" fontId="0" fillId="0" borderId="23" xfId="0" applyBorder="1"/>
    <xf numFmtId="0" fontId="0" fillId="0" borderId="0" xfId="0" applyBorder="1"/>
    <xf numFmtId="0" fontId="0" fillId="0" borderId="14" xfId="0" applyBorder="1"/>
    <xf numFmtId="0" fontId="0" fillId="33" borderId="0" xfId="0" applyFill="1" applyBorder="1"/>
    <xf numFmtId="0" fontId="0" fillId="33" borderId="18" xfId="0" applyFill="1" applyBorder="1"/>
    <xf numFmtId="0" fontId="0" fillId="0" borderId="0" xfId="0" applyFill="1" applyBorder="1"/>
    <xf numFmtId="0" fontId="0" fillId="0" borderId="21" xfId="0" applyBorder="1"/>
    <xf numFmtId="167" fontId="0" fillId="0" borderId="10" xfId="0" applyNumberFormat="1" applyFill="1" applyBorder="1"/>
    <xf numFmtId="167" fontId="0" fillId="0" borderId="11" xfId="0" applyNumberFormat="1" applyFill="1" applyBorder="1"/>
    <xf numFmtId="167" fontId="0" fillId="0" borderId="12" xfId="0" applyNumberFormat="1" applyFill="1" applyBorder="1"/>
    <xf numFmtId="0" fontId="18" fillId="33" borderId="18" xfId="0" applyFont="1" applyFill="1" applyBorder="1" applyAlignment="1">
      <alignment horizontal="left" indent="1"/>
    </xf>
    <xf numFmtId="167" fontId="0" fillId="0" borderId="13" xfId="0" applyNumberFormat="1" applyFill="1" applyBorder="1"/>
    <xf numFmtId="167" fontId="0" fillId="0" borderId="0" xfId="0" applyNumberFormat="1" applyFill="1" applyBorder="1"/>
    <xf numFmtId="167" fontId="0" fillId="0" borderId="14" xfId="0" applyNumberFormat="1" applyFill="1" applyBorder="1"/>
    <xf numFmtId="0" fontId="18" fillId="33" borderId="18" xfId="0" applyFont="1" applyFill="1" applyBorder="1" applyAlignment="1">
      <alignment horizontal="left" indent="2"/>
    </xf>
    <xf numFmtId="0" fontId="18" fillId="33" borderId="19" xfId="0" applyFont="1" applyFill="1" applyBorder="1" applyAlignment="1">
      <alignment horizontal="left" indent="2"/>
    </xf>
    <xf numFmtId="164" fontId="0" fillId="0" borderId="0" xfId="0" applyNumberFormat="1" applyFill="1" applyBorder="1"/>
    <xf numFmtId="164" fontId="0" fillId="0" borderId="14" xfId="0" applyNumberFormat="1" applyFill="1" applyBorder="1"/>
    <xf numFmtId="167" fontId="0" fillId="34" borderId="13" xfId="0" applyNumberFormat="1" applyFill="1" applyBorder="1"/>
    <xf numFmtId="0" fontId="18" fillId="33" borderId="0" xfId="0" applyFont="1" applyFill="1" applyBorder="1" applyAlignment="1">
      <alignment horizontal="left" indent="1"/>
    </xf>
    <xf numFmtId="0" fontId="18" fillId="33" borderId="22" xfId="0" applyFont="1" applyFill="1" applyBorder="1" applyAlignment="1">
      <alignment horizontal="left" indent="1"/>
    </xf>
    <xf numFmtId="164" fontId="0" fillId="0" borderId="21" xfId="0" applyNumberFormat="1" applyFill="1" applyBorder="1"/>
    <xf numFmtId="164" fontId="0" fillId="0" borderId="22" xfId="0" applyNumberFormat="1" applyFill="1" applyBorder="1"/>
    <xf numFmtId="164" fontId="0" fillId="0" borderId="13" xfId="0" applyNumberFormat="1" applyFill="1" applyBorder="1"/>
    <xf numFmtId="164" fontId="0" fillId="0" borderId="20" xfId="0" applyNumberFormat="1" applyFill="1" applyBorder="1"/>
    <xf numFmtId="167" fontId="0" fillId="0" borderId="21" xfId="0" applyNumberFormat="1" applyFill="1" applyBorder="1"/>
    <xf numFmtId="167" fontId="0" fillId="0" borderId="22" xfId="0" applyNumberFormat="1" applyFill="1" applyBorder="1"/>
    <xf numFmtId="0" fontId="0" fillId="0" borderId="14" xfId="0" applyFill="1" applyBorder="1"/>
    <xf numFmtId="4" fontId="0" fillId="0" borderId="0" xfId="0" applyNumberFormat="1"/>
    <xf numFmtId="167" fontId="0" fillId="34" borderId="20" xfId="0" applyNumberFormat="1" applyFill="1" applyBorder="1"/>
    <xf numFmtId="166" fontId="0" fillId="35" borderId="0" xfId="0" applyNumberFormat="1" applyFill="1"/>
    <xf numFmtId="0" fontId="0" fillId="35" borderId="0" xfId="0" applyFill="1"/>
    <xf numFmtId="165" fontId="0" fillId="35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ransport%20Outlook\Version%202%20Models\Base\PT%20Trips%20from%20AT%20201812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ransport%20Outlook\Version%202%20Models\Base\PT%20Trips%20from%20GWRC%202018112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ransport%20Outlook\Scenarios\base\Assumptions\Population%20and%20GDP%20bas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opulation%20and%20GDP%20Updated%20Version%202%20Bas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ransport%20Outlook\Scenarios\base\Model%20Results\trip_summary_region%20base%2020161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M PT 2018 outputs"/>
      <sheetName val="PT Projections 2017"/>
      <sheetName val="Historical Statistics"/>
      <sheetName val="Summary Data"/>
      <sheetName val="Annual Projections"/>
      <sheetName val="Transition "/>
    </sheetNames>
    <sheetDataSet>
      <sheetData sheetId="0"/>
      <sheetData sheetId="1"/>
      <sheetData sheetId="2"/>
      <sheetData sheetId="3">
        <row r="32">
          <cell r="B32">
            <v>1.1504942223956107</v>
          </cell>
        </row>
      </sheetData>
      <sheetData sheetId="4"/>
      <sheetData sheetId="5">
        <row r="30">
          <cell r="B30">
            <v>0.94809013753953852</v>
          </cell>
          <cell r="C30">
            <v>1.9292233689221983</v>
          </cell>
          <cell r="D30">
            <v>3.123397949541312</v>
          </cell>
          <cell r="E30">
            <v>4.1465737157088958</v>
          </cell>
          <cell r="F30">
            <v>4.48351564957657</v>
          </cell>
          <cell r="G30">
            <v>4.8558252426324851</v>
          </cell>
          <cell r="H30">
            <v>5.2294284789181615</v>
          </cell>
          <cell r="I30">
            <v>5.5298819820419149</v>
          </cell>
          <cell r="J30">
            <v>5.8442434518179809</v>
          </cell>
          <cell r="K30">
            <v>6.1897779032082072</v>
          </cell>
        </row>
        <row r="31">
          <cell r="B31">
            <v>1.2566494043264</v>
          </cell>
          <cell r="C31">
            <v>2.2936556106006964</v>
          </cell>
          <cell r="D31">
            <v>4.3203624402873233</v>
          </cell>
          <cell r="E31">
            <v>6.0760797357522387</v>
          </cell>
          <cell r="F31">
            <v>6.6819455632741089</v>
          </cell>
          <cell r="G31">
            <v>7.312884286797189</v>
          </cell>
          <cell r="H31">
            <v>7.934249919146402</v>
          </cell>
          <cell r="I31">
            <v>8.468889343292652</v>
          </cell>
          <cell r="J31">
            <v>9.0276532051720597</v>
          </cell>
          <cell r="K31">
            <v>9.6440090170115429</v>
          </cell>
        </row>
        <row r="32">
          <cell r="B32">
            <v>1.2566494043264</v>
          </cell>
          <cell r="C32">
            <v>2.2925800761473454</v>
          </cell>
          <cell r="D32">
            <v>4.30712661223588</v>
          </cell>
          <cell r="E32">
            <v>6.0634122924469587</v>
          </cell>
          <cell r="F32">
            <v>6.6970856810023145</v>
          </cell>
          <cell r="G32">
            <v>7.3312050555085744</v>
          </cell>
          <cell r="H32">
            <v>7.9587296700766048</v>
          </cell>
          <cell r="I32">
            <v>8.4950186313654861</v>
          </cell>
          <cell r="J32">
            <v>9.0555064621527315</v>
          </cell>
          <cell r="K32">
            <v>9.6737639328650715</v>
          </cell>
        </row>
        <row r="33">
          <cell r="B33">
            <v>0.98394675642792462</v>
          </cell>
          <cell r="C33">
            <v>1.0830075391043177</v>
          </cell>
          <cell r="D33">
            <v>1.1584383991115319</v>
          </cell>
          <cell r="E33">
            <v>1.2130129472760938</v>
          </cell>
          <cell r="F33">
            <v>1.280897763401694</v>
          </cell>
          <cell r="G33">
            <v>1.3457408612961363</v>
          </cell>
          <cell r="H33">
            <v>1.414516930860535</v>
          </cell>
          <cell r="I33">
            <v>1.4598770258046889</v>
          </cell>
          <cell r="J33">
            <v>1.5082759409922215</v>
          </cell>
          <cell r="K33">
            <v>1.5616354680338453</v>
          </cell>
        </row>
        <row r="34">
          <cell r="B34">
            <v>0.9988948230602277</v>
          </cell>
          <cell r="C34">
            <v>1.0046613689713551</v>
          </cell>
          <cell r="D34">
            <v>1.2907847563447119</v>
          </cell>
          <cell r="E34">
            <v>1.5391728524155042</v>
          </cell>
          <cell r="F34">
            <v>1.6739346213673436</v>
          </cell>
          <cell r="G34">
            <v>1.7997570261763227</v>
          </cell>
          <cell r="H34">
            <v>1.9289186839452586</v>
          </cell>
          <cell r="I34">
            <v>2.0200758711641384</v>
          </cell>
          <cell r="J34">
            <v>2.1158111479412391</v>
          </cell>
          <cell r="K34">
            <v>2.2208562669733793</v>
          </cell>
        </row>
        <row r="35">
          <cell r="B35">
            <v>0.99889482306022759</v>
          </cell>
          <cell r="C35">
            <v>1.0061853723655385</v>
          </cell>
          <cell r="D35">
            <v>1.2974079117855295</v>
          </cell>
          <cell r="E35">
            <v>1.547398640597585</v>
          </cell>
          <cell r="F35">
            <v>1.6805437550477911</v>
          </cell>
          <cell r="G35">
            <v>1.8045473728694712</v>
          </cell>
          <cell r="H35">
            <v>1.9311867680398123</v>
          </cell>
          <cell r="I35">
            <v>2.0224511407860848</v>
          </cell>
          <cell r="J35">
            <v>2.1182989861542576</v>
          </cell>
          <cell r="K35">
            <v>2.2234676205868502</v>
          </cell>
        </row>
        <row r="38">
          <cell r="B38">
            <v>0</v>
          </cell>
          <cell r="C38">
            <v>11.712251088164892</v>
          </cell>
          <cell r="D38">
            <v>28.000682979208626</v>
          </cell>
          <cell r="E38">
            <v>44.25966355655089</v>
          </cell>
          <cell r="F38">
            <v>51.980302712231953</v>
          </cell>
          <cell r="G38">
            <v>59.922255752793333</v>
          </cell>
          <cell r="H38">
            <v>67.953214092293521</v>
          </cell>
          <cell r="I38">
            <v>75.847254183959393</v>
          </cell>
          <cell r="J38">
            <v>84.265331378817223</v>
          </cell>
          <cell r="K38">
            <v>93.587997994290433</v>
          </cell>
        </row>
        <row r="39">
          <cell r="B39">
            <v>0</v>
          </cell>
          <cell r="C39">
            <v>149.6667176390672</v>
          </cell>
          <cell r="D39">
            <v>479.09040598299362</v>
          </cell>
          <cell r="E39">
            <v>809.17631438213607</v>
          </cell>
          <cell r="F39">
            <v>970.39278933689013</v>
          </cell>
          <cell r="G39">
            <v>1134.7104900301629</v>
          </cell>
          <cell r="H39">
            <v>1300.4296097457241</v>
          </cell>
          <cell r="I39">
            <v>1464.9089669298294</v>
          </cell>
          <cell r="J39">
            <v>1640.9940580316547</v>
          </cell>
          <cell r="K39">
            <v>1837.4276023704674</v>
          </cell>
        </row>
        <row r="40">
          <cell r="B40">
            <v>0</v>
          </cell>
          <cell r="C40">
            <v>5.0749186565425477</v>
          </cell>
          <cell r="D40">
            <v>16.23381290769316</v>
          </cell>
          <cell r="E40">
            <v>27.438308738315701</v>
          </cell>
          <cell r="F40">
            <v>32.940162329693052</v>
          </cell>
          <cell r="G40">
            <v>38.51776049307044</v>
          </cell>
          <cell r="H40">
            <v>44.145758385105552</v>
          </cell>
          <cell r="I40">
            <v>49.727215937492161</v>
          </cell>
          <cell r="J40">
            <v>55.702384820338949</v>
          </cell>
          <cell r="K40">
            <v>62.367904211211012</v>
          </cell>
        </row>
        <row r="41">
          <cell r="B41">
            <v>0</v>
          </cell>
          <cell r="C41">
            <v>5.87829619751016</v>
          </cell>
          <cell r="D41">
            <v>10.861423076137818</v>
          </cell>
          <cell r="E41">
            <v>15.097914622730613</v>
          </cell>
          <cell r="F41">
            <v>20.372765188747607</v>
          </cell>
          <cell r="G41">
            <v>25.756648355021383</v>
          </cell>
          <cell r="H41">
            <v>31.575560302421323</v>
          </cell>
          <cell r="I41">
            <v>36.401937959674001</v>
          </cell>
          <cell r="J41">
            <v>41.694102138376337</v>
          </cell>
          <cell r="K41">
            <v>47.656216567004762</v>
          </cell>
        </row>
        <row r="42">
          <cell r="B42">
            <v>0</v>
          </cell>
          <cell r="C42">
            <v>2.7920897337303359</v>
          </cell>
          <cell r="D42">
            <v>149.0547866152898</v>
          </cell>
          <cell r="E42">
            <v>291.99274191995642</v>
          </cell>
          <cell r="F42">
            <v>378.25025298041726</v>
          </cell>
          <cell r="G42">
            <v>464.60412008258197</v>
          </cell>
          <cell r="H42">
            <v>554.574613999897</v>
          </cell>
          <cell r="I42">
            <v>635.10085314243668</v>
          </cell>
          <cell r="J42">
            <v>722.18756261278156</v>
          </cell>
          <cell r="K42">
            <v>819.67549985521759</v>
          </cell>
        </row>
        <row r="43">
          <cell r="B43">
            <v>0</v>
          </cell>
          <cell r="C43">
            <v>0.18151910476814237</v>
          </cell>
          <cell r="D43">
            <v>7.8104173676279487</v>
          </cell>
          <cell r="E43">
            <v>15.185404176046603</v>
          </cell>
          <cell r="F43">
            <v>19.593230290737221</v>
          </cell>
          <cell r="G43">
            <v>24.006309636254777</v>
          </cell>
          <cell r="H43">
            <v>28.596589241456901</v>
          </cell>
          <cell r="I43">
            <v>32.745234426743714</v>
          </cell>
          <cell r="J43">
            <v>37.231685264280401</v>
          </cell>
          <cell r="K43">
            <v>42.253770569481119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Data"/>
      <sheetName val="Annual Projections"/>
      <sheetName val="Transition "/>
      <sheetName val="Sheet2"/>
      <sheetName val="Sheet3"/>
    </sheetNames>
    <sheetDataSet>
      <sheetData sheetId="0"/>
      <sheetData sheetId="1"/>
      <sheetData sheetId="2">
        <row r="30">
          <cell r="B30">
            <v>1.2168898928977931</v>
          </cell>
          <cell r="C30">
            <v>1.2432678644930908</v>
          </cell>
          <cell r="D30">
            <v>1.3278700831628523</v>
          </cell>
          <cell r="E30">
            <v>1.4037087788346065</v>
          </cell>
          <cell r="F30">
            <v>1.4638936117321586</v>
          </cell>
          <cell r="G30">
            <v>1.5143857151672186</v>
          </cell>
          <cell r="H30">
            <v>1.5674022023737166</v>
          </cell>
          <cell r="I30">
            <v>1.6467479323641134</v>
          </cell>
          <cell r="J30">
            <v>1.7349793316507192</v>
          </cell>
          <cell r="K30">
            <v>1.8318749142151585</v>
          </cell>
        </row>
        <row r="31">
          <cell r="B31">
            <v>1.1859723137389515</v>
          </cell>
          <cell r="C31">
            <v>1.1927260431886724</v>
          </cell>
          <cell r="D31">
            <v>1.2732430263295709</v>
          </cell>
          <cell r="E31">
            <v>1.3371138829914495</v>
          </cell>
          <cell r="F31">
            <v>1.4003263132422203</v>
          </cell>
          <cell r="G31">
            <v>1.4583352987972347</v>
          </cell>
          <cell r="H31">
            <v>1.5211747250902652</v>
          </cell>
          <cell r="I31">
            <v>1.5980420821825705</v>
          </cell>
          <cell r="J31">
            <v>1.6835202135443743</v>
          </cell>
          <cell r="K31">
            <v>1.7773902356024713</v>
          </cell>
        </row>
        <row r="32">
          <cell r="B32">
            <v>1.1859723137389515</v>
          </cell>
          <cell r="C32">
            <v>1.1967693826000709</v>
          </cell>
          <cell r="D32">
            <v>1.2809148141591724</v>
          </cell>
          <cell r="E32">
            <v>1.3486655859117562</v>
          </cell>
          <cell r="F32">
            <v>1.4112775092789409</v>
          </cell>
          <cell r="G32">
            <v>1.4702176391553523</v>
          </cell>
          <cell r="H32">
            <v>1.533728096326372</v>
          </cell>
          <cell r="I32">
            <v>1.6112297950584653</v>
          </cell>
          <cell r="J32">
            <v>1.6974133277774275</v>
          </cell>
          <cell r="K32">
            <v>1.7920580045910897</v>
          </cell>
        </row>
        <row r="33">
          <cell r="B33">
            <v>0.94273733534187465</v>
          </cell>
          <cell r="C33">
            <v>0.95872465215781943</v>
          </cell>
          <cell r="D33">
            <v>1.0596539897351755</v>
          </cell>
          <cell r="E33">
            <v>1.1278812136242518</v>
          </cell>
          <cell r="F33">
            <v>1.1634760999713571</v>
          </cell>
          <cell r="G33">
            <v>1.206798010012091</v>
          </cell>
          <cell r="H33">
            <v>1.2567245354862757</v>
          </cell>
          <cell r="I33">
            <v>1.2848302439103947</v>
          </cell>
          <cell r="J33">
            <v>1.3176284914837382</v>
          </cell>
          <cell r="K33">
            <v>1.3541741975831174</v>
          </cell>
        </row>
        <row r="34">
          <cell r="B34">
            <v>0.87704976700634296</v>
          </cell>
          <cell r="C34">
            <v>0.87473339435438169</v>
          </cell>
          <cell r="D34">
            <v>0.96300312938686305</v>
          </cell>
          <cell r="E34">
            <v>1.0221124210346433</v>
          </cell>
          <cell r="F34">
            <v>1.0446970901622226</v>
          </cell>
          <cell r="G34">
            <v>1.071720286844438</v>
          </cell>
          <cell r="H34">
            <v>1.10456723251494</v>
          </cell>
          <cell r="I34">
            <v>1.1252325167719961</v>
          </cell>
          <cell r="J34">
            <v>1.1498575698437246</v>
          </cell>
          <cell r="K34">
            <v>1.1775521633959207</v>
          </cell>
        </row>
        <row r="35">
          <cell r="B35">
            <v>0.87704976700634285</v>
          </cell>
          <cell r="C35">
            <v>0.87840718512215454</v>
          </cell>
          <cell r="D35">
            <v>0.96727891116790554</v>
          </cell>
          <cell r="E35">
            <v>1.0245637344927596</v>
          </cell>
          <cell r="F35">
            <v>1.0477921240960064</v>
          </cell>
          <cell r="G35">
            <v>1.0762274878737872</v>
          </cell>
          <cell r="H35">
            <v>1.1104117613700513</v>
          </cell>
          <cell r="I35">
            <v>1.1311863905783102</v>
          </cell>
          <cell r="J35">
            <v>1.1559417406831205</v>
          </cell>
          <cell r="K35">
            <v>1.1837828729396902</v>
          </cell>
        </row>
        <row r="38">
          <cell r="B38">
            <v>0</v>
          </cell>
          <cell r="C38">
            <v>0.28854635749980773</v>
          </cell>
          <cell r="D38">
            <v>1.2724689095795387</v>
          </cell>
          <cell r="E38">
            <v>2.2172709087787457</v>
          </cell>
          <cell r="F38">
            <v>3.005092854551604</v>
          </cell>
          <cell r="G38">
            <v>3.7246262519093296</v>
          </cell>
          <cell r="H38">
            <v>4.497124307268372</v>
          </cell>
          <cell r="I38">
            <v>5.5516150990482043</v>
          </cell>
          <cell r="J38">
            <v>6.713934060584716</v>
          </cell>
          <cell r="K38">
            <v>7.9795899905257315</v>
          </cell>
        </row>
        <row r="39">
          <cell r="B39">
            <v>0</v>
          </cell>
          <cell r="C39">
            <v>1.8125443048732564</v>
          </cell>
          <cell r="D39">
            <v>24.583470168114673</v>
          </cell>
          <cell r="E39">
            <v>44.380066406277251</v>
          </cell>
          <cell r="F39">
            <v>64.240700271677611</v>
          </cell>
          <cell r="G39">
            <v>83.430739683517118</v>
          </cell>
          <cell r="H39">
            <v>104.39882007406368</v>
          </cell>
          <cell r="I39">
            <v>129.18791421694652</v>
          </cell>
          <cell r="J39">
            <v>156.51792000892442</v>
          </cell>
          <cell r="K39">
            <v>186.28048406112038</v>
          </cell>
        </row>
        <row r="40">
          <cell r="B40">
            <v>0</v>
          </cell>
          <cell r="C40">
            <v>6.3557504535590503E-2</v>
          </cell>
          <cell r="D40">
            <v>0.58507581978432821</v>
          </cell>
          <cell r="E40">
            <v>1.0423738284840027</v>
          </cell>
          <cell r="F40">
            <v>1.4745261290924159</v>
          </cell>
          <cell r="G40">
            <v>1.9007844067922921</v>
          </cell>
          <cell r="H40">
            <v>2.3641732846539263</v>
          </cell>
          <cell r="I40">
            <v>2.9101782097085138</v>
          </cell>
          <cell r="J40">
            <v>3.5118924877581694</v>
          </cell>
          <cell r="K40">
            <v>4.1669990052605765</v>
          </cell>
        </row>
        <row r="41">
          <cell r="B41">
            <v>0</v>
          </cell>
          <cell r="C41">
            <v>0.41188752627259362</v>
          </cell>
          <cell r="D41">
            <v>3.0562724795702536</v>
          </cell>
          <cell r="E41">
            <v>4.9048596751611662</v>
          </cell>
          <cell r="F41">
            <v>5.849175684566692</v>
          </cell>
          <cell r="G41">
            <v>6.9538134562679588</v>
          </cell>
          <cell r="H41">
            <v>8.1774492106575707</v>
          </cell>
          <cell r="I41">
            <v>8.9683522881181439</v>
          </cell>
          <cell r="J41">
            <v>9.8617007749256409</v>
          </cell>
          <cell r="K41">
            <v>10.836612184069303</v>
          </cell>
        </row>
        <row r="42">
          <cell r="B42">
            <v>0</v>
          </cell>
          <cell r="C42">
            <v>-0.45467703292075612</v>
          </cell>
          <cell r="D42">
            <v>17.199542166879439</v>
          </cell>
          <cell r="E42">
            <v>29.460659222508326</v>
          </cell>
          <cell r="F42">
            <v>34.226017684354559</v>
          </cell>
          <cell r="G42">
            <v>39.776190632410533</v>
          </cell>
          <cell r="H42">
            <v>46.279323381775384</v>
          </cell>
          <cell r="I42">
            <v>50.816708145982744</v>
          </cell>
          <cell r="J42">
            <v>56.04924435355656</v>
          </cell>
          <cell r="K42">
            <v>61.816529624469467</v>
          </cell>
        </row>
        <row r="43">
          <cell r="B43">
            <v>0</v>
          </cell>
          <cell r="C43">
            <v>1.3301984160015934E-2</v>
          </cell>
          <cell r="D43">
            <v>0.90116684100100208</v>
          </cell>
          <cell r="E43">
            <v>1.4983319546275489</v>
          </cell>
          <cell r="F43">
            <v>1.7423870906884495</v>
          </cell>
          <cell r="G43">
            <v>2.031746403488766</v>
          </cell>
          <cell r="H43">
            <v>2.3672212982516001</v>
          </cell>
          <cell r="I43">
            <v>2.5950077802134857</v>
          </cell>
          <cell r="J43">
            <v>2.8574948872089223</v>
          </cell>
          <cell r="K43">
            <v>3.1466888765694669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ion"/>
      <sheetName val="GDP"/>
      <sheetName val="Regional GDP"/>
      <sheetName val="Tourism"/>
      <sheetName val="Other Assumptions"/>
    </sheetNames>
    <sheetDataSet>
      <sheetData sheetId="0">
        <row r="4">
          <cell r="D4">
            <v>164700</v>
          </cell>
          <cell r="E4">
            <v>171100</v>
          </cell>
          <cell r="F4">
            <v>175500</v>
          </cell>
          <cell r="G4">
            <v>179100</v>
          </cell>
          <cell r="H4">
            <v>181600</v>
          </cell>
          <cell r="I4">
            <v>182700</v>
          </cell>
          <cell r="J4">
            <v>182900</v>
          </cell>
        </row>
        <row r="5">
          <cell r="D5">
            <v>1493200</v>
          </cell>
          <cell r="E5">
            <v>1646500</v>
          </cell>
          <cell r="F5">
            <v>1767500</v>
          </cell>
          <cell r="G5">
            <v>1890900</v>
          </cell>
          <cell r="H5">
            <v>2010500</v>
          </cell>
          <cell r="I5">
            <v>2123000</v>
          </cell>
          <cell r="J5">
            <v>2229300</v>
          </cell>
        </row>
        <row r="6">
          <cell r="D6">
            <v>424600</v>
          </cell>
          <cell r="E6">
            <v>449500</v>
          </cell>
          <cell r="F6">
            <v>466800</v>
          </cell>
          <cell r="G6">
            <v>482800</v>
          </cell>
          <cell r="H6">
            <v>496600</v>
          </cell>
          <cell r="I6">
            <v>507900</v>
          </cell>
          <cell r="J6">
            <v>517400</v>
          </cell>
        </row>
        <row r="7">
          <cell r="D7">
            <v>279700</v>
          </cell>
          <cell r="E7">
            <v>291200</v>
          </cell>
          <cell r="F7">
            <v>301100</v>
          </cell>
          <cell r="G7">
            <v>310200</v>
          </cell>
          <cell r="H7">
            <v>318000</v>
          </cell>
          <cell r="I7">
            <v>324100</v>
          </cell>
          <cell r="J7">
            <v>328700</v>
          </cell>
        </row>
        <row r="8">
          <cell r="D8">
            <v>47000</v>
          </cell>
          <cell r="E8">
            <v>47800</v>
          </cell>
          <cell r="F8">
            <v>48300</v>
          </cell>
          <cell r="G8">
            <v>48600</v>
          </cell>
          <cell r="H8">
            <v>48600</v>
          </cell>
          <cell r="I8">
            <v>48200</v>
          </cell>
          <cell r="J8">
            <v>47600</v>
          </cell>
        </row>
        <row r="9">
          <cell r="D9">
            <v>158000</v>
          </cell>
          <cell r="E9">
            <v>162400</v>
          </cell>
          <cell r="F9">
            <v>164600</v>
          </cell>
          <cell r="G9">
            <v>166200</v>
          </cell>
          <cell r="H9">
            <v>166600</v>
          </cell>
          <cell r="I9">
            <v>165800</v>
          </cell>
          <cell r="J9">
            <v>164000</v>
          </cell>
        </row>
        <row r="10">
          <cell r="D10">
            <v>113600</v>
          </cell>
          <cell r="E10">
            <v>118800</v>
          </cell>
          <cell r="F10">
            <v>122000</v>
          </cell>
          <cell r="G10">
            <v>124900</v>
          </cell>
          <cell r="H10">
            <v>127200</v>
          </cell>
          <cell r="I10">
            <v>128900</v>
          </cell>
          <cell r="J10">
            <v>130200</v>
          </cell>
        </row>
        <row r="11">
          <cell r="D11">
            <v>231200</v>
          </cell>
          <cell r="E11">
            <v>234800</v>
          </cell>
          <cell r="F11">
            <v>237000</v>
          </cell>
          <cell r="G11">
            <v>238500</v>
          </cell>
          <cell r="H11">
            <v>238600</v>
          </cell>
          <cell r="I11">
            <v>237300</v>
          </cell>
          <cell r="J11">
            <v>234700</v>
          </cell>
        </row>
        <row r="12">
          <cell r="D12">
            <v>486700</v>
          </cell>
          <cell r="E12">
            <v>505800</v>
          </cell>
          <cell r="F12">
            <v>518200</v>
          </cell>
          <cell r="G12">
            <v>529500</v>
          </cell>
          <cell r="H12">
            <v>538500</v>
          </cell>
          <cell r="I12">
            <v>544700</v>
          </cell>
          <cell r="J12">
            <v>548400</v>
          </cell>
        </row>
        <row r="13">
          <cell r="D13">
            <v>142200</v>
          </cell>
          <cell r="E13">
            <v>147900</v>
          </cell>
          <cell r="F13">
            <v>151500</v>
          </cell>
          <cell r="G13">
            <v>154400</v>
          </cell>
          <cell r="H13">
            <v>156200</v>
          </cell>
          <cell r="I13">
            <v>156900</v>
          </cell>
          <cell r="J13">
            <v>156600</v>
          </cell>
        </row>
        <row r="14">
          <cell r="D14">
            <v>33000</v>
          </cell>
          <cell r="E14">
            <v>33800</v>
          </cell>
          <cell r="F14">
            <v>34000</v>
          </cell>
          <cell r="G14">
            <v>34100</v>
          </cell>
          <cell r="H14">
            <v>34000</v>
          </cell>
          <cell r="I14">
            <v>33700</v>
          </cell>
          <cell r="J14">
            <v>33200</v>
          </cell>
        </row>
        <row r="15">
          <cell r="D15">
            <v>562900</v>
          </cell>
          <cell r="E15">
            <v>611900</v>
          </cell>
          <cell r="F15">
            <v>638900</v>
          </cell>
          <cell r="G15">
            <v>665000</v>
          </cell>
          <cell r="H15">
            <v>689000</v>
          </cell>
          <cell r="I15">
            <v>710300</v>
          </cell>
          <cell r="J15">
            <v>729200</v>
          </cell>
        </row>
        <row r="16">
          <cell r="D16">
            <v>208800</v>
          </cell>
          <cell r="E16">
            <v>218000</v>
          </cell>
          <cell r="F16">
            <v>223800</v>
          </cell>
          <cell r="G16">
            <v>229100</v>
          </cell>
          <cell r="H16">
            <v>233600</v>
          </cell>
          <cell r="I16">
            <v>237100</v>
          </cell>
          <cell r="J16">
            <v>239800</v>
          </cell>
        </row>
        <row r="17">
          <cell r="D17">
            <v>96000</v>
          </cell>
          <cell r="E17">
            <v>98400</v>
          </cell>
          <cell r="F17">
            <v>98900</v>
          </cell>
          <cell r="G17">
            <v>99200</v>
          </cell>
          <cell r="H17">
            <v>98900</v>
          </cell>
          <cell r="I17">
            <v>98000</v>
          </cell>
          <cell r="J17">
            <v>96800</v>
          </cell>
        </row>
        <row r="18">
          <cell r="D18">
            <v>4441600</v>
          </cell>
          <cell r="E18">
            <v>4737900</v>
          </cell>
          <cell r="F18">
            <v>4948100</v>
          </cell>
          <cell r="G18">
            <v>5152500</v>
          </cell>
          <cell r="H18">
            <v>5337900</v>
          </cell>
          <cell r="I18">
            <v>5498600</v>
          </cell>
          <cell r="J18">
            <v>5638800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nance"/>
      <sheetName val="Population"/>
      <sheetName val="GDP"/>
      <sheetName val="Regional GDP"/>
      <sheetName val="Tourism"/>
      <sheetName val="Other Assumptions"/>
    </sheetNames>
    <sheetDataSet>
      <sheetData sheetId="0"/>
      <sheetData sheetId="1">
        <row r="4">
          <cell r="D4">
            <v>164700</v>
          </cell>
          <cell r="E4">
            <v>176100</v>
          </cell>
          <cell r="F4">
            <v>183300</v>
          </cell>
          <cell r="G4">
            <v>188600</v>
          </cell>
          <cell r="H4">
            <v>192500</v>
          </cell>
          <cell r="I4">
            <v>195100</v>
          </cell>
          <cell r="J4">
            <v>196700</v>
          </cell>
          <cell r="K4">
            <v>197632.92754735926</v>
          </cell>
          <cell r="L4">
            <v>197938.19645723698</v>
          </cell>
          <cell r="M4">
            <v>197817.89786960755</v>
          </cell>
        </row>
        <row r="5">
          <cell r="D5">
            <v>1493200</v>
          </cell>
          <cell r="E5">
            <v>1699900</v>
          </cell>
          <cell r="F5">
            <v>1859300</v>
          </cell>
          <cell r="G5">
            <v>1990100</v>
          </cell>
          <cell r="H5">
            <v>2112000</v>
          </cell>
          <cell r="I5">
            <v>2222700</v>
          </cell>
          <cell r="J5">
            <v>2326200</v>
          </cell>
          <cell r="K5">
            <v>2426169.3209874001</v>
          </cell>
          <cell r="L5">
            <v>2522380.0510219927</v>
          </cell>
          <cell r="M5">
            <v>2616770.3366602762</v>
          </cell>
        </row>
        <row r="6">
          <cell r="D6">
            <v>424600</v>
          </cell>
          <cell r="E6">
            <v>467200</v>
          </cell>
          <cell r="F6">
            <v>493500</v>
          </cell>
          <cell r="G6">
            <v>514600</v>
          </cell>
          <cell r="H6">
            <v>533000</v>
          </cell>
          <cell r="I6">
            <v>548500</v>
          </cell>
          <cell r="J6">
            <v>562100</v>
          </cell>
          <cell r="K6">
            <v>574061.46126187849</v>
          </cell>
          <cell r="L6">
            <v>584411.23967119039</v>
          </cell>
          <cell r="M6">
            <v>593669.03382608329</v>
          </cell>
        </row>
        <row r="7">
          <cell r="D7">
            <v>279700</v>
          </cell>
          <cell r="E7">
            <v>303500</v>
          </cell>
          <cell r="F7">
            <v>318400</v>
          </cell>
          <cell r="G7">
            <v>329800</v>
          </cell>
          <cell r="H7">
            <v>339400</v>
          </cell>
          <cell r="I7">
            <v>346900</v>
          </cell>
          <cell r="J7">
            <v>353100</v>
          </cell>
          <cell r="K7">
            <v>358178.0673412038</v>
          </cell>
          <cell r="L7">
            <v>362172.62499492266</v>
          </cell>
          <cell r="M7">
            <v>365424.7190309171</v>
          </cell>
        </row>
        <row r="8">
          <cell r="D8">
            <v>47000</v>
          </cell>
          <cell r="E8">
            <v>48500</v>
          </cell>
          <cell r="F8">
            <v>49400</v>
          </cell>
          <cell r="G8">
            <v>50000</v>
          </cell>
          <cell r="H8">
            <v>50300</v>
          </cell>
          <cell r="I8">
            <v>50200</v>
          </cell>
          <cell r="J8">
            <v>49900</v>
          </cell>
          <cell r="K8">
            <v>49431.663701127458</v>
          </cell>
          <cell r="L8">
            <v>48811.850271600131</v>
          </cell>
          <cell r="M8">
            <v>48096.224053239421</v>
          </cell>
        </row>
        <row r="9">
          <cell r="D9">
            <v>158000</v>
          </cell>
          <cell r="E9">
            <v>164100</v>
          </cell>
          <cell r="F9">
            <v>167400</v>
          </cell>
          <cell r="G9">
            <v>169900</v>
          </cell>
          <cell r="H9">
            <v>171200</v>
          </cell>
          <cell r="I9">
            <v>171400</v>
          </cell>
          <cell r="J9">
            <v>170800</v>
          </cell>
          <cell r="K9">
            <v>169618.32437766416</v>
          </cell>
          <cell r="L9">
            <v>167908.6352501736</v>
          </cell>
          <cell r="M9">
            <v>165858.96984434372</v>
          </cell>
        </row>
        <row r="10">
          <cell r="D10">
            <v>113600</v>
          </cell>
          <cell r="E10">
            <v>119100</v>
          </cell>
          <cell r="F10">
            <v>122500</v>
          </cell>
          <cell r="G10">
            <v>125500</v>
          </cell>
          <cell r="H10">
            <v>127800</v>
          </cell>
          <cell r="I10">
            <v>129500</v>
          </cell>
          <cell r="J10">
            <v>130800</v>
          </cell>
          <cell r="K10">
            <v>131659.91580643697</v>
          </cell>
          <cell r="L10">
            <v>132103.63348676322</v>
          </cell>
          <cell r="M10">
            <v>132263.99054396391</v>
          </cell>
        </row>
        <row r="11">
          <cell r="D11">
            <v>231200</v>
          </cell>
          <cell r="E11">
            <v>240500</v>
          </cell>
          <cell r="F11">
            <v>244600</v>
          </cell>
          <cell r="G11">
            <v>247500</v>
          </cell>
          <cell r="H11">
            <v>248900</v>
          </cell>
          <cell r="I11">
            <v>248800</v>
          </cell>
          <cell r="J11">
            <v>247600</v>
          </cell>
          <cell r="K11">
            <v>245560.64087617269</v>
          </cell>
          <cell r="L11">
            <v>242762.85528000264</v>
          </cell>
          <cell r="M11">
            <v>239481.17720785996</v>
          </cell>
        </row>
        <row r="12">
          <cell r="D12">
            <v>486700</v>
          </cell>
          <cell r="E12">
            <v>515200</v>
          </cell>
          <cell r="F12">
            <v>532500</v>
          </cell>
          <cell r="G12">
            <v>546200</v>
          </cell>
          <cell r="H12">
            <v>557400</v>
          </cell>
          <cell r="I12">
            <v>565600</v>
          </cell>
          <cell r="J12">
            <v>571300</v>
          </cell>
          <cell r="K12">
            <v>575078.1948151195</v>
          </cell>
          <cell r="L12">
            <v>577038.69691146258</v>
          </cell>
          <cell r="M12">
            <v>577761.56152978097</v>
          </cell>
        </row>
        <row r="13">
          <cell r="D13">
            <v>142200</v>
          </cell>
          <cell r="E13">
            <v>149100</v>
          </cell>
          <cell r="F13">
            <v>153600</v>
          </cell>
          <cell r="G13">
            <v>157000</v>
          </cell>
          <cell r="H13">
            <v>159400</v>
          </cell>
          <cell r="I13">
            <v>160700</v>
          </cell>
          <cell r="J13">
            <v>161000</v>
          </cell>
          <cell r="K13">
            <v>160754.89583405922</v>
          </cell>
          <cell r="L13">
            <v>160006.7871768855</v>
          </cell>
          <cell r="M13">
            <v>158927.40643210392</v>
          </cell>
        </row>
        <row r="14">
          <cell r="D14">
            <v>33000</v>
          </cell>
          <cell r="E14">
            <v>32500</v>
          </cell>
          <cell r="F14">
            <v>32500</v>
          </cell>
          <cell r="G14">
            <v>32300</v>
          </cell>
          <cell r="H14">
            <v>31900</v>
          </cell>
          <cell r="I14">
            <v>31300</v>
          </cell>
          <cell r="J14">
            <v>30600</v>
          </cell>
          <cell r="K14">
            <v>29813.047284347907</v>
          </cell>
          <cell r="L14">
            <v>28953.873470953382</v>
          </cell>
          <cell r="M14">
            <v>28059.029410232182</v>
          </cell>
        </row>
        <row r="15">
          <cell r="D15">
            <v>562900</v>
          </cell>
          <cell r="E15">
            <v>623200</v>
          </cell>
          <cell r="F15">
            <v>664200</v>
          </cell>
          <cell r="G15">
            <v>694300</v>
          </cell>
          <cell r="H15">
            <v>721700</v>
          </cell>
          <cell r="I15">
            <v>745800</v>
          </cell>
          <cell r="J15">
            <v>767300</v>
          </cell>
          <cell r="K15">
            <v>786712.17423192051</v>
          </cell>
          <cell r="L15">
            <v>804047.86741988454</v>
          </cell>
          <cell r="M15">
            <v>819999.53614564182</v>
          </cell>
        </row>
        <row r="16">
          <cell r="D16">
            <v>208800</v>
          </cell>
          <cell r="E16">
            <v>225800</v>
          </cell>
          <cell r="F16">
            <v>236000</v>
          </cell>
          <cell r="G16">
            <v>242700</v>
          </cell>
          <cell r="H16">
            <v>248300</v>
          </cell>
          <cell r="I16">
            <v>252700</v>
          </cell>
          <cell r="J16">
            <v>256100</v>
          </cell>
          <cell r="K16">
            <v>258655.53031246335</v>
          </cell>
          <cell r="L16">
            <v>260405.000361026</v>
          </cell>
          <cell r="M16">
            <v>261602.89099372854</v>
          </cell>
        </row>
        <row r="17">
          <cell r="D17">
            <v>96000</v>
          </cell>
          <cell r="E17">
            <v>99200</v>
          </cell>
          <cell r="F17">
            <v>100100</v>
          </cell>
          <cell r="G17">
            <v>100600</v>
          </cell>
          <cell r="H17">
            <v>100600</v>
          </cell>
          <cell r="I17">
            <v>100000</v>
          </cell>
          <cell r="J17">
            <v>99000</v>
          </cell>
          <cell r="K17">
            <v>97673.835622846746</v>
          </cell>
          <cell r="L17">
            <v>96058.688225904029</v>
          </cell>
          <cell r="M17">
            <v>94267.226452221803</v>
          </cell>
        </row>
        <row r="18">
          <cell r="D18">
            <v>4441600</v>
          </cell>
          <cell r="E18">
            <v>4863900</v>
          </cell>
          <cell r="F18">
            <v>5157300</v>
          </cell>
          <cell r="G18">
            <v>5389100</v>
          </cell>
          <cell r="H18">
            <v>5594400</v>
          </cell>
          <cell r="I18">
            <v>5769200</v>
          </cell>
          <cell r="J18">
            <v>5922500</v>
          </cell>
          <cell r="K18">
            <v>6061000.0000000009</v>
          </cell>
          <cell r="L18">
            <v>6185000</v>
          </cell>
          <cell r="M18">
            <v>6300000</v>
          </cell>
        </row>
      </sheetData>
      <sheetData sheetId="2"/>
      <sheetData sheetId="3"/>
      <sheetData sheetId="4"/>
      <sheetData sheetId="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0.05</v>
          </cell>
          <cell r="L6">
            <v>0.1</v>
          </cell>
          <cell r="M6">
            <v>0.15</v>
          </cell>
          <cell r="N6">
            <v>0.2</v>
          </cell>
          <cell r="O6">
            <v>0.25</v>
          </cell>
          <cell r="P6">
            <v>0.3</v>
          </cell>
          <cell r="Q6">
            <v>0.35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0.05</v>
          </cell>
          <cell r="L7">
            <v>0.1</v>
          </cell>
          <cell r="M7">
            <v>0.15</v>
          </cell>
          <cell r="N7">
            <v>0.2</v>
          </cell>
          <cell r="O7">
            <v>0.25</v>
          </cell>
          <cell r="P7">
            <v>0.3</v>
          </cell>
          <cell r="Q7">
            <v>0.35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0.05</v>
          </cell>
          <cell r="L8">
            <v>0.1</v>
          </cell>
          <cell r="M8">
            <v>0.15</v>
          </cell>
          <cell r="N8">
            <v>0.2</v>
          </cell>
          <cell r="O8">
            <v>0.25</v>
          </cell>
          <cell r="P8">
            <v>0.3</v>
          </cell>
          <cell r="Q8">
            <v>0.35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0.05</v>
          </cell>
          <cell r="L9">
            <v>0.1</v>
          </cell>
          <cell r="M9">
            <v>0.15</v>
          </cell>
          <cell r="N9">
            <v>0.2</v>
          </cell>
          <cell r="O9">
            <v>0.25</v>
          </cell>
          <cell r="P9">
            <v>0.3</v>
          </cell>
          <cell r="Q9">
            <v>0.35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0.05</v>
          </cell>
          <cell r="L10">
            <v>0.1</v>
          </cell>
          <cell r="M10">
            <v>0.15</v>
          </cell>
          <cell r="N10">
            <v>0.2</v>
          </cell>
          <cell r="O10">
            <v>0.25</v>
          </cell>
          <cell r="P10">
            <v>0.3</v>
          </cell>
          <cell r="Q10">
            <v>0.35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0.05</v>
          </cell>
          <cell r="L11">
            <v>0.1</v>
          </cell>
          <cell r="M11">
            <v>0.15</v>
          </cell>
          <cell r="N11">
            <v>0.2</v>
          </cell>
          <cell r="O11">
            <v>0.25</v>
          </cell>
          <cell r="P11">
            <v>0.3</v>
          </cell>
          <cell r="Q11">
            <v>0.35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0.05</v>
          </cell>
          <cell r="L12">
            <v>0.1</v>
          </cell>
          <cell r="M12">
            <v>0.15</v>
          </cell>
          <cell r="N12">
            <v>0.2</v>
          </cell>
          <cell r="O12">
            <v>0.25</v>
          </cell>
          <cell r="P12">
            <v>0.3</v>
          </cell>
          <cell r="Q12">
            <v>0.35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0.05</v>
          </cell>
          <cell r="L13">
            <v>0.1</v>
          </cell>
          <cell r="M13">
            <v>0.15</v>
          </cell>
          <cell r="N13">
            <v>0.2</v>
          </cell>
          <cell r="O13">
            <v>0.25</v>
          </cell>
          <cell r="P13">
            <v>0.3</v>
          </cell>
          <cell r="Q13">
            <v>0.35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0.05</v>
          </cell>
          <cell r="L14">
            <v>0.1</v>
          </cell>
          <cell r="M14">
            <v>0.15</v>
          </cell>
          <cell r="N14">
            <v>0.2</v>
          </cell>
          <cell r="O14">
            <v>0.25</v>
          </cell>
          <cell r="P14">
            <v>0.3</v>
          </cell>
          <cell r="Q14">
            <v>0.35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0.05</v>
          </cell>
          <cell r="L15">
            <v>0.1</v>
          </cell>
          <cell r="M15">
            <v>0.15</v>
          </cell>
          <cell r="N15">
            <v>0.2</v>
          </cell>
          <cell r="O15">
            <v>0.25</v>
          </cell>
          <cell r="P15">
            <v>0.3</v>
          </cell>
          <cell r="Q15">
            <v>0.35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0.05</v>
          </cell>
          <cell r="L16">
            <v>0.1</v>
          </cell>
          <cell r="M16">
            <v>0.15</v>
          </cell>
          <cell r="N16">
            <v>0.2</v>
          </cell>
          <cell r="O16">
            <v>0.25</v>
          </cell>
          <cell r="P16">
            <v>0.3</v>
          </cell>
          <cell r="Q16">
            <v>0.35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0.05</v>
          </cell>
          <cell r="L17">
            <v>0.1</v>
          </cell>
          <cell r="M17">
            <v>0.15</v>
          </cell>
          <cell r="N17">
            <v>0.2</v>
          </cell>
          <cell r="O17">
            <v>0.25</v>
          </cell>
          <cell r="P17">
            <v>0.3</v>
          </cell>
          <cell r="Q17">
            <v>0.35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0.05</v>
          </cell>
          <cell r="L18">
            <v>0.1</v>
          </cell>
          <cell r="M18">
            <v>0.15</v>
          </cell>
          <cell r="N18">
            <v>0.2</v>
          </cell>
          <cell r="O18">
            <v>0.25</v>
          </cell>
          <cell r="P18">
            <v>0.3</v>
          </cell>
          <cell r="Q18">
            <v>0.35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0.05</v>
          </cell>
          <cell r="L19">
            <v>0.1</v>
          </cell>
          <cell r="M19">
            <v>0.15</v>
          </cell>
          <cell r="N19">
            <v>0.2</v>
          </cell>
          <cell r="O19">
            <v>0.25</v>
          </cell>
          <cell r="P19">
            <v>0.3</v>
          </cell>
          <cell r="Q19">
            <v>0.35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66"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9"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7"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D82"/>
          <cell r="E82"/>
          <cell r="F82"/>
          <cell r="G82"/>
          <cell r="H82"/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D83"/>
          <cell r="E83"/>
          <cell r="F83"/>
          <cell r="G83"/>
          <cell r="H83"/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D84"/>
          <cell r="E84"/>
          <cell r="F84"/>
          <cell r="G84"/>
          <cell r="H84"/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D85"/>
          <cell r="E85"/>
          <cell r="F85"/>
          <cell r="G85"/>
          <cell r="H85"/>
        </row>
        <row r="86">
          <cell r="D86"/>
          <cell r="E86"/>
          <cell r="F86"/>
          <cell r="G86"/>
          <cell r="H86"/>
        </row>
        <row r="87">
          <cell r="D87"/>
          <cell r="E87"/>
          <cell r="F87"/>
          <cell r="G87"/>
          <cell r="H87"/>
        </row>
        <row r="88">
          <cell r="D88"/>
          <cell r="E88"/>
          <cell r="F88"/>
          <cell r="G88"/>
          <cell r="H88"/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D89"/>
          <cell r="E89"/>
          <cell r="F89"/>
          <cell r="G89"/>
          <cell r="H89"/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D90"/>
          <cell r="E90"/>
          <cell r="F90"/>
          <cell r="G90"/>
          <cell r="H90"/>
        </row>
        <row r="91">
          <cell r="D91"/>
          <cell r="E91"/>
          <cell r="F91"/>
          <cell r="G91"/>
          <cell r="H91"/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D92"/>
          <cell r="E92"/>
          <cell r="F92"/>
          <cell r="G92"/>
          <cell r="H92"/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D93"/>
          <cell r="E93"/>
          <cell r="F93"/>
          <cell r="G93"/>
          <cell r="H93"/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D94"/>
          <cell r="E94"/>
          <cell r="F94"/>
          <cell r="G94"/>
          <cell r="H94"/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D95"/>
          <cell r="E95"/>
          <cell r="F95"/>
          <cell r="G95"/>
          <cell r="H95"/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p_summary_region"/>
      <sheetName val="trip_summary_region base 201610"/>
      <sheetName val="trip_summary"/>
    </sheetNames>
    <sheetDataSet>
      <sheetData sheetId="0">
        <row r="1">
          <cell r="A1" t="str">
            <v>region_NS</v>
          </cell>
          <cell r="B1" t="str">
            <v>outmode</v>
          </cell>
          <cell r="C1" t="str">
            <v>Year</v>
          </cell>
          <cell r="D1" t="str">
            <v>sampeopler</v>
          </cell>
          <cell r="E1" t="str">
            <v>samcountr</v>
          </cell>
          <cell r="F1" t="str">
            <v>tottripr</v>
          </cell>
          <cell r="G1" t="str">
            <v>totdistr</v>
          </cell>
          <cell r="H1" t="str">
            <v>totdurationr</v>
          </cell>
          <cell r="I1" t="str">
            <v>modename</v>
          </cell>
          <cell r="J1" t="str">
            <v>yearname</v>
          </cell>
        </row>
        <row r="2">
          <cell r="A2" t="str">
            <v>01 NORTHLAND</v>
          </cell>
          <cell r="B2">
            <v>0</v>
          </cell>
          <cell r="C2">
            <v>2013</v>
          </cell>
          <cell r="D2">
            <v>259</v>
          </cell>
          <cell r="E2">
            <v>844</v>
          </cell>
          <cell r="F2">
            <v>23.706864376999999</v>
          </cell>
          <cell r="G2">
            <v>17.849116999</v>
          </cell>
          <cell r="H2">
            <v>5.0772161771000004</v>
          </cell>
          <cell r="I2" t="str">
            <v>Pedestrian</v>
          </cell>
          <cell r="J2" t="str">
            <v>2012/13</v>
          </cell>
        </row>
        <row r="3">
          <cell r="A3" t="str">
            <v>01 NORTHLAND</v>
          </cell>
          <cell r="B3">
            <v>0</v>
          </cell>
          <cell r="C3">
            <v>2018</v>
          </cell>
          <cell r="D3">
            <v>259</v>
          </cell>
          <cell r="E3">
            <v>844</v>
          </cell>
          <cell r="F3">
            <v>23.970887657999999</v>
          </cell>
          <cell r="G3">
            <v>17.893276409999999</v>
          </cell>
          <cell r="H3">
            <v>5.0946513753999998</v>
          </cell>
          <cell r="I3" t="str">
            <v>Pedestrian</v>
          </cell>
          <cell r="J3" t="str">
            <v>2017/18</v>
          </cell>
        </row>
        <row r="4">
          <cell r="A4" t="str">
            <v>01 NORTHLAND</v>
          </cell>
          <cell r="B4">
            <v>0</v>
          </cell>
          <cell r="C4">
            <v>2023</v>
          </cell>
          <cell r="D4">
            <v>259</v>
          </cell>
          <cell r="E4">
            <v>844</v>
          </cell>
          <cell r="F4">
            <v>24.10029003</v>
          </cell>
          <cell r="G4">
            <v>17.789791768000001</v>
          </cell>
          <cell r="H4">
            <v>5.0761204244</v>
          </cell>
          <cell r="I4" t="str">
            <v>Pedestrian</v>
          </cell>
          <cell r="J4" t="str">
            <v>2022/23</v>
          </cell>
        </row>
        <row r="5">
          <cell r="A5" t="str">
            <v>01 NORTHLAND</v>
          </cell>
          <cell r="B5">
            <v>0</v>
          </cell>
          <cell r="C5">
            <v>2028</v>
          </cell>
          <cell r="D5">
            <v>259</v>
          </cell>
          <cell r="E5">
            <v>844</v>
          </cell>
          <cell r="F5">
            <v>24.172939677999999</v>
          </cell>
          <cell r="G5">
            <v>17.620681860000001</v>
          </cell>
          <cell r="H5">
            <v>5.0391262564000003</v>
          </cell>
          <cell r="I5" t="str">
            <v>Pedestrian</v>
          </cell>
          <cell r="J5" t="str">
            <v>2027/28</v>
          </cell>
        </row>
        <row r="6">
          <cell r="A6" t="str">
            <v>01 NORTHLAND</v>
          </cell>
          <cell r="B6">
            <v>0</v>
          </cell>
          <cell r="C6">
            <v>2033</v>
          </cell>
          <cell r="D6">
            <v>259</v>
          </cell>
          <cell r="E6">
            <v>844</v>
          </cell>
          <cell r="F6">
            <v>24.020419538999999</v>
          </cell>
          <cell r="G6">
            <v>17.174556585000001</v>
          </cell>
          <cell r="H6">
            <v>4.9471620080000003</v>
          </cell>
          <cell r="I6" t="str">
            <v>Pedestrian</v>
          </cell>
          <cell r="J6" t="str">
            <v>2032/33</v>
          </cell>
        </row>
        <row r="7">
          <cell r="A7" t="str">
            <v>01 NORTHLAND</v>
          </cell>
          <cell r="B7">
            <v>0</v>
          </cell>
          <cell r="C7">
            <v>2038</v>
          </cell>
          <cell r="D7">
            <v>259</v>
          </cell>
          <cell r="E7">
            <v>844</v>
          </cell>
          <cell r="F7">
            <v>23.672144577000001</v>
          </cell>
          <cell r="G7">
            <v>16.511837359000001</v>
          </cell>
          <cell r="H7">
            <v>4.7965206941999998</v>
          </cell>
          <cell r="I7" t="str">
            <v>Pedestrian</v>
          </cell>
          <cell r="J7" t="str">
            <v>2037/38</v>
          </cell>
        </row>
        <row r="8">
          <cell r="A8" t="str">
            <v>01 NORTHLAND</v>
          </cell>
          <cell r="B8">
            <v>0</v>
          </cell>
          <cell r="C8">
            <v>2043</v>
          </cell>
          <cell r="D8">
            <v>259</v>
          </cell>
          <cell r="E8">
            <v>844</v>
          </cell>
          <cell r="F8">
            <v>23.241684080999999</v>
          </cell>
          <cell r="G8">
            <v>15.803953069</v>
          </cell>
          <cell r="H8">
            <v>4.6275790457000001</v>
          </cell>
          <cell r="I8" t="str">
            <v>Pedestrian</v>
          </cell>
          <cell r="J8" t="str">
            <v>2042/43</v>
          </cell>
        </row>
        <row r="9">
          <cell r="A9" t="str">
            <v>01 NORTHLAND</v>
          </cell>
          <cell r="B9">
            <v>1</v>
          </cell>
          <cell r="C9">
            <v>2013</v>
          </cell>
          <cell r="D9">
            <v>5</v>
          </cell>
          <cell r="E9">
            <v>19</v>
          </cell>
          <cell r="F9">
            <v>0.66592947719999995</v>
          </cell>
          <cell r="G9">
            <v>1.0072239942000001</v>
          </cell>
          <cell r="H9">
            <v>0.15772883609999999</v>
          </cell>
          <cell r="I9" t="str">
            <v>Cyclist</v>
          </cell>
          <cell r="J9" t="str">
            <v>2012/13</v>
          </cell>
        </row>
        <row r="10">
          <cell r="A10" t="str">
            <v>01 NORTHLAND</v>
          </cell>
          <cell r="B10">
            <v>1</v>
          </cell>
          <cell r="C10">
            <v>2018</v>
          </cell>
          <cell r="D10">
            <v>5</v>
          </cell>
          <cell r="E10">
            <v>19</v>
          </cell>
          <cell r="F10">
            <v>0.62782629590000005</v>
          </cell>
          <cell r="G10">
            <v>0.96181224119999997</v>
          </cell>
          <cell r="H10">
            <v>0.15052034310000001</v>
          </cell>
          <cell r="I10" t="str">
            <v>Cyclist</v>
          </cell>
          <cell r="J10" t="str">
            <v>2017/18</v>
          </cell>
        </row>
        <row r="11">
          <cell r="A11" t="str">
            <v>01 NORTHLAND</v>
          </cell>
          <cell r="B11">
            <v>1</v>
          </cell>
          <cell r="C11">
            <v>2023</v>
          </cell>
          <cell r="D11">
            <v>5</v>
          </cell>
          <cell r="E11">
            <v>19</v>
          </cell>
          <cell r="F11">
            <v>0.63954054370000002</v>
          </cell>
          <cell r="G11">
            <v>0.98944221590000003</v>
          </cell>
          <cell r="H11">
            <v>0.155084634</v>
          </cell>
          <cell r="I11" t="str">
            <v>Cyclist</v>
          </cell>
          <cell r="J11" t="str">
            <v>2022/23</v>
          </cell>
        </row>
        <row r="12">
          <cell r="A12" t="str">
            <v>01 NORTHLAND</v>
          </cell>
          <cell r="B12">
            <v>1</v>
          </cell>
          <cell r="C12">
            <v>2028</v>
          </cell>
          <cell r="D12">
            <v>5</v>
          </cell>
          <cell r="E12">
            <v>19</v>
          </cell>
          <cell r="F12">
            <v>0.69712976969999996</v>
          </cell>
          <cell r="G12">
            <v>1.0861071413000001</v>
          </cell>
          <cell r="H12">
            <v>0.1708649558</v>
          </cell>
          <cell r="I12" t="str">
            <v>Cyclist</v>
          </cell>
          <cell r="J12" t="str">
            <v>2027/28</v>
          </cell>
        </row>
        <row r="13">
          <cell r="A13" t="str">
            <v>01 NORTHLAND</v>
          </cell>
          <cell r="B13">
            <v>1</v>
          </cell>
          <cell r="C13">
            <v>2033</v>
          </cell>
          <cell r="D13">
            <v>5</v>
          </cell>
          <cell r="E13">
            <v>19</v>
          </cell>
          <cell r="F13">
            <v>0.73747974510000003</v>
          </cell>
          <cell r="G13">
            <v>1.1556714961000001</v>
          </cell>
          <cell r="H13">
            <v>0.1822572298</v>
          </cell>
          <cell r="I13" t="str">
            <v>Cyclist</v>
          </cell>
          <cell r="J13" t="str">
            <v>2032/33</v>
          </cell>
        </row>
        <row r="14">
          <cell r="A14" t="str">
            <v>01 NORTHLAND</v>
          </cell>
          <cell r="B14">
            <v>1</v>
          </cell>
          <cell r="C14">
            <v>2038</v>
          </cell>
          <cell r="D14">
            <v>5</v>
          </cell>
          <cell r="E14">
            <v>19</v>
          </cell>
          <cell r="F14">
            <v>0.70571996059999997</v>
          </cell>
          <cell r="G14">
            <v>1.1116373831999999</v>
          </cell>
          <cell r="H14">
            <v>0.1752808652</v>
          </cell>
          <cell r="I14" t="str">
            <v>Cyclist</v>
          </cell>
          <cell r="J14" t="str">
            <v>2037/38</v>
          </cell>
        </row>
        <row r="15">
          <cell r="A15" t="str">
            <v>01 NORTHLAND</v>
          </cell>
          <cell r="B15">
            <v>1</v>
          </cell>
          <cell r="C15">
            <v>2043</v>
          </cell>
          <cell r="D15">
            <v>5</v>
          </cell>
          <cell r="E15">
            <v>19</v>
          </cell>
          <cell r="F15">
            <v>0.67545288780000001</v>
          </cell>
          <cell r="G15">
            <v>1.0694312686</v>
          </cell>
          <cell r="H15">
            <v>0.1686313294</v>
          </cell>
          <cell r="I15" t="str">
            <v>Cyclist</v>
          </cell>
          <cell r="J15" t="str">
            <v>2042/43</v>
          </cell>
        </row>
        <row r="16">
          <cell r="A16" t="str">
            <v>01 NORTHLAND</v>
          </cell>
          <cell r="B16">
            <v>2</v>
          </cell>
          <cell r="C16">
            <v>2013</v>
          </cell>
          <cell r="D16">
            <v>476</v>
          </cell>
          <cell r="E16">
            <v>2980</v>
          </cell>
          <cell r="F16">
            <v>86.333691700000003</v>
          </cell>
          <cell r="G16">
            <v>1011.4273062</v>
          </cell>
          <cell r="H16">
            <v>23.421840091</v>
          </cell>
          <cell r="I16" t="str">
            <v>Light Vehicle Driver</v>
          </cell>
          <cell r="J16" t="str">
            <v>2012/13</v>
          </cell>
        </row>
        <row r="17">
          <cell r="A17" t="str">
            <v>01 NORTHLAND</v>
          </cell>
          <cell r="B17">
            <v>2</v>
          </cell>
          <cell r="C17">
            <v>2018</v>
          </cell>
          <cell r="D17">
            <v>476</v>
          </cell>
          <cell r="E17">
            <v>2980</v>
          </cell>
          <cell r="F17">
            <v>90.221737192000006</v>
          </cell>
          <cell r="G17">
            <v>1067.1095683000001</v>
          </cell>
          <cell r="H17">
            <v>24.672311249</v>
          </cell>
          <cell r="I17" t="str">
            <v>Light Vehicle Driver</v>
          </cell>
          <cell r="J17" t="str">
            <v>2017/18</v>
          </cell>
        </row>
        <row r="18">
          <cell r="A18" t="str">
            <v>01 NORTHLAND</v>
          </cell>
          <cell r="B18">
            <v>2</v>
          </cell>
          <cell r="C18">
            <v>2023</v>
          </cell>
          <cell r="D18">
            <v>476</v>
          </cell>
          <cell r="E18">
            <v>2980</v>
          </cell>
          <cell r="F18">
            <v>92.692112644000005</v>
          </cell>
          <cell r="G18">
            <v>1099.1518424000001</v>
          </cell>
          <cell r="H18">
            <v>25.369317467999998</v>
          </cell>
          <cell r="I18" t="str">
            <v>Light Vehicle Driver</v>
          </cell>
          <cell r="J18" t="str">
            <v>2022/23</v>
          </cell>
        </row>
        <row r="19">
          <cell r="A19" t="str">
            <v>01 NORTHLAND</v>
          </cell>
          <cell r="B19">
            <v>2</v>
          </cell>
          <cell r="C19">
            <v>2028</v>
          </cell>
          <cell r="D19">
            <v>476</v>
          </cell>
          <cell r="E19">
            <v>2980</v>
          </cell>
          <cell r="F19">
            <v>94.96122767</v>
          </cell>
          <cell r="G19">
            <v>1122.4274077</v>
          </cell>
          <cell r="H19">
            <v>25.880495067999998</v>
          </cell>
          <cell r="I19" t="str">
            <v>Light Vehicle Driver</v>
          </cell>
          <cell r="J19" t="str">
            <v>2027/28</v>
          </cell>
        </row>
        <row r="20">
          <cell r="A20" t="str">
            <v>01 NORTHLAND</v>
          </cell>
          <cell r="B20">
            <v>2</v>
          </cell>
          <cell r="C20">
            <v>2033</v>
          </cell>
          <cell r="D20">
            <v>476</v>
          </cell>
          <cell r="E20">
            <v>2980</v>
          </cell>
          <cell r="F20">
            <v>96.822437593000004</v>
          </cell>
          <cell r="G20">
            <v>1145.495441</v>
          </cell>
          <cell r="H20">
            <v>26.431842197999998</v>
          </cell>
          <cell r="I20" t="str">
            <v>Light Vehicle Driver</v>
          </cell>
          <cell r="J20" t="str">
            <v>2032/33</v>
          </cell>
        </row>
        <row r="21">
          <cell r="A21" t="str">
            <v>01 NORTHLAND</v>
          </cell>
          <cell r="B21">
            <v>2</v>
          </cell>
          <cell r="C21">
            <v>2038</v>
          </cell>
          <cell r="D21">
            <v>476</v>
          </cell>
          <cell r="E21">
            <v>2980</v>
          </cell>
          <cell r="F21">
            <v>96.901019869999999</v>
          </cell>
          <cell r="G21">
            <v>1153.9508355</v>
          </cell>
          <cell r="H21">
            <v>26.658698159</v>
          </cell>
          <cell r="I21" t="str">
            <v>Light Vehicle Driver</v>
          </cell>
          <cell r="J21" t="str">
            <v>2037/38</v>
          </cell>
        </row>
        <row r="22">
          <cell r="A22" t="str">
            <v>01 NORTHLAND</v>
          </cell>
          <cell r="B22">
            <v>2</v>
          </cell>
          <cell r="C22">
            <v>2043</v>
          </cell>
          <cell r="D22">
            <v>476</v>
          </cell>
          <cell r="E22">
            <v>2980</v>
          </cell>
          <cell r="F22">
            <v>96.743108832999994</v>
          </cell>
          <cell r="G22">
            <v>1158.8991278000001</v>
          </cell>
          <cell r="H22">
            <v>26.791861561000001</v>
          </cell>
          <cell r="I22" t="str">
            <v>Light Vehicle Driver</v>
          </cell>
          <cell r="J22" t="str">
            <v>2042/43</v>
          </cell>
        </row>
        <row r="23">
          <cell r="A23" t="str">
            <v>01 NORTHLAND</v>
          </cell>
          <cell r="B23">
            <v>3</v>
          </cell>
          <cell r="C23">
            <v>2013</v>
          </cell>
          <cell r="D23">
            <v>380</v>
          </cell>
          <cell r="E23">
            <v>1743</v>
          </cell>
          <cell r="F23">
            <v>50.299563868</v>
          </cell>
          <cell r="G23">
            <v>666.23785996000004</v>
          </cell>
          <cell r="H23">
            <v>15.174949781</v>
          </cell>
          <cell r="I23" t="str">
            <v>Light Vehicle Passenger</v>
          </cell>
          <cell r="J23" t="str">
            <v>2012/13</v>
          </cell>
        </row>
        <row r="24">
          <cell r="A24" t="str">
            <v>01 NORTHLAND</v>
          </cell>
          <cell r="B24">
            <v>3</v>
          </cell>
          <cell r="C24">
            <v>2018</v>
          </cell>
          <cell r="D24">
            <v>380</v>
          </cell>
          <cell r="E24">
            <v>1743</v>
          </cell>
          <cell r="F24">
            <v>49.499323594000003</v>
          </cell>
          <cell r="G24">
            <v>669.37315689000002</v>
          </cell>
          <cell r="H24">
            <v>15.168946496</v>
          </cell>
          <cell r="I24" t="str">
            <v>Light Vehicle Passenger</v>
          </cell>
          <cell r="J24" t="str">
            <v>2017/18</v>
          </cell>
        </row>
        <row r="25">
          <cell r="A25" t="str">
            <v>01 NORTHLAND</v>
          </cell>
          <cell r="B25">
            <v>3</v>
          </cell>
          <cell r="C25">
            <v>2023</v>
          </cell>
          <cell r="D25">
            <v>380</v>
          </cell>
          <cell r="E25">
            <v>1743</v>
          </cell>
          <cell r="F25">
            <v>48.743917867999997</v>
          </cell>
          <cell r="G25">
            <v>668.54005863999998</v>
          </cell>
          <cell r="H25">
            <v>15.078358792</v>
          </cell>
          <cell r="I25" t="str">
            <v>Light Vehicle Passenger</v>
          </cell>
          <cell r="J25" t="str">
            <v>2022/23</v>
          </cell>
        </row>
        <row r="26">
          <cell r="A26" t="str">
            <v>01 NORTHLAND</v>
          </cell>
          <cell r="B26">
            <v>3</v>
          </cell>
          <cell r="C26">
            <v>2028</v>
          </cell>
          <cell r="D26">
            <v>380</v>
          </cell>
          <cell r="E26">
            <v>1743</v>
          </cell>
          <cell r="F26">
            <v>48.34817357</v>
          </cell>
          <cell r="G26">
            <v>667.91266727000004</v>
          </cell>
          <cell r="H26">
            <v>15.005755887999999</v>
          </cell>
          <cell r="I26" t="str">
            <v>Light Vehicle Passenger</v>
          </cell>
          <cell r="J26" t="str">
            <v>2027/28</v>
          </cell>
        </row>
        <row r="27">
          <cell r="A27" t="str">
            <v>01 NORTHLAND</v>
          </cell>
          <cell r="B27">
            <v>3</v>
          </cell>
          <cell r="C27">
            <v>2033</v>
          </cell>
          <cell r="D27">
            <v>380</v>
          </cell>
          <cell r="E27">
            <v>1743</v>
          </cell>
          <cell r="F27">
            <v>48.029109013000003</v>
          </cell>
          <cell r="G27">
            <v>663.21524915999998</v>
          </cell>
          <cell r="H27">
            <v>14.881975059</v>
          </cell>
          <cell r="I27" t="str">
            <v>Light Vehicle Passenger</v>
          </cell>
          <cell r="J27" t="str">
            <v>2032/33</v>
          </cell>
        </row>
        <row r="28">
          <cell r="A28" t="str">
            <v>01 NORTHLAND</v>
          </cell>
          <cell r="B28">
            <v>3</v>
          </cell>
          <cell r="C28">
            <v>2038</v>
          </cell>
          <cell r="D28">
            <v>380</v>
          </cell>
          <cell r="E28">
            <v>1743</v>
          </cell>
          <cell r="F28">
            <v>47.143100957999998</v>
          </cell>
          <cell r="G28">
            <v>656.73744303000001</v>
          </cell>
          <cell r="H28">
            <v>14.682811373</v>
          </cell>
          <cell r="I28" t="str">
            <v>Light Vehicle Passenger</v>
          </cell>
          <cell r="J28" t="str">
            <v>2037/38</v>
          </cell>
        </row>
        <row r="29">
          <cell r="A29" t="str">
            <v>01 NORTHLAND</v>
          </cell>
          <cell r="B29">
            <v>3</v>
          </cell>
          <cell r="C29">
            <v>2043</v>
          </cell>
          <cell r="D29">
            <v>380</v>
          </cell>
          <cell r="E29">
            <v>1743</v>
          </cell>
          <cell r="F29">
            <v>46.091611946</v>
          </cell>
          <cell r="G29">
            <v>647.77325165000002</v>
          </cell>
          <cell r="H29">
            <v>14.424277417000001</v>
          </cell>
          <cell r="I29" t="str">
            <v>Light Vehicle Passenger</v>
          </cell>
          <cell r="J29" t="str">
            <v>2042/43</v>
          </cell>
        </row>
        <row r="30">
          <cell r="A30" t="str">
            <v>01 NORTHLAND</v>
          </cell>
          <cell r="B30">
            <v>4</v>
          </cell>
          <cell r="C30">
            <v>2013</v>
          </cell>
          <cell r="D30">
            <v>4</v>
          </cell>
          <cell r="E30">
            <v>6</v>
          </cell>
          <cell r="F30">
            <v>0.18126348840000001</v>
          </cell>
          <cell r="G30">
            <v>0.75976041549999995</v>
          </cell>
          <cell r="H30">
            <v>2.5131369800000001E-2</v>
          </cell>
          <cell r="J30" t="str">
            <v>2012/13</v>
          </cell>
        </row>
        <row r="31">
          <cell r="A31" t="str">
            <v>01 NORTHLAND</v>
          </cell>
          <cell r="B31">
            <v>4</v>
          </cell>
          <cell r="C31">
            <v>2018</v>
          </cell>
          <cell r="D31">
            <v>4</v>
          </cell>
          <cell r="E31">
            <v>6</v>
          </cell>
          <cell r="F31">
            <v>0.18167838180000001</v>
          </cell>
          <cell r="G31">
            <v>0.75837951619999999</v>
          </cell>
          <cell r="H31">
            <v>2.4721541900000001E-2</v>
          </cell>
          <cell r="J31" t="str">
            <v>2017/18</v>
          </cell>
        </row>
        <row r="32">
          <cell r="A32" t="str">
            <v>01 NORTHLAND</v>
          </cell>
          <cell r="B32">
            <v>4</v>
          </cell>
          <cell r="C32">
            <v>2023</v>
          </cell>
          <cell r="D32">
            <v>4</v>
          </cell>
          <cell r="E32">
            <v>6</v>
          </cell>
          <cell r="F32">
            <v>0.18490322789999999</v>
          </cell>
          <cell r="G32">
            <v>0.81707293270000003</v>
          </cell>
          <cell r="H32">
            <v>2.5513783000000002E-2</v>
          </cell>
          <cell r="J32" t="str">
            <v>2022/23</v>
          </cell>
        </row>
        <row r="33">
          <cell r="A33" t="str">
            <v>01 NORTHLAND</v>
          </cell>
          <cell r="B33">
            <v>4</v>
          </cell>
          <cell r="C33">
            <v>2028</v>
          </cell>
          <cell r="D33">
            <v>4</v>
          </cell>
          <cell r="E33">
            <v>6</v>
          </cell>
          <cell r="F33">
            <v>0.20308486889999999</v>
          </cell>
          <cell r="G33">
            <v>0.94094149719999998</v>
          </cell>
          <cell r="H33">
            <v>2.8350057299999998E-2</v>
          </cell>
          <cell r="J33" t="str">
            <v>2027/28</v>
          </cell>
        </row>
        <row r="34">
          <cell r="A34" t="str">
            <v>01 NORTHLAND</v>
          </cell>
          <cell r="B34">
            <v>4</v>
          </cell>
          <cell r="C34">
            <v>2033</v>
          </cell>
          <cell r="D34">
            <v>4</v>
          </cell>
          <cell r="E34">
            <v>6</v>
          </cell>
          <cell r="F34">
            <v>0.20340569989999999</v>
          </cell>
          <cell r="G34">
            <v>1.0112024128999999</v>
          </cell>
          <cell r="H34">
            <v>2.9103981800000001E-2</v>
          </cell>
          <cell r="J34" t="str">
            <v>2032/33</v>
          </cell>
        </row>
        <row r="35">
          <cell r="A35" t="str">
            <v>01 NORTHLAND</v>
          </cell>
          <cell r="B35">
            <v>4</v>
          </cell>
          <cell r="C35">
            <v>2038</v>
          </cell>
          <cell r="D35">
            <v>4</v>
          </cell>
          <cell r="E35">
            <v>6</v>
          </cell>
          <cell r="F35">
            <v>0.19971165630000001</v>
          </cell>
          <cell r="G35">
            <v>0.99464329399999996</v>
          </cell>
          <cell r="H35">
            <v>2.8325607199999998E-2</v>
          </cell>
          <cell r="J35" t="str">
            <v>2037/38</v>
          </cell>
        </row>
        <row r="36">
          <cell r="A36" t="str">
            <v>01 NORTHLAND</v>
          </cell>
          <cell r="B36">
            <v>4</v>
          </cell>
          <cell r="C36">
            <v>2043</v>
          </cell>
          <cell r="D36">
            <v>4</v>
          </cell>
          <cell r="E36">
            <v>6</v>
          </cell>
          <cell r="F36">
            <v>0.1948885715</v>
          </cell>
          <cell r="G36">
            <v>0.97017303300000002</v>
          </cell>
          <cell r="H36">
            <v>2.73714938E-2</v>
          </cell>
          <cell r="J36" t="str">
            <v>2042/43</v>
          </cell>
        </row>
        <row r="37">
          <cell r="A37" t="str">
            <v>01 NORTHLAND</v>
          </cell>
          <cell r="B37">
            <v>5</v>
          </cell>
          <cell r="C37">
            <v>2013</v>
          </cell>
          <cell r="D37">
            <v>5</v>
          </cell>
          <cell r="E37">
            <v>28</v>
          </cell>
          <cell r="F37">
            <v>1.4141085707000001</v>
          </cell>
          <cell r="G37">
            <v>9.2423909657000003</v>
          </cell>
          <cell r="H37">
            <v>0.28382488960000002</v>
          </cell>
          <cell r="I37" t="str">
            <v>Motorcyclist</v>
          </cell>
          <cell r="J37" t="str">
            <v>2012/13</v>
          </cell>
        </row>
        <row r="38">
          <cell r="A38" t="str">
            <v>01 NORTHLAND</v>
          </cell>
          <cell r="B38">
            <v>5</v>
          </cell>
          <cell r="C38">
            <v>2018</v>
          </cell>
          <cell r="D38">
            <v>5</v>
          </cell>
          <cell r="E38">
            <v>28</v>
          </cell>
          <cell r="F38">
            <v>1.4383229858</v>
          </cell>
          <cell r="G38">
            <v>9.5451597480999997</v>
          </cell>
          <cell r="H38">
            <v>0.29325990969999999</v>
          </cell>
          <cell r="I38" t="str">
            <v>Motorcyclist</v>
          </cell>
          <cell r="J38" t="str">
            <v>2017/18</v>
          </cell>
        </row>
        <row r="39">
          <cell r="A39" t="str">
            <v>01 NORTHLAND</v>
          </cell>
          <cell r="B39">
            <v>5</v>
          </cell>
          <cell r="C39">
            <v>2023</v>
          </cell>
          <cell r="D39">
            <v>5</v>
          </cell>
          <cell r="E39">
            <v>28</v>
          </cell>
          <cell r="F39">
            <v>1.4003028153999999</v>
          </cell>
          <cell r="G39">
            <v>9.316756002</v>
          </cell>
          <cell r="H39">
            <v>0.28770179080000002</v>
          </cell>
          <cell r="I39" t="str">
            <v>Motorcyclist</v>
          </cell>
          <cell r="J39" t="str">
            <v>2022/23</v>
          </cell>
        </row>
        <row r="40">
          <cell r="A40" t="str">
            <v>01 NORTHLAND</v>
          </cell>
          <cell r="B40">
            <v>5</v>
          </cell>
          <cell r="C40">
            <v>2028</v>
          </cell>
          <cell r="D40">
            <v>5</v>
          </cell>
          <cell r="E40">
            <v>28</v>
          </cell>
          <cell r="F40">
            <v>1.2950117792</v>
          </cell>
          <cell r="G40">
            <v>8.4790525605999996</v>
          </cell>
          <cell r="H40">
            <v>0.2639958563</v>
          </cell>
          <cell r="I40" t="str">
            <v>Motorcyclist</v>
          </cell>
          <cell r="J40" t="str">
            <v>2027/28</v>
          </cell>
        </row>
        <row r="41">
          <cell r="A41" t="str">
            <v>01 NORTHLAND</v>
          </cell>
          <cell r="B41">
            <v>5</v>
          </cell>
          <cell r="C41">
            <v>2033</v>
          </cell>
          <cell r="D41">
            <v>5</v>
          </cell>
          <cell r="E41">
            <v>28</v>
          </cell>
          <cell r="F41">
            <v>1.2525024091000001</v>
          </cell>
          <cell r="G41">
            <v>7.9014694030000001</v>
          </cell>
          <cell r="H41">
            <v>0.2492028966</v>
          </cell>
          <cell r="I41" t="str">
            <v>Motorcyclist</v>
          </cell>
          <cell r="J41" t="str">
            <v>2032/33</v>
          </cell>
        </row>
        <row r="42">
          <cell r="A42" t="str">
            <v>01 NORTHLAND</v>
          </cell>
          <cell r="B42">
            <v>5</v>
          </cell>
          <cell r="C42">
            <v>2038</v>
          </cell>
          <cell r="D42">
            <v>5</v>
          </cell>
          <cell r="E42">
            <v>28</v>
          </cell>
          <cell r="F42">
            <v>1.2572819580000001</v>
          </cell>
          <cell r="G42">
            <v>7.6014609684999996</v>
          </cell>
          <cell r="H42">
            <v>0.24316708470000001</v>
          </cell>
          <cell r="I42" t="str">
            <v>Motorcyclist</v>
          </cell>
          <cell r="J42" t="str">
            <v>2037/38</v>
          </cell>
        </row>
        <row r="43">
          <cell r="A43" t="str">
            <v>01 NORTHLAND</v>
          </cell>
          <cell r="B43">
            <v>5</v>
          </cell>
          <cell r="C43">
            <v>2043</v>
          </cell>
          <cell r="D43">
            <v>5</v>
          </cell>
          <cell r="E43">
            <v>28</v>
          </cell>
          <cell r="F43">
            <v>1.2509747849999999</v>
          </cell>
          <cell r="G43">
            <v>7.2104792200999999</v>
          </cell>
          <cell r="H43">
            <v>0.2347997094</v>
          </cell>
          <cell r="I43" t="str">
            <v>Motorcyclist</v>
          </cell>
          <cell r="J43" t="str">
            <v>2042/43</v>
          </cell>
        </row>
        <row r="44">
          <cell r="A44" t="str">
            <v>01 NORTHLAND</v>
          </cell>
          <cell r="B44">
            <v>7</v>
          </cell>
          <cell r="C44">
            <v>2013</v>
          </cell>
          <cell r="D44">
            <v>50</v>
          </cell>
          <cell r="E44">
            <v>135</v>
          </cell>
          <cell r="F44">
            <v>3.6339219343</v>
          </cell>
          <cell r="G44">
            <v>44.734594063999999</v>
          </cell>
          <cell r="H44">
            <v>1.5691203781</v>
          </cell>
          <cell r="I44" t="str">
            <v>Local Bus</v>
          </cell>
          <cell r="J44" t="str">
            <v>2012/13</v>
          </cell>
        </row>
        <row r="45">
          <cell r="A45" t="str">
            <v>01 NORTHLAND</v>
          </cell>
          <cell r="B45">
            <v>7</v>
          </cell>
          <cell r="C45">
            <v>2018</v>
          </cell>
          <cell r="D45">
            <v>50</v>
          </cell>
          <cell r="E45">
            <v>135</v>
          </cell>
          <cell r="F45">
            <v>3.2480371667000001</v>
          </cell>
          <cell r="G45">
            <v>39.205987982000003</v>
          </cell>
          <cell r="H45">
            <v>1.4017577636</v>
          </cell>
          <cell r="I45" t="str">
            <v>Local Bus</v>
          </cell>
          <cell r="J45" t="str">
            <v>2017/18</v>
          </cell>
        </row>
        <row r="46">
          <cell r="A46" t="str">
            <v>01 NORTHLAND</v>
          </cell>
          <cell r="B46">
            <v>7</v>
          </cell>
          <cell r="C46">
            <v>2023</v>
          </cell>
          <cell r="D46">
            <v>50</v>
          </cell>
          <cell r="E46">
            <v>135</v>
          </cell>
          <cell r="F46">
            <v>3.0069382206999999</v>
          </cell>
          <cell r="G46">
            <v>35.854320758999997</v>
          </cell>
          <cell r="H46">
            <v>1.2944358518000001</v>
          </cell>
          <cell r="I46" t="str">
            <v>Local Bus</v>
          </cell>
          <cell r="J46" t="str">
            <v>2022/23</v>
          </cell>
        </row>
        <row r="47">
          <cell r="A47" t="str">
            <v>01 NORTHLAND</v>
          </cell>
          <cell r="B47">
            <v>7</v>
          </cell>
          <cell r="C47">
            <v>2028</v>
          </cell>
          <cell r="D47">
            <v>50</v>
          </cell>
          <cell r="E47">
            <v>135</v>
          </cell>
          <cell r="F47">
            <v>2.7905412789000001</v>
          </cell>
          <cell r="G47">
            <v>33.098120516999998</v>
          </cell>
          <cell r="H47">
            <v>1.1947957409000001</v>
          </cell>
          <cell r="I47" t="str">
            <v>Local Bus</v>
          </cell>
          <cell r="J47" t="str">
            <v>2027/28</v>
          </cell>
        </row>
        <row r="48">
          <cell r="A48" t="str">
            <v>01 NORTHLAND</v>
          </cell>
          <cell r="B48">
            <v>7</v>
          </cell>
          <cell r="C48">
            <v>2033</v>
          </cell>
          <cell r="D48">
            <v>50</v>
          </cell>
          <cell r="E48">
            <v>135</v>
          </cell>
          <cell r="F48">
            <v>2.5990738271999998</v>
          </cell>
          <cell r="G48">
            <v>30.551498026000001</v>
          </cell>
          <cell r="H48">
            <v>1.1070409488999999</v>
          </cell>
          <cell r="I48" t="str">
            <v>Local Bus</v>
          </cell>
          <cell r="J48" t="str">
            <v>2032/33</v>
          </cell>
        </row>
        <row r="49">
          <cell r="A49" t="str">
            <v>01 NORTHLAND</v>
          </cell>
          <cell r="B49">
            <v>7</v>
          </cell>
          <cell r="C49">
            <v>2038</v>
          </cell>
          <cell r="D49">
            <v>50</v>
          </cell>
          <cell r="E49">
            <v>135</v>
          </cell>
          <cell r="F49">
            <v>2.4333550844</v>
          </cell>
          <cell r="G49">
            <v>28.582392772999999</v>
          </cell>
          <cell r="H49">
            <v>1.0343225588</v>
          </cell>
          <cell r="I49" t="str">
            <v>Local Bus</v>
          </cell>
          <cell r="J49" t="str">
            <v>2037/38</v>
          </cell>
        </row>
        <row r="50">
          <cell r="A50" t="str">
            <v>01 NORTHLAND</v>
          </cell>
          <cell r="B50">
            <v>7</v>
          </cell>
          <cell r="C50">
            <v>2043</v>
          </cell>
          <cell r="D50">
            <v>50</v>
          </cell>
          <cell r="E50">
            <v>135</v>
          </cell>
          <cell r="F50">
            <v>2.2633927653999999</v>
          </cell>
          <cell r="G50">
            <v>26.603315975000001</v>
          </cell>
          <cell r="H50">
            <v>0.95989640379999996</v>
          </cell>
          <cell r="I50" t="str">
            <v>Local Bus</v>
          </cell>
          <cell r="J50" t="str">
            <v>2042/43</v>
          </cell>
        </row>
        <row r="51">
          <cell r="A51" t="str">
            <v>01 NORTHLAND</v>
          </cell>
          <cell r="B51">
            <v>8</v>
          </cell>
          <cell r="C51">
            <v>2013</v>
          </cell>
          <cell r="D51">
            <v>2</v>
          </cell>
          <cell r="E51">
            <v>3</v>
          </cell>
          <cell r="F51">
            <v>4.69171767E-2</v>
          </cell>
          <cell r="G51">
            <v>0</v>
          </cell>
          <cell r="H51">
            <v>1.43058123E-2</v>
          </cell>
          <cell r="I51" t="str">
            <v>Local Ferry</v>
          </cell>
          <cell r="J51" t="str">
            <v>2012/13</v>
          </cell>
        </row>
        <row r="52">
          <cell r="A52" t="str">
            <v>01 NORTHLAND</v>
          </cell>
          <cell r="B52">
            <v>8</v>
          </cell>
          <cell r="C52">
            <v>2018</v>
          </cell>
          <cell r="D52">
            <v>2</v>
          </cell>
          <cell r="E52">
            <v>3</v>
          </cell>
          <cell r="F52">
            <v>5.2167282199999998E-2</v>
          </cell>
          <cell r="G52">
            <v>0</v>
          </cell>
          <cell r="H52">
            <v>1.5018559500000001E-2</v>
          </cell>
          <cell r="I52" t="str">
            <v>Local Ferry</v>
          </cell>
          <cell r="J52" t="str">
            <v>2017/18</v>
          </cell>
        </row>
        <row r="53">
          <cell r="A53" t="str">
            <v>01 NORTHLAND</v>
          </cell>
          <cell r="B53">
            <v>8</v>
          </cell>
          <cell r="C53">
            <v>2023</v>
          </cell>
          <cell r="D53">
            <v>2</v>
          </cell>
          <cell r="E53">
            <v>3</v>
          </cell>
          <cell r="F53">
            <v>5.4211099700000001E-2</v>
          </cell>
          <cell r="G53">
            <v>0</v>
          </cell>
          <cell r="H53">
            <v>1.4894496E-2</v>
          </cell>
          <cell r="I53" t="str">
            <v>Local Ferry</v>
          </cell>
          <cell r="J53" t="str">
            <v>2022/23</v>
          </cell>
        </row>
        <row r="54">
          <cell r="A54" t="str">
            <v>01 NORTHLAND</v>
          </cell>
          <cell r="B54">
            <v>8</v>
          </cell>
          <cell r="C54">
            <v>2028</v>
          </cell>
          <cell r="D54">
            <v>2</v>
          </cell>
          <cell r="E54">
            <v>3</v>
          </cell>
          <cell r="F54">
            <v>5.5581152199999997E-2</v>
          </cell>
          <cell r="G54">
            <v>0</v>
          </cell>
          <cell r="H54">
            <v>1.4476072899999999E-2</v>
          </cell>
          <cell r="I54" t="str">
            <v>Local Ferry</v>
          </cell>
          <cell r="J54" t="str">
            <v>2027/28</v>
          </cell>
        </row>
        <row r="55">
          <cell r="A55" t="str">
            <v>01 NORTHLAND</v>
          </cell>
          <cell r="B55">
            <v>8</v>
          </cell>
          <cell r="C55">
            <v>2033</v>
          </cell>
          <cell r="D55">
            <v>2</v>
          </cell>
          <cell r="E55">
            <v>3</v>
          </cell>
          <cell r="F55">
            <v>5.3851019899999998E-2</v>
          </cell>
          <cell r="G55">
            <v>0</v>
          </cell>
          <cell r="H55">
            <v>1.3487081200000001E-2</v>
          </cell>
          <cell r="I55" t="str">
            <v>Local Ferry</v>
          </cell>
          <cell r="J55" t="str">
            <v>2032/33</v>
          </cell>
        </row>
        <row r="56">
          <cell r="A56" t="str">
            <v>01 NORTHLAND</v>
          </cell>
          <cell r="B56">
            <v>8</v>
          </cell>
          <cell r="C56">
            <v>2038</v>
          </cell>
          <cell r="D56">
            <v>2</v>
          </cell>
          <cell r="E56">
            <v>3</v>
          </cell>
          <cell r="F56">
            <v>4.9571540499999997E-2</v>
          </cell>
          <cell r="G56">
            <v>0</v>
          </cell>
          <cell r="H56">
            <v>1.20768539E-2</v>
          </cell>
          <cell r="I56" t="str">
            <v>Local Ferry</v>
          </cell>
          <cell r="J56" t="str">
            <v>2037/38</v>
          </cell>
        </row>
        <row r="57">
          <cell r="A57" t="str">
            <v>01 NORTHLAND</v>
          </cell>
          <cell r="B57">
            <v>8</v>
          </cell>
          <cell r="C57">
            <v>2043</v>
          </cell>
          <cell r="D57">
            <v>2</v>
          </cell>
          <cell r="E57">
            <v>3</v>
          </cell>
          <cell r="F57">
            <v>4.5255192299999997E-2</v>
          </cell>
          <cell r="G57">
            <v>0</v>
          </cell>
          <cell r="H57">
            <v>1.07557794E-2</v>
          </cell>
          <cell r="I57" t="str">
            <v>Local Ferry</v>
          </cell>
          <cell r="J57" t="str">
            <v>2042/43</v>
          </cell>
        </row>
        <row r="58">
          <cell r="A58" t="str">
            <v>01 NORTHLAND</v>
          </cell>
          <cell r="B58">
            <v>9</v>
          </cell>
          <cell r="C58">
            <v>2013</v>
          </cell>
          <cell r="D58">
            <v>2</v>
          </cell>
          <cell r="E58">
            <v>3</v>
          </cell>
          <cell r="F58">
            <v>0.1184310407</v>
          </cell>
          <cell r="G58">
            <v>0</v>
          </cell>
          <cell r="H58">
            <v>0</v>
          </cell>
          <cell r="I58" t="str">
            <v>Other Household Travel</v>
          </cell>
          <cell r="J58" t="str">
            <v>2012/13</v>
          </cell>
        </row>
        <row r="59">
          <cell r="A59" t="str">
            <v>01 NORTHLAND</v>
          </cell>
          <cell r="B59">
            <v>9</v>
          </cell>
          <cell r="C59">
            <v>2018</v>
          </cell>
          <cell r="D59">
            <v>2</v>
          </cell>
          <cell r="E59">
            <v>3</v>
          </cell>
          <cell r="F59">
            <v>0.12676431960000001</v>
          </cell>
          <cell r="G59">
            <v>0</v>
          </cell>
          <cell r="H59">
            <v>0</v>
          </cell>
          <cell r="I59" t="str">
            <v>Other Household Travel</v>
          </cell>
          <cell r="J59" t="str">
            <v>2017/18</v>
          </cell>
        </row>
        <row r="60">
          <cell r="A60" t="str">
            <v>01 NORTHLAND</v>
          </cell>
          <cell r="B60">
            <v>9</v>
          </cell>
          <cell r="C60">
            <v>2023</v>
          </cell>
          <cell r="D60">
            <v>2</v>
          </cell>
          <cell r="E60">
            <v>3</v>
          </cell>
          <cell r="F60">
            <v>0.12671845970000001</v>
          </cell>
          <cell r="G60">
            <v>0</v>
          </cell>
          <cell r="H60">
            <v>0</v>
          </cell>
          <cell r="I60" t="str">
            <v>Other Household Travel</v>
          </cell>
          <cell r="J60" t="str">
            <v>2022/23</v>
          </cell>
        </row>
        <row r="61">
          <cell r="A61" t="str">
            <v>01 NORTHLAND</v>
          </cell>
          <cell r="B61">
            <v>9</v>
          </cell>
          <cell r="C61">
            <v>2028</v>
          </cell>
          <cell r="D61">
            <v>2</v>
          </cell>
          <cell r="E61">
            <v>3</v>
          </cell>
          <cell r="F61">
            <v>0.12079150919999999</v>
          </cell>
          <cell r="G61">
            <v>0</v>
          </cell>
          <cell r="H61">
            <v>0</v>
          </cell>
          <cell r="I61" t="str">
            <v>Other Household Travel</v>
          </cell>
          <cell r="J61" t="str">
            <v>2027/28</v>
          </cell>
        </row>
        <row r="62">
          <cell r="A62" t="str">
            <v>01 NORTHLAND</v>
          </cell>
          <cell r="B62">
            <v>9</v>
          </cell>
          <cell r="C62">
            <v>2033</v>
          </cell>
          <cell r="D62">
            <v>2</v>
          </cell>
          <cell r="E62">
            <v>3</v>
          </cell>
          <cell r="F62">
            <v>0.1141387426</v>
          </cell>
          <cell r="G62">
            <v>0</v>
          </cell>
          <cell r="H62">
            <v>0</v>
          </cell>
          <cell r="I62" t="str">
            <v>Other Household Travel</v>
          </cell>
          <cell r="J62" t="str">
            <v>2032/33</v>
          </cell>
        </row>
        <row r="63">
          <cell r="A63" t="str">
            <v>01 NORTHLAND</v>
          </cell>
          <cell r="B63">
            <v>9</v>
          </cell>
          <cell r="C63">
            <v>2038</v>
          </cell>
          <cell r="D63">
            <v>2</v>
          </cell>
          <cell r="E63">
            <v>3</v>
          </cell>
          <cell r="F63">
            <v>0.10731171370000001</v>
          </cell>
          <cell r="G63">
            <v>0</v>
          </cell>
          <cell r="H63">
            <v>0</v>
          </cell>
          <cell r="I63" t="str">
            <v>Other Household Travel</v>
          </cell>
          <cell r="J63" t="str">
            <v>2037/38</v>
          </cell>
        </row>
        <row r="64">
          <cell r="A64" t="str">
            <v>01 NORTHLAND</v>
          </cell>
          <cell r="B64">
            <v>9</v>
          </cell>
          <cell r="C64">
            <v>2043</v>
          </cell>
          <cell r="D64">
            <v>2</v>
          </cell>
          <cell r="E64">
            <v>3</v>
          </cell>
          <cell r="F64">
            <v>0.1000499191</v>
          </cell>
          <cell r="G64">
            <v>0</v>
          </cell>
          <cell r="H64">
            <v>0</v>
          </cell>
          <cell r="I64" t="str">
            <v>Other Household Travel</v>
          </cell>
          <cell r="J64" t="str">
            <v>2042/43</v>
          </cell>
        </row>
        <row r="65">
          <cell r="A65" t="str">
            <v>01 NORTHLAND</v>
          </cell>
          <cell r="B65">
            <v>10</v>
          </cell>
          <cell r="C65">
            <v>2013</v>
          </cell>
          <cell r="D65">
            <v>5</v>
          </cell>
          <cell r="E65">
            <v>8</v>
          </cell>
          <cell r="F65">
            <v>0.226285661</v>
          </cell>
          <cell r="G65">
            <v>0</v>
          </cell>
          <cell r="H65">
            <v>0.25491621720000002</v>
          </cell>
          <cell r="I65" t="str">
            <v>Air/Non-Local PT</v>
          </cell>
          <cell r="J65" t="str">
            <v>2012/13</v>
          </cell>
        </row>
        <row r="66">
          <cell r="A66" t="str">
            <v>01 NORTHLAND</v>
          </cell>
          <cell r="B66">
            <v>10</v>
          </cell>
          <cell r="C66">
            <v>2018</v>
          </cell>
          <cell r="D66">
            <v>5</v>
          </cell>
          <cell r="E66">
            <v>8</v>
          </cell>
          <cell r="F66">
            <v>0.24256647519999999</v>
          </cell>
          <cell r="G66">
            <v>0</v>
          </cell>
          <cell r="H66">
            <v>0.28677772769999998</v>
          </cell>
          <cell r="I66" t="str">
            <v>Air/Non-Local PT</v>
          </cell>
          <cell r="J66" t="str">
            <v>2017/18</v>
          </cell>
        </row>
        <row r="67">
          <cell r="A67" t="str">
            <v>01 NORTHLAND</v>
          </cell>
          <cell r="B67">
            <v>10</v>
          </cell>
          <cell r="C67">
            <v>2023</v>
          </cell>
          <cell r="D67">
            <v>5</v>
          </cell>
          <cell r="E67">
            <v>8</v>
          </cell>
          <cell r="F67">
            <v>0.26222735149999998</v>
          </cell>
          <cell r="G67">
            <v>0</v>
          </cell>
          <cell r="H67">
            <v>0.3143623693</v>
          </cell>
          <cell r="I67" t="str">
            <v>Air/Non-Local PT</v>
          </cell>
          <cell r="J67" t="str">
            <v>2022/23</v>
          </cell>
        </row>
        <row r="68">
          <cell r="A68" t="str">
            <v>01 NORTHLAND</v>
          </cell>
          <cell r="B68">
            <v>10</v>
          </cell>
          <cell r="C68">
            <v>2028</v>
          </cell>
          <cell r="D68">
            <v>5</v>
          </cell>
          <cell r="E68">
            <v>8</v>
          </cell>
          <cell r="F68">
            <v>0.29131257760000001</v>
          </cell>
          <cell r="G68">
            <v>0</v>
          </cell>
          <cell r="H68">
            <v>0.34930525169999999</v>
          </cell>
          <cell r="I68" t="str">
            <v>Air/Non-Local PT</v>
          </cell>
          <cell r="J68" t="str">
            <v>2027/28</v>
          </cell>
        </row>
        <row r="69">
          <cell r="A69" t="str">
            <v>01 NORTHLAND</v>
          </cell>
          <cell r="B69">
            <v>10</v>
          </cell>
          <cell r="C69">
            <v>2033</v>
          </cell>
          <cell r="D69">
            <v>5</v>
          </cell>
          <cell r="E69">
            <v>8</v>
          </cell>
          <cell r="F69">
            <v>0.30212612329999999</v>
          </cell>
          <cell r="G69">
            <v>0</v>
          </cell>
          <cell r="H69">
            <v>0.36122468200000002</v>
          </cell>
          <cell r="I69" t="str">
            <v>Air/Non-Local PT</v>
          </cell>
          <cell r="J69" t="str">
            <v>2032/33</v>
          </cell>
        </row>
        <row r="70">
          <cell r="A70" t="str">
            <v>01 NORTHLAND</v>
          </cell>
          <cell r="B70">
            <v>10</v>
          </cell>
          <cell r="C70">
            <v>2038</v>
          </cell>
          <cell r="D70">
            <v>5</v>
          </cell>
          <cell r="E70">
            <v>8</v>
          </cell>
          <cell r="F70">
            <v>0.28850256410000003</v>
          </cell>
          <cell r="G70">
            <v>0</v>
          </cell>
          <cell r="H70">
            <v>0.34584967909999997</v>
          </cell>
          <cell r="I70" t="str">
            <v>Air/Non-Local PT</v>
          </cell>
          <cell r="J70" t="str">
            <v>2037/38</v>
          </cell>
        </row>
        <row r="71">
          <cell r="A71" t="str">
            <v>01 NORTHLAND</v>
          </cell>
          <cell r="B71">
            <v>10</v>
          </cell>
          <cell r="C71">
            <v>2043</v>
          </cell>
          <cell r="D71">
            <v>5</v>
          </cell>
          <cell r="E71">
            <v>8</v>
          </cell>
          <cell r="F71">
            <v>0.2726743351</v>
          </cell>
          <cell r="G71">
            <v>0</v>
          </cell>
          <cell r="H71">
            <v>0.32762397430000001</v>
          </cell>
          <cell r="I71" t="str">
            <v>Air/Non-Local PT</v>
          </cell>
          <cell r="J71" t="str">
            <v>2042/43</v>
          </cell>
        </row>
        <row r="72">
          <cell r="A72" t="str">
            <v>01 NORTHLAND</v>
          </cell>
          <cell r="B72">
            <v>11</v>
          </cell>
          <cell r="C72">
            <v>2013</v>
          </cell>
          <cell r="D72">
            <v>13</v>
          </cell>
          <cell r="E72">
            <v>59</v>
          </cell>
          <cell r="F72">
            <v>2.0613233212000002</v>
          </cell>
          <cell r="G72">
            <v>34.810730239000002</v>
          </cell>
          <cell r="H72">
            <v>0.70164482120000005</v>
          </cell>
          <cell r="I72" t="str">
            <v>Non-Household Travel</v>
          </cell>
          <cell r="J72" t="str">
            <v>2012/13</v>
          </cell>
        </row>
        <row r="73">
          <cell r="A73" t="str">
            <v>01 NORTHLAND</v>
          </cell>
          <cell r="B73">
            <v>11</v>
          </cell>
          <cell r="C73">
            <v>2018</v>
          </cell>
          <cell r="D73">
            <v>13</v>
          </cell>
          <cell r="E73">
            <v>59</v>
          </cell>
          <cell r="F73">
            <v>2.0637641513</v>
          </cell>
          <cell r="G73">
            <v>32.823063337000001</v>
          </cell>
          <cell r="H73">
            <v>0.68187938199999998</v>
          </cell>
          <cell r="I73" t="str">
            <v>Non-Household Travel</v>
          </cell>
          <cell r="J73" t="str">
            <v>2017/18</v>
          </cell>
        </row>
        <row r="74">
          <cell r="A74" t="str">
            <v>01 NORTHLAND</v>
          </cell>
          <cell r="B74">
            <v>11</v>
          </cell>
          <cell r="C74">
            <v>2023</v>
          </cell>
          <cell r="D74">
            <v>13</v>
          </cell>
          <cell r="E74">
            <v>59</v>
          </cell>
          <cell r="F74">
            <v>2.1570903528000001</v>
          </cell>
          <cell r="G74">
            <v>32.904629638999999</v>
          </cell>
          <cell r="H74">
            <v>0.70214047000000002</v>
          </cell>
          <cell r="I74" t="str">
            <v>Non-Household Travel</v>
          </cell>
          <cell r="J74" t="str">
            <v>2022/23</v>
          </cell>
        </row>
        <row r="75">
          <cell r="A75" t="str">
            <v>01 NORTHLAND</v>
          </cell>
          <cell r="B75">
            <v>11</v>
          </cell>
          <cell r="C75">
            <v>2028</v>
          </cell>
          <cell r="D75">
            <v>13</v>
          </cell>
          <cell r="E75">
            <v>59</v>
          </cell>
          <cell r="F75">
            <v>2.3494826745999999</v>
          </cell>
          <cell r="G75">
            <v>34.497698855000003</v>
          </cell>
          <cell r="H75">
            <v>0.75615397220000002</v>
          </cell>
          <cell r="I75" t="str">
            <v>Non-Household Travel</v>
          </cell>
          <cell r="J75" t="str">
            <v>2027/28</v>
          </cell>
        </row>
        <row r="76">
          <cell r="A76" t="str">
            <v>01 NORTHLAND</v>
          </cell>
          <cell r="B76">
            <v>11</v>
          </cell>
          <cell r="C76">
            <v>2033</v>
          </cell>
          <cell r="D76">
            <v>13</v>
          </cell>
          <cell r="E76">
            <v>59</v>
          </cell>
          <cell r="F76">
            <v>2.4860192920999999</v>
          </cell>
          <cell r="G76">
            <v>35.124580449</v>
          </cell>
          <cell r="H76">
            <v>0.78828886610000004</v>
          </cell>
          <cell r="I76" t="str">
            <v>Non-Household Travel</v>
          </cell>
          <cell r="J76" t="str">
            <v>2032/33</v>
          </cell>
        </row>
        <row r="77">
          <cell r="A77" t="str">
            <v>01 NORTHLAND</v>
          </cell>
          <cell r="B77">
            <v>11</v>
          </cell>
          <cell r="C77">
            <v>2038</v>
          </cell>
          <cell r="D77">
            <v>13</v>
          </cell>
          <cell r="E77">
            <v>59</v>
          </cell>
          <cell r="F77">
            <v>2.4233960751999999</v>
          </cell>
          <cell r="G77">
            <v>33.233936022000002</v>
          </cell>
          <cell r="H77">
            <v>0.75747352059999995</v>
          </cell>
          <cell r="I77" t="str">
            <v>Non-Household Travel</v>
          </cell>
          <cell r="J77" t="str">
            <v>2037/38</v>
          </cell>
        </row>
        <row r="78">
          <cell r="A78" t="str">
            <v>01 NORTHLAND</v>
          </cell>
          <cell r="B78">
            <v>11</v>
          </cell>
          <cell r="C78">
            <v>2043</v>
          </cell>
          <cell r="D78">
            <v>13</v>
          </cell>
          <cell r="E78">
            <v>59</v>
          </cell>
          <cell r="F78">
            <v>2.3480815383000002</v>
          </cell>
          <cell r="G78">
            <v>31.259856655</v>
          </cell>
          <cell r="H78">
            <v>0.72351126649999997</v>
          </cell>
          <cell r="I78" t="str">
            <v>Non-Household Travel</v>
          </cell>
          <cell r="J78" t="str">
            <v>2042/43</v>
          </cell>
        </row>
        <row r="79">
          <cell r="A79" t="str">
            <v>02 AUCKLAND</v>
          </cell>
          <cell r="B79">
            <v>0</v>
          </cell>
          <cell r="C79">
            <v>2013</v>
          </cell>
          <cell r="D79">
            <v>1541</v>
          </cell>
          <cell r="E79">
            <v>5702</v>
          </cell>
          <cell r="F79">
            <v>324.81096006000001</v>
          </cell>
          <cell r="G79">
            <v>294.55939388000002</v>
          </cell>
          <cell r="H79">
            <v>73.381071999</v>
          </cell>
          <cell r="I79" t="str">
            <v>Pedestrian</v>
          </cell>
          <cell r="J79" t="str">
            <v>2012/13</v>
          </cell>
        </row>
        <row r="80">
          <cell r="A80" t="str">
            <v>02 AUCKLAND</v>
          </cell>
          <cell r="B80">
            <v>0</v>
          </cell>
          <cell r="C80">
            <v>2018</v>
          </cell>
          <cell r="D80">
            <v>1541</v>
          </cell>
          <cell r="E80">
            <v>5702</v>
          </cell>
          <cell r="F80">
            <v>358.42497777</v>
          </cell>
          <cell r="G80">
            <v>324.23749728000001</v>
          </cell>
          <cell r="H80">
            <v>80.726239504999995</v>
          </cell>
          <cell r="I80" t="str">
            <v>Pedestrian</v>
          </cell>
          <cell r="J80" t="str">
            <v>2017/18</v>
          </cell>
        </row>
        <row r="81">
          <cell r="A81" t="str">
            <v>02 AUCKLAND</v>
          </cell>
          <cell r="B81">
            <v>0</v>
          </cell>
          <cell r="C81">
            <v>2023</v>
          </cell>
          <cell r="D81">
            <v>1541</v>
          </cell>
          <cell r="E81">
            <v>5702</v>
          </cell>
          <cell r="F81">
            <v>383.53305699999999</v>
          </cell>
          <cell r="G81">
            <v>345.21377604000003</v>
          </cell>
          <cell r="H81">
            <v>86.126645803000002</v>
          </cell>
          <cell r="I81" t="str">
            <v>Pedestrian</v>
          </cell>
          <cell r="J81" t="str">
            <v>2022/23</v>
          </cell>
        </row>
        <row r="82">
          <cell r="A82" t="str">
            <v>02 AUCKLAND</v>
          </cell>
          <cell r="B82">
            <v>0</v>
          </cell>
          <cell r="C82">
            <v>2028</v>
          </cell>
          <cell r="D82">
            <v>1541</v>
          </cell>
          <cell r="E82">
            <v>5702</v>
          </cell>
          <cell r="F82">
            <v>407.54572961000002</v>
          </cell>
          <cell r="G82">
            <v>364.10146356000001</v>
          </cell>
          <cell r="H82">
            <v>91.176255721000004</v>
          </cell>
          <cell r="I82" t="str">
            <v>Pedestrian</v>
          </cell>
          <cell r="J82" t="str">
            <v>2027/28</v>
          </cell>
        </row>
        <row r="83">
          <cell r="A83" t="str">
            <v>02 AUCKLAND</v>
          </cell>
          <cell r="B83">
            <v>0</v>
          </cell>
          <cell r="C83">
            <v>2033</v>
          </cell>
          <cell r="D83">
            <v>1541</v>
          </cell>
          <cell r="E83">
            <v>5702</v>
          </cell>
          <cell r="F83">
            <v>429.05263172999997</v>
          </cell>
          <cell r="G83">
            <v>380.6570595</v>
          </cell>
          <cell r="H83">
            <v>95.631265416999994</v>
          </cell>
          <cell r="I83" t="str">
            <v>Pedestrian</v>
          </cell>
          <cell r="J83" t="str">
            <v>2032/33</v>
          </cell>
        </row>
        <row r="84">
          <cell r="A84" t="str">
            <v>02 AUCKLAND</v>
          </cell>
          <cell r="B84">
            <v>0</v>
          </cell>
          <cell r="C84">
            <v>2038</v>
          </cell>
          <cell r="D84">
            <v>1541</v>
          </cell>
          <cell r="E84">
            <v>5702</v>
          </cell>
          <cell r="F84">
            <v>449.41072042000002</v>
          </cell>
          <cell r="G84">
            <v>397.44956268999999</v>
          </cell>
          <cell r="H84">
            <v>100.13169444</v>
          </cell>
          <cell r="I84" t="str">
            <v>Pedestrian</v>
          </cell>
          <cell r="J84" t="str">
            <v>2037/38</v>
          </cell>
        </row>
        <row r="85">
          <cell r="A85" t="str">
            <v>02 AUCKLAND</v>
          </cell>
          <cell r="B85">
            <v>0</v>
          </cell>
          <cell r="C85">
            <v>2043</v>
          </cell>
          <cell r="D85">
            <v>1541</v>
          </cell>
          <cell r="E85">
            <v>5702</v>
          </cell>
          <cell r="F85">
            <v>467.14882174000002</v>
          </cell>
          <cell r="G85">
            <v>412.01702911000001</v>
          </cell>
          <cell r="H85">
            <v>104.01870106</v>
          </cell>
          <cell r="I85" t="str">
            <v>Pedestrian</v>
          </cell>
          <cell r="J85" t="str">
            <v>2042/43</v>
          </cell>
        </row>
        <row r="86">
          <cell r="A86" t="str">
            <v>02 AUCKLAND</v>
          </cell>
          <cell r="B86">
            <v>1</v>
          </cell>
          <cell r="C86">
            <v>2013</v>
          </cell>
          <cell r="D86">
            <v>49</v>
          </cell>
          <cell r="E86">
            <v>125</v>
          </cell>
          <cell r="F86">
            <v>7.0506319707999996</v>
          </cell>
          <cell r="G86">
            <v>55.843008154000003</v>
          </cell>
          <cell r="H86">
            <v>4.3659429593999999</v>
          </cell>
          <cell r="I86" t="str">
            <v>Cyclist</v>
          </cell>
          <cell r="J86" t="str">
            <v>2012/13</v>
          </cell>
        </row>
        <row r="87">
          <cell r="A87" t="str">
            <v>02 AUCKLAND</v>
          </cell>
          <cell r="B87">
            <v>1</v>
          </cell>
          <cell r="C87">
            <v>2018</v>
          </cell>
          <cell r="D87">
            <v>49</v>
          </cell>
          <cell r="E87">
            <v>125</v>
          </cell>
          <cell r="F87">
            <v>7.8887271396000003</v>
          </cell>
          <cell r="G87">
            <v>64.323243355000002</v>
          </cell>
          <cell r="H87">
            <v>4.9810407221000004</v>
          </cell>
          <cell r="I87" t="str">
            <v>Cyclist</v>
          </cell>
          <cell r="J87" t="str">
            <v>2017/18</v>
          </cell>
        </row>
        <row r="88">
          <cell r="A88" t="str">
            <v>02 AUCKLAND</v>
          </cell>
          <cell r="B88">
            <v>1</v>
          </cell>
          <cell r="C88">
            <v>2023</v>
          </cell>
          <cell r="D88">
            <v>49</v>
          </cell>
          <cell r="E88">
            <v>125</v>
          </cell>
          <cell r="F88">
            <v>8.5543722765000005</v>
          </cell>
          <cell r="G88">
            <v>70.485647043</v>
          </cell>
          <cell r="H88">
            <v>5.4283595900000003</v>
          </cell>
          <cell r="I88" t="str">
            <v>Cyclist</v>
          </cell>
          <cell r="J88" t="str">
            <v>2022/23</v>
          </cell>
        </row>
        <row r="89">
          <cell r="A89" t="str">
            <v>02 AUCKLAND</v>
          </cell>
          <cell r="B89">
            <v>1</v>
          </cell>
          <cell r="C89">
            <v>2028</v>
          </cell>
          <cell r="D89">
            <v>49</v>
          </cell>
          <cell r="E89">
            <v>125</v>
          </cell>
          <cell r="F89">
            <v>9.0987588139</v>
          </cell>
          <cell r="G89">
            <v>74.996569476000005</v>
          </cell>
          <cell r="H89">
            <v>5.7480668307</v>
          </cell>
          <cell r="I89" t="str">
            <v>Cyclist</v>
          </cell>
          <cell r="J89" t="str">
            <v>2027/28</v>
          </cell>
        </row>
        <row r="90">
          <cell r="A90" t="str">
            <v>02 AUCKLAND</v>
          </cell>
          <cell r="B90">
            <v>1</v>
          </cell>
          <cell r="C90">
            <v>2033</v>
          </cell>
          <cell r="D90">
            <v>49</v>
          </cell>
          <cell r="E90">
            <v>125</v>
          </cell>
          <cell r="F90">
            <v>9.5405365872000001</v>
          </cell>
          <cell r="G90">
            <v>80.485757895999996</v>
          </cell>
          <cell r="H90">
            <v>6.1186436941000002</v>
          </cell>
          <cell r="I90" t="str">
            <v>Cyclist</v>
          </cell>
          <cell r="J90" t="str">
            <v>2032/33</v>
          </cell>
        </row>
        <row r="91">
          <cell r="A91" t="str">
            <v>02 AUCKLAND</v>
          </cell>
          <cell r="B91">
            <v>1</v>
          </cell>
          <cell r="C91">
            <v>2038</v>
          </cell>
          <cell r="D91">
            <v>49</v>
          </cell>
          <cell r="E91">
            <v>125</v>
          </cell>
          <cell r="F91">
            <v>10.205359499</v>
          </cell>
          <cell r="G91">
            <v>88.396800992999999</v>
          </cell>
          <cell r="H91">
            <v>6.6527695841999996</v>
          </cell>
          <cell r="I91" t="str">
            <v>Cyclist</v>
          </cell>
          <cell r="J91" t="str">
            <v>2037/38</v>
          </cell>
        </row>
        <row r="92">
          <cell r="A92" t="str">
            <v>02 AUCKLAND</v>
          </cell>
          <cell r="B92">
            <v>1</v>
          </cell>
          <cell r="C92">
            <v>2043</v>
          </cell>
          <cell r="D92">
            <v>49</v>
          </cell>
          <cell r="E92">
            <v>125</v>
          </cell>
          <cell r="F92">
            <v>10.847880203000001</v>
          </cell>
          <cell r="G92">
            <v>96.285089486000004</v>
          </cell>
          <cell r="H92">
            <v>7.183244352</v>
          </cell>
          <cell r="I92" t="str">
            <v>Cyclist</v>
          </cell>
          <cell r="J92" t="str">
            <v>2042/43</v>
          </cell>
        </row>
        <row r="93">
          <cell r="A93" t="str">
            <v>02 AUCKLAND</v>
          </cell>
          <cell r="B93">
            <v>2</v>
          </cell>
          <cell r="C93">
            <v>2013</v>
          </cell>
          <cell r="D93">
            <v>2765</v>
          </cell>
          <cell r="E93">
            <v>18286</v>
          </cell>
          <cell r="F93">
            <v>981.24355252999999</v>
          </cell>
          <cell r="G93">
            <v>9374.4733825999992</v>
          </cell>
          <cell r="H93">
            <v>295.36669345000001</v>
          </cell>
          <cell r="I93" t="str">
            <v>Light Vehicle Driver</v>
          </cell>
          <cell r="J93" t="str">
            <v>2012/13</v>
          </cell>
        </row>
        <row r="94">
          <cell r="A94" t="str">
            <v>02 AUCKLAND</v>
          </cell>
          <cell r="B94">
            <v>2</v>
          </cell>
          <cell r="C94">
            <v>2018</v>
          </cell>
          <cell r="D94">
            <v>2765</v>
          </cell>
          <cell r="E94">
            <v>18286</v>
          </cell>
          <cell r="F94">
            <v>1113.3408606999999</v>
          </cell>
          <cell r="G94">
            <v>10682.645270000001</v>
          </cell>
          <cell r="H94">
            <v>336.39468921999998</v>
          </cell>
          <cell r="I94" t="str">
            <v>Light Vehicle Driver</v>
          </cell>
          <cell r="J94" t="str">
            <v>2017/18</v>
          </cell>
        </row>
        <row r="95">
          <cell r="A95" t="str">
            <v>02 AUCKLAND</v>
          </cell>
          <cell r="B95">
            <v>2</v>
          </cell>
          <cell r="C95">
            <v>2023</v>
          </cell>
          <cell r="D95">
            <v>2765</v>
          </cell>
          <cell r="E95">
            <v>18286</v>
          </cell>
          <cell r="F95">
            <v>1204.6281524000001</v>
          </cell>
          <cell r="G95">
            <v>11538.732435</v>
          </cell>
          <cell r="H95">
            <v>363.56406843000002</v>
          </cell>
          <cell r="I95" t="str">
            <v>Light Vehicle Driver</v>
          </cell>
          <cell r="J95" t="str">
            <v>2022/23</v>
          </cell>
        </row>
        <row r="96">
          <cell r="A96" t="str">
            <v>02 AUCKLAND</v>
          </cell>
          <cell r="B96">
            <v>2</v>
          </cell>
          <cell r="C96">
            <v>2028</v>
          </cell>
          <cell r="D96">
            <v>2765</v>
          </cell>
          <cell r="E96">
            <v>18286</v>
          </cell>
          <cell r="F96">
            <v>1277.3423567</v>
          </cell>
          <cell r="G96">
            <v>12208.241561999999</v>
          </cell>
          <cell r="H96">
            <v>384.54108409999998</v>
          </cell>
          <cell r="I96" t="str">
            <v>Light Vehicle Driver</v>
          </cell>
          <cell r="J96" t="str">
            <v>2027/28</v>
          </cell>
        </row>
        <row r="97">
          <cell r="A97" t="str">
            <v>02 AUCKLAND</v>
          </cell>
          <cell r="B97">
            <v>2</v>
          </cell>
          <cell r="C97">
            <v>2033</v>
          </cell>
          <cell r="D97">
            <v>2765</v>
          </cell>
          <cell r="E97">
            <v>18286</v>
          </cell>
          <cell r="F97">
            <v>1352.4343154999999</v>
          </cell>
          <cell r="G97">
            <v>12910.834150999999</v>
          </cell>
          <cell r="H97">
            <v>406.73776893000002</v>
          </cell>
          <cell r="I97" t="str">
            <v>Light Vehicle Driver</v>
          </cell>
          <cell r="J97" t="str">
            <v>2032/33</v>
          </cell>
        </row>
        <row r="98">
          <cell r="A98" t="str">
            <v>02 AUCKLAND</v>
          </cell>
          <cell r="B98">
            <v>2</v>
          </cell>
          <cell r="C98">
            <v>2038</v>
          </cell>
          <cell r="D98">
            <v>2765</v>
          </cell>
          <cell r="E98">
            <v>18286</v>
          </cell>
          <cell r="F98">
            <v>1422.0853603</v>
          </cell>
          <cell r="G98">
            <v>13547.176586</v>
          </cell>
          <cell r="H98">
            <v>427.575467</v>
          </cell>
          <cell r="I98" t="str">
            <v>Light Vehicle Driver</v>
          </cell>
          <cell r="J98" t="str">
            <v>2037/38</v>
          </cell>
        </row>
        <row r="99">
          <cell r="A99" t="str">
            <v>02 AUCKLAND</v>
          </cell>
          <cell r="B99">
            <v>2</v>
          </cell>
          <cell r="C99">
            <v>2043</v>
          </cell>
          <cell r="D99">
            <v>2765</v>
          </cell>
          <cell r="E99">
            <v>18286</v>
          </cell>
          <cell r="F99">
            <v>1484.9577385</v>
          </cell>
          <cell r="G99">
            <v>14130.788447999999</v>
          </cell>
          <cell r="H99">
            <v>446.65725065999999</v>
          </cell>
          <cell r="I99" t="str">
            <v>Light Vehicle Driver</v>
          </cell>
          <cell r="J99" t="str">
            <v>2042/43</v>
          </cell>
        </row>
        <row r="100">
          <cell r="A100" t="str">
            <v>02 AUCKLAND</v>
          </cell>
          <cell r="B100">
            <v>3</v>
          </cell>
          <cell r="C100">
            <v>2013</v>
          </cell>
          <cell r="D100">
            <v>2092</v>
          </cell>
          <cell r="E100">
            <v>9587</v>
          </cell>
          <cell r="F100">
            <v>488.06073574999999</v>
          </cell>
          <cell r="G100">
            <v>4814.6436660999998</v>
          </cell>
          <cell r="H100">
            <v>145.42645436999999</v>
          </cell>
          <cell r="I100" t="str">
            <v>Light Vehicle Passenger</v>
          </cell>
          <cell r="J100" t="str">
            <v>2012/13</v>
          </cell>
        </row>
        <row r="101">
          <cell r="A101" t="str">
            <v>02 AUCKLAND</v>
          </cell>
          <cell r="B101">
            <v>3</v>
          </cell>
          <cell r="C101">
            <v>2018</v>
          </cell>
          <cell r="D101">
            <v>2092</v>
          </cell>
          <cell r="E101">
            <v>9587</v>
          </cell>
          <cell r="F101">
            <v>529.50577677000001</v>
          </cell>
          <cell r="G101">
            <v>5299.5171631000003</v>
          </cell>
          <cell r="H101">
            <v>158.95245370999999</v>
          </cell>
          <cell r="I101" t="str">
            <v>Light Vehicle Passenger</v>
          </cell>
          <cell r="J101" t="str">
            <v>2017/18</v>
          </cell>
        </row>
        <row r="102">
          <cell r="A102" t="str">
            <v>02 AUCKLAND</v>
          </cell>
          <cell r="B102">
            <v>3</v>
          </cell>
          <cell r="C102">
            <v>2023</v>
          </cell>
          <cell r="D102">
            <v>2092</v>
          </cell>
          <cell r="E102">
            <v>9587</v>
          </cell>
          <cell r="F102">
            <v>562.85545287000002</v>
          </cell>
          <cell r="G102">
            <v>5674.9907599999997</v>
          </cell>
          <cell r="H102">
            <v>169.27055988000001</v>
          </cell>
          <cell r="I102" t="str">
            <v>Light Vehicle Passenger</v>
          </cell>
          <cell r="J102" t="str">
            <v>2022/23</v>
          </cell>
        </row>
        <row r="103">
          <cell r="A103" t="str">
            <v>02 AUCKLAND</v>
          </cell>
          <cell r="B103">
            <v>3</v>
          </cell>
          <cell r="C103">
            <v>2028</v>
          </cell>
          <cell r="D103">
            <v>2092</v>
          </cell>
          <cell r="E103">
            <v>9587</v>
          </cell>
          <cell r="F103">
            <v>593.70059818000004</v>
          </cell>
          <cell r="G103">
            <v>6019.8205324999999</v>
          </cell>
          <cell r="H103">
            <v>178.67030728</v>
          </cell>
          <cell r="I103" t="str">
            <v>Light Vehicle Passenger</v>
          </cell>
          <cell r="J103" t="str">
            <v>2027/28</v>
          </cell>
        </row>
        <row r="104">
          <cell r="A104" t="str">
            <v>02 AUCKLAND</v>
          </cell>
          <cell r="B104">
            <v>3</v>
          </cell>
          <cell r="C104">
            <v>2033</v>
          </cell>
          <cell r="D104">
            <v>2092</v>
          </cell>
          <cell r="E104">
            <v>9587</v>
          </cell>
          <cell r="F104">
            <v>623.08895070000005</v>
          </cell>
          <cell r="G104">
            <v>6327.6412596</v>
          </cell>
          <cell r="H104">
            <v>187.32165502000001</v>
          </cell>
          <cell r="I104" t="str">
            <v>Light Vehicle Passenger</v>
          </cell>
          <cell r="J104" t="str">
            <v>2032/33</v>
          </cell>
        </row>
        <row r="105">
          <cell r="A105" t="str">
            <v>02 AUCKLAND</v>
          </cell>
          <cell r="B105">
            <v>3</v>
          </cell>
          <cell r="C105">
            <v>2038</v>
          </cell>
          <cell r="D105">
            <v>2092</v>
          </cell>
          <cell r="E105">
            <v>9587</v>
          </cell>
          <cell r="F105">
            <v>648.87826954000002</v>
          </cell>
          <cell r="G105">
            <v>6621.1981527999997</v>
          </cell>
          <cell r="H105">
            <v>195.35485550999999</v>
          </cell>
          <cell r="I105" t="str">
            <v>Light Vehicle Passenger</v>
          </cell>
          <cell r="J105" t="str">
            <v>2037/38</v>
          </cell>
        </row>
        <row r="106">
          <cell r="A106" t="str">
            <v>02 AUCKLAND</v>
          </cell>
          <cell r="B106">
            <v>3</v>
          </cell>
          <cell r="C106">
            <v>2043</v>
          </cell>
          <cell r="D106">
            <v>2092</v>
          </cell>
          <cell r="E106">
            <v>9587</v>
          </cell>
          <cell r="F106">
            <v>670.07934587</v>
          </cell>
          <cell r="G106">
            <v>6875.3898245</v>
          </cell>
          <cell r="H106">
            <v>202.14382459000001</v>
          </cell>
          <cell r="I106" t="str">
            <v>Light Vehicle Passenger</v>
          </cell>
          <cell r="J106" t="str">
            <v>2042/43</v>
          </cell>
        </row>
        <row r="107">
          <cell r="A107" t="str">
            <v>02 AUCKLAND</v>
          </cell>
          <cell r="B107">
            <v>4</v>
          </cell>
          <cell r="C107">
            <v>2013</v>
          </cell>
          <cell r="D107">
            <v>54</v>
          </cell>
          <cell r="E107">
            <v>94</v>
          </cell>
          <cell r="F107">
            <v>6.0232688673999997</v>
          </cell>
          <cell r="G107">
            <v>41.157157814999998</v>
          </cell>
          <cell r="H107">
            <v>1.9131795197999999</v>
          </cell>
          <cell r="J107" t="str">
            <v>2012/13</v>
          </cell>
        </row>
        <row r="108">
          <cell r="A108" t="str">
            <v>02 AUCKLAND</v>
          </cell>
          <cell r="B108">
            <v>4</v>
          </cell>
          <cell r="C108">
            <v>2018</v>
          </cell>
          <cell r="D108">
            <v>54</v>
          </cell>
          <cell r="E108">
            <v>94</v>
          </cell>
          <cell r="F108">
            <v>7.2352833911000003</v>
          </cell>
          <cell r="G108">
            <v>50.028657789</v>
          </cell>
          <cell r="H108">
            <v>2.2963852653000001</v>
          </cell>
          <cell r="J108" t="str">
            <v>2017/18</v>
          </cell>
        </row>
        <row r="109">
          <cell r="A109" t="str">
            <v>02 AUCKLAND</v>
          </cell>
          <cell r="B109">
            <v>4</v>
          </cell>
          <cell r="C109">
            <v>2023</v>
          </cell>
          <cell r="D109">
            <v>54</v>
          </cell>
          <cell r="E109">
            <v>94</v>
          </cell>
          <cell r="F109">
            <v>8.3698866730999999</v>
          </cell>
          <cell r="G109">
            <v>59.218597435</v>
          </cell>
          <cell r="H109">
            <v>2.6592429663999999</v>
          </cell>
          <cell r="J109" t="str">
            <v>2022/23</v>
          </cell>
        </row>
        <row r="110">
          <cell r="A110" t="str">
            <v>02 AUCKLAND</v>
          </cell>
          <cell r="B110">
            <v>4</v>
          </cell>
          <cell r="C110">
            <v>2028</v>
          </cell>
          <cell r="D110">
            <v>54</v>
          </cell>
          <cell r="E110">
            <v>94</v>
          </cell>
          <cell r="F110">
            <v>9.5788252895999992</v>
          </cell>
          <cell r="G110">
            <v>69.053840624000003</v>
          </cell>
          <cell r="H110">
            <v>3.0419055691999999</v>
          </cell>
          <cell r="J110" t="str">
            <v>2027/28</v>
          </cell>
        </row>
        <row r="111">
          <cell r="A111" t="str">
            <v>02 AUCKLAND</v>
          </cell>
          <cell r="B111">
            <v>4</v>
          </cell>
          <cell r="C111">
            <v>2033</v>
          </cell>
          <cell r="D111">
            <v>54</v>
          </cell>
          <cell r="E111">
            <v>94</v>
          </cell>
          <cell r="F111">
            <v>10.759396396</v>
          </cell>
          <cell r="G111">
            <v>78.352185917</v>
          </cell>
          <cell r="H111">
            <v>3.4157408883000002</v>
          </cell>
          <cell r="J111" t="str">
            <v>2032/33</v>
          </cell>
        </row>
        <row r="112">
          <cell r="A112" t="str">
            <v>02 AUCKLAND</v>
          </cell>
          <cell r="B112">
            <v>4</v>
          </cell>
          <cell r="C112">
            <v>2038</v>
          </cell>
          <cell r="D112">
            <v>54</v>
          </cell>
          <cell r="E112">
            <v>94</v>
          </cell>
          <cell r="F112">
            <v>11.808522829999999</v>
          </cell>
          <cell r="G112">
            <v>86.601620698000005</v>
          </cell>
          <cell r="H112">
            <v>3.7451322487000001</v>
          </cell>
          <cell r="J112" t="str">
            <v>2037/38</v>
          </cell>
        </row>
        <row r="113">
          <cell r="A113" t="str">
            <v>02 AUCKLAND</v>
          </cell>
          <cell r="B113">
            <v>4</v>
          </cell>
          <cell r="C113">
            <v>2043</v>
          </cell>
          <cell r="D113">
            <v>54</v>
          </cell>
          <cell r="E113">
            <v>94</v>
          </cell>
          <cell r="F113">
            <v>12.865843633000001</v>
          </cell>
          <cell r="G113">
            <v>94.965837269000005</v>
          </cell>
          <cell r="H113">
            <v>4.075781331</v>
          </cell>
          <cell r="J113" t="str">
            <v>2042/43</v>
          </cell>
        </row>
        <row r="114">
          <cell r="A114" t="str">
            <v>02 AUCKLAND</v>
          </cell>
          <cell r="B114">
            <v>5</v>
          </cell>
          <cell r="C114">
            <v>2013</v>
          </cell>
          <cell r="D114">
            <v>15</v>
          </cell>
          <cell r="E114">
            <v>69</v>
          </cell>
          <cell r="F114">
            <v>4.1170216905999997</v>
          </cell>
          <cell r="G114">
            <v>43.570185572</v>
          </cell>
          <cell r="H114">
            <v>1.5334409518000001</v>
          </cell>
          <cell r="I114" t="str">
            <v>Motorcyclist</v>
          </cell>
          <cell r="J114" t="str">
            <v>2012/13</v>
          </cell>
        </row>
        <row r="115">
          <cell r="A115" t="str">
            <v>02 AUCKLAND</v>
          </cell>
          <cell r="B115">
            <v>5</v>
          </cell>
          <cell r="C115">
            <v>2018</v>
          </cell>
          <cell r="D115">
            <v>15</v>
          </cell>
          <cell r="E115">
            <v>69</v>
          </cell>
          <cell r="F115">
            <v>4.7313973600999999</v>
          </cell>
          <cell r="G115">
            <v>49.945812476</v>
          </cell>
          <cell r="H115">
            <v>1.7760237491999999</v>
          </cell>
          <cell r="I115" t="str">
            <v>Motorcyclist</v>
          </cell>
          <cell r="J115" t="str">
            <v>2017/18</v>
          </cell>
        </row>
        <row r="116">
          <cell r="A116" t="str">
            <v>02 AUCKLAND</v>
          </cell>
          <cell r="B116">
            <v>5</v>
          </cell>
          <cell r="C116">
            <v>2023</v>
          </cell>
          <cell r="D116">
            <v>15</v>
          </cell>
          <cell r="E116">
            <v>69</v>
          </cell>
          <cell r="F116">
            <v>5.2998143878999997</v>
          </cell>
          <cell r="G116">
            <v>54.167794825000001</v>
          </cell>
          <cell r="H116">
            <v>1.9620104072</v>
          </cell>
          <cell r="I116" t="str">
            <v>Motorcyclist</v>
          </cell>
          <cell r="J116" t="str">
            <v>2022/23</v>
          </cell>
        </row>
        <row r="117">
          <cell r="A117" t="str">
            <v>02 AUCKLAND</v>
          </cell>
          <cell r="B117">
            <v>5</v>
          </cell>
          <cell r="C117">
            <v>2028</v>
          </cell>
          <cell r="D117">
            <v>15</v>
          </cell>
          <cell r="E117">
            <v>69</v>
          </cell>
          <cell r="F117">
            <v>5.9718867377000002</v>
          </cell>
          <cell r="G117">
            <v>58.128926276999998</v>
          </cell>
          <cell r="H117">
            <v>2.1494213970999998</v>
          </cell>
          <cell r="I117" t="str">
            <v>Motorcyclist</v>
          </cell>
          <cell r="J117" t="str">
            <v>2027/28</v>
          </cell>
        </row>
        <row r="118">
          <cell r="A118" t="str">
            <v>02 AUCKLAND</v>
          </cell>
          <cell r="B118">
            <v>5</v>
          </cell>
          <cell r="C118">
            <v>2033</v>
          </cell>
          <cell r="D118">
            <v>15</v>
          </cell>
          <cell r="E118">
            <v>69</v>
          </cell>
          <cell r="F118">
            <v>6.5645294598000001</v>
          </cell>
          <cell r="G118">
            <v>62.295299972999999</v>
          </cell>
          <cell r="H118">
            <v>2.3386744127000001</v>
          </cell>
          <cell r="I118" t="str">
            <v>Motorcyclist</v>
          </cell>
          <cell r="J118" t="str">
            <v>2032/33</v>
          </cell>
        </row>
        <row r="119">
          <cell r="A119" t="str">
            <v>02 AUCKLAND</v>
          </cell>
          <cell r="B119">
            <v>5</v>
          </cell>
          <cell r="C119">
            <v>2038</v>
          </cell>
          <cell r="D119">
            <v>15</v>
          </cell>
          <cell r="E119">
            <v>69</v>
          </cell>
          <cell r="F119">
            <v>6.8239964105000004</v>
          </cell>
          <cell r="G119">
            <v>64.702701042000001</v>
          </cell>
          <cell r="H119">
            <v>2.4597771864000002</v>
          </cell>
          <cell r="I119" t="str">
            <v>Motorcyclist</v>
          </cell>
          <cell r="J119" t="str">
            <v>2037/38</v>
          </cell>
        </row>
        <row r="120">
          <cell r="A120" t="str">
            <v>02 AUCKLAND</v>
          </cell>
          <cell r="B120">
            <v>5</v>
          </cell>
          <cell r="C120">
            <v>2043</v>
          </cell>
          <cell r="D120">
            <v>15</v>
          </cell>
          <cell r="E120">
            <v>69</v>
          </cell>
          <cell r="F120">
            <v>7.0434695846000004</v>
          </cell>
          <cell r="G120">
            <v>66.909300877000007</v>
          </cell>
          <cell r="H120">
            <v>2.5713561492000001</v>
          </cell>
          <cell r="I120" t="str">
            <v>Motorcyclist</v>
          </cell>
          <cell r="J120" t="str">
            <v>2042/43</v>
          </cell>
        </row>
        <row r="121">
          <cell r="A121" t="str">
            <v>02 AUCKLAND</v>
          </cell>
          <cell r="B121">
            <v>6</v>
          </cell>
          <cell r="C121">
            <v>2013</v>
          </cell>
          <cell r="D121">
            <v>83</v>
          </cell>
          <cell r="E121">
            <v>197</v>
          </cell>
          <cell r="F121">
            <v>10.588451037</v>
          </cell>
          <cell r="G121">
            <v>126.27968744</v>
          </cell>
          <cell r="H121">
            <v>4.2843438359999997</v>
          </cell>
          <cell r="I121" t="str">
            <v>Local Train</v>
          </cell>
          <cell r="J121" t="str">
            <v>2012/13</v>
          </cell>
        </row>
        <row r="122">
          <cell r="A122" t="str">
            <v>02 AUCKLAND</v>
          </cell>
          <cell r="B122">
            <v>6</v>
          </cell>
          <cell r="C122">
            <v>2018</v>
          </cell>
          <cell r="D122">
            <v>83</v>
          </cell>
          <cell r="E122">
            <v>197</v>
          </cell>
          <cell r="F122">
            <v>11.937472622</v>
          </cell>
          <cell r="G122">
            <v>144.32576847999999</v>
          </cell>
          <cell r="H122">
            <v>4.8988979616000004</v>
          </cell>
          <cell r="I122" t="str">
            <v>Local Train</v>
          </cell>
          <cell r="J122" t="str">
            <v>2017/18</v>
          </cell>
        </row>
        <row r="123">
          <cell r="A123" t="str">
            <v>02 AUCKLAND</v>
          </cell>
          <cell r="B123">
            <v>6</v>
          </cell>
          <cell r="C123">
            <v>2023</v>
          </cell>
          <cell r="D123">
            <v>83</v>
          </cell>
          <cell r="E123">
            <v>197</v>
          </cell>
          <cell r="F123">
            <v>12.872055543</v>
          </cell>
          <cell r="G123">
            <v>156.37574419000001</v>
          </cell>
          <cell r="H123">
            <v>5.3217289628</v>
          </cell>
          <cell r="I123" t="str">
            <v>Local Train</v>
          </cell>
          <cell r="J123" t="str">
            <v>2022/23</v>
          </cell>
        </row>
        <row r="124">
          <cell r="A124" t="str">
            <v>02 AUCKLAND</v>
          </cell>
          <cell r="B124">
            <v>6</v>
          </cell>
          <cell r="C124">
            <v>2028</v>
          </cell>
          <cell r="D124">
            <v>83</v>
          </cell>
          <cell r="E124">
            <v>197</v>
          </cell>
          <cell r="F124">
            <v>13.837702297</v>
          </cell>
          <cell r="G124">
            <v>167.89874710000001</v>
          </cell>
          <cell r="H124">
            <v>5.7082717365000004</v>
          </cell>
          <cell r="I124" t="str">
            <v>Local Train</v>
          </cell>
          <cell r="J124" t="str">
            <v>2027/28</v>
          </cell>
        </row>
        <row r="125">
          <cell r="A125" t="str">
            <v>02 AUCKLAND</v>
          </cell>
          <cell r="B125">
            <v>6</v>
          </cell>
          <cell r="C125">
            <v>2033</v>
          </cell>
          <cell r="D125">
            <v>83</v>
          </cell>
          <cell r="E125">
            <v>197</v>
          </cell>
          <cell r="F125">
            <v>14.702700576</v>
          </cell>
          <cell r="G125">
            <v>178.86448240000001</v>
          </cell>
          <cell r="H125">
            <v>6.0546913252000003</v>
          </cell>
          <cell r="I125" t="str">
            <v>Local Train</v>
          </cell>
          <cell r="J125" t="str">
            <v>2032/33</v>
          </cell>
        </row>
        <row r="126">
          <cell r="A126" t="str">
            <v>02 AUCKLAND</v>
          </cell>
          <cell r="B126">
            <v>6</v>
          </cell>
          <cell r="C126">
            <v>2038</v>
          </cell>
          <cell r="D126">
            <v>83</v>
          </cell>
          <cell r="E126">
            <v>197</v>
          </cell>
          <cell r="F126">
            <v>15.334267584999999</v>
          </cell>
          <cell r="G126">
            <v>187.36236491</v>
          </cell>
          <cell r="H126">
            <v>6.3408358907000002</v>
          </cell>
          <cell r="I126" t="str">
            <v>Local Train</v>
          </cell>
          <cell r="J126" t="str">
            <v>2037/38</v>
          </cell>
        </row>
        <row r="127">
          <cell r="A127" t="str">
            <v>02 AUCKLAND</v>
          </cell>
          <cell r="B127">
            <v>6</v>
          </cell>
          <cell r="C127">
            <v>2043</v>
          </cell>
          <cell r="D127">
            <v>83</v>
          </cell>
          <cell r="E127">
            <v>197</v>
          </cell>
          <cell r="F127">
            <v>15.871956074</v>
          </cell>
          <cell r="G127">
            <v>194.74504454999999</v>
          </cell>
          <cell r="H127">
            <v>6.5868740203999998</v>
          </cell>
          <cell r="I127" t="str">
            <v>Local Train</v>
          </cell>
          <cell r="J127" t="str">
            <v>2042/43</v>
          </cell>
        </row>
        <row r="128">
          <cell r="A128" t="str">
            <v>02 AUCKLAND</v>
          </cell>
          <cell r="B128">
            <v>7</v>
          </cell>
          <cell r="C128">
            <v>2013</v>
          </cell>
          <cell r="D128">
            <v>334</v>
          </cell>
          <cell r="E128">
            <v>882</v>
          </cell>
          <cell r="F128">
            <v>54.403429504999998</v>
          </cell>
          <cell r="G128">
            <v>439.27566032999999</v>
          </cell>
          <cell r="H128">
            <v>22.622672496</v>
          </cell>
          <cell r="I128" t="str">
            <v>Local Bus</v>
          </cell>
          <cell r="J128" t="str">
            <v>2012/13</v>
          </cell>
        </row>
        <row r="129">
          <cell r="A129" t="str">
            <v>02 AUCKLAND</v>
          </cell>
          <cell r="B129">
            <v>7</v>
          </cell>
          <cell r="C129">
            <v>2018</v>
          </cell>
          <cell r="D129">
            <v>334</v>
          </cell>
          <cell r="E129">
            <v>882</v>
          </cell>
          <cell r="F129">
            <v>59.340296318</v>
          </cell>
          <cell r="G129">
            <v>484.18754948999998</v>
          </cell>
          <cell r="H129">
            <v>24.897863955999998</v>
          </cell>
          <cell r="I129" t="str">
            <v>Local Bus</v>
          </cell>
          <cell r="J129" t="str">
            <v>2017/18</v>
          </cell>
        </row>
        <row r="130">
          <cell r="A130" t="str">
            <v>02 AUCKLAND</v>
          </cell>
          <cell r="B130">
            <v>7</v>
          </cell>
          <cell r="C130">
            <v>2023</v>
          </cell>
          <cell r="D130">
            <v>334</v>
          </cell>
          <cell r="E130">
            <v>882</v>
          </cell>
          <cell r="F130">
            <v>62.246093332000001</v>
          </cell>
          <cell r="G130">
            <v>510.65408436000001</v>
          </cell>
          <cell r="H130">
            <v>26.164405055</v>
          </cell>
          <cell r="I130" t="str">
            <v>Local Bus</v>
          </cell>
          <cell r="J130" t="str">
            <v>2022/23</v>
          </cell>
        </row>
        <row r="131">
          <cell r="A131" t="str">
            <v>02 AUCKLAND</v>
          </cell>
          <cell r="B131">
            <v>7</v>
          </cell>
          <cell r="C131">
            <v>2028</v>
          </cell>
          <cell r="D131">
            <v>334</v>
          </cell>
          <cell r="E131">
            <v>882</v>
          </cell>
          <cell r="F131">
            <v>65.910707149000004</v>
          </cell>
          <cell r="G131">
            <v>540.44903929999998</v>
          </cell>
          <cell r="H131">
            <v>27.685138536</v>
          </cell>
          <cell r="I131" t="str">
            <v>Local Bus</v>
          </cell>
          <cell r="J131" t="str">
            <v>2027/28</v>
          </cell>
        </row>
        <row r="132">
          <cell r="A132" t="str">
            <v>02 AUCKLAND</v>
          </cell>
          <cell r="B132">
            <v>7</v>
          </cell>
          <cell r="C132">
            <v>2033</v>
          </cell>
          <cell r="D132">
            <v>334</v>
          </cell>
          <cell r="E132">
            <v>882</v>
          </cell>
          <cell r="F132">
            <v>68.606486290000007</v>
          </cell>
          <cell r="G132">
            <v>560.33770738999999</v>
          </cell>
          <cell r="H132">
            <v>28.743872939999999</v>
          </cell>
          <cell r="I132" t="str">
            <v>Local Bus</v>
          </cell>
          <cell r="J132" t="str">
            <v>2032/33</v>
          </cell>
        </row>
        <row r="133">
          <cell r="A133" t="str">
            <v>02 AUCKLAND</v>
          </cell>
          <cell r="B133">
            <v>7</v>
          </cell>
          <cell r="C133">
            <v>2038</v>
          </cell>
          <cell r="D133">
            <v>334</v>
          </cell>
          <cell r="E133">
            <v>882</v>
          </cell>
          <cell r="F133">
            <v>71.191453946999999</v>
          </cell>
          <cell r="G133">
            <v>580.12991282999997</v>
          </cell>
          <cell r="H133">
            <v>29.797348301</v>
          </cell>
          <cell r="I133" t="str">
            <v>Local Bus</v>
          </cell>
          <cell r="J133" t="str">
            <v>2037/38</v>
          </cell>
        </row>
        <row r="134">
          <cell r="A134" t="str">
            <v>02 AUCKLAND</v>
          </cell>
          <cell r="B134">
            <v>7</v>
          </cell>
          <cell r="C134">
            <v>2043</v>
          </cell>
          <cell r="D134">
            <v>334</v>
          </cell>
          <cell r="E134">
            <v>882</v>
          </cell>
          <cell r="F134">
            <v>73.334295260999994</v>
          </cell>
          <cell r="G134">
            <v>596.30149001999996</v>
          </cell>
          <cell r="H134">
            <v>30.673427348000001</v>
          </cell>
          <cell r="I134" t="str">
            <v>Local Bus</v>
          </cell>
          <cell r="J134" t="str">
            <v>2042/43</v>
          </cell>
        </row>
        <row r="135">
          <cell r="A135" t="str">
            <v>02 AUCKLAND</v>
          </cell>
          <cell r="B135">
            <v>8</v>
          </cell>
          <cell r="C135">
            <v>2013</v>
          </cell>
          <cell r="D135">
            <v>33</v>
          </cell>
          <cell r="E135">
            <v>75</v>
          </cell>
          <cell r="F135">
            <v>4.3086283299000003</v>
          </cell>
          <cell r="G135">
            <v>0</v>
          </cell>
          <cell r="H135">
            <v>1.2124045342000001</v>
          </cell>
          <cell r="I135" t="str">
            <v>Local Ferry</v>
          </cell>
          <cell r="J135" t="str">
            <v>2012/13</v>
          </cell>
        </row>
        <row r="136">
          <cell r="A136" t="str">
            <v>02 AUCKLAND</v>
          </cell>
          <cell r="B136">
            <v>8</v>
          </cell>
          <cell r="C136">
            <v>2018</v>
          </cell>
          <cell r="D136">
            <v>33</v>
          </cell>
          <cell r="E136">
            <v>75</v>
          </cell>
          <cell r="F136">
            <v>4.9520708047999999</v>
          </cell>
          <cell r="G136">
            <v>0</v>
          </cell>
          <cell r="H136">
            <v>1.4002895271</v>
          </cell>
          <cell r="I136" t="str">
            <v>Local Ferry</v>
          </cell>
          <cell r="J136" t="str">
            <v>2017/18</v>
          </cell>
        </row>
        <row r="137">
          <cell r="A137" t="str">
            <v>02 AUCKLAND</v>
          </cell>
          <cell r="B137">
            <v>8</v>
          </cell>
          <cell r="C137">
            <v>2023</v>
          </cell>
          <cell r="D137">
            <v>33</v>
          </cell>
          <cell r="E137">
            <v>75</v>
          </cell>
          <cell r="F137">
            <v>5.4945987857</v>
          </cell>
          <cell r="G137">
            <v>0</v>
          </cell>
          <cell r="H137">
            <v>1.5446902177999999</v>
          </cell>
          <cell r="I137" t="str">
            <v>Local Ferry</v>
          </cell>
          <cell r="J137" t="str">
            <v>2022/23</v>
          </cell>
        </row>
        <row r="138">
          <cell r="A138" t="str">
            <v>02 AUCKLAND</v>
          </cell>
          <cell r="B138">
            <v>8</v>
          </cell>
          <cell r="C138">
            <v>2028</v>
          </cell>
          <cell r="D138">
            <v>33</v>
          </cell>
          <cell r="E138">
            <v>75</v>
          </cell>
          <cell r="F138">
            <v>5.9739649892999998</v>
          </cell>
          <cell r="G138">
            <v>0</v>
          </cell>
          <cell r="H138">
            <v>1.6698032126</v>
          </cell>
          <cell r="I138" t="str">
            <v>Local Ferry</v>
          </cell>
          <cell r="J138" t="str">
            <v>2027/28</v>
          </cell>
        </row>
        <row r="139">
          <cell r="A139" t="str">
            <v>02 AUCKLAND</v>
          </cell>
          <cell r="B139">
            <v>8</v>
          </cell>
          <cell r="C139">
            <v>2033</v>
          </cell>
          <cell r="D139">
            <v>33</v>
          </cell>
          <cell r="E139">
            <v>75</v>
          </cell>
          <cell r="F139">
            <v>6.4318981770999999</v>
          </cell>
          <cell r="G139">
            <v>0</v>
          </cell>
          <cell r="H139">
            <v>1.7926517800999999</v>
          </cell>
          <cell r="I139" t="str">
            <v>Local Ferry</v>
          </cell>
          <cell r="J139" t="str">
            <v>2032/33</v>
          </cell>
        </row>
        <row r="140">
          <cell r="A140" t="str">
            <v>02 AUCKLAND</v>
          </cell>
          <cell r="B140">
            <v>8</v>
          </cell>
          <cell r="C140">
            <v>2038</v>
          </cell>
          <cell r="D140">
            <v>33</v>
          </cell>
          <cell r="E140">
            <v>75</v>
          </cell>
          <cell r="F140">
            <v>7.0840019435999997</v>
          </cell>
          <cell r="G140">
            <v>0</v>
          </cell>
          <cell r="H140">
            <v>1.962745572</v>
          </cell>
          <cell r="I140" t="str">
            <v>Local Ferry</v>
          </cell>
          <cell r="J140" t="str">
            <v>2037/38</v>
          </cell>
        </row>
        <row r="141">
          <cell r="A141" t="str">
            <v>02 AUCKLAND</v>
          </cell>
          <cell r="B141">
            <v>8</v>
          </cell>
          <cell r="C141">
            <v>2043</v>
          </cell>
          <cell r="D141">
            <v>33</v>
          </cell>
          <cell r="E141">
            <v>75</v>
          </cell>
          <cell r="F141">
            <v>7.7191371460999996</v>
          </cell>
          <cell r="G141">
            <v>0</v>
          </cell>
          <cell r="H141">
            <v>2.1266529032000001</v>
          </cell>
          <cell r="I141" t="str">
            <v>Local Ferry</v>
          </cell>
          <cell r="J141" t="str">
            <v>2042/43</v>
          </cell>
        </row>
        <row r="142">
          <cell r="A142" t="str">
            <v>02 AUCKLAND</v>
          </cell>
          <cell r="B142">
            <v>9</v>
          </cell>
          <cell r="C142">
            <v>2013</v>
          </cell>
          <cell r="D142">
            <v>21</v>
          </cell>
          <cell r="E142">
            <v>52</v>
          </cell>
          <cell r="F142">
            <v>2.2145179384000002</v>
          </cell>
          <cell r="G142">
            <v>1.8241938706</v>
          </cell>
          <cell r="H142">
            <v>2.4325058500000001</v>
          </cell>
          <cell r="I142" t="str">
            <v>Other Household Travel</v>
          </cell>
          <cell r="J142" t="str">
            <v>2012/13</v>
          </cell>
        </row>
        <row r="143">
          <cell r="A143" t="str">
            <v>02 AUCKLAND</v>
          </cell>
          <cell r="B143">
            <v>9</v>
          </cell>
          <cell r="C143">
            <v>2018</v>
          </cell>
          <cell r="D143">
            <v>21</v>
          </cell>
          <cell r="E143">
            <v>52</v>
          </cell>
          <cell r="F143">
            <v>2.5076537030999999</v>
          </cell>
          <cell r="G143">
            <v>1.828931372</v>
          </cell>
          <cell r="H143">
            <v>2.8736177908</v>
          </cell>
          <cell r="I143" t="str">
            <v>Other Household Travel</v>
          </cell>
          <cell r="J143" t="str">
            <v>2017/18</v>
          </cell>
        </row>
        <row r="144">
          <cell r="A144" t="str">
            <v>02 AUCKLAND</v>
          </cell>
          <cell r="B144">
            <v>9</v>
          </cell>
          <cell r="C144">
            <v>2023</v>
          </cell>
          <cell r="D144">
            <v>21</v>
          </cell>
          <cell r="E144">
            <v>52</v>
          </cell>
          <cell r="F144">
            <v>2.7404091551</v>
          </cell>
          <cell r="G144">
            <v>1.7646649882000001</v>
          </cell>
          <cell r="H144">
            <v>3.1339711822999998</v>
          </cell>
          <cell r="I144" t="str">
            <v>Other Household Travel</v>
          </cell>
          <cell r="J144" t="str">
            <v>2022/23</v>
          </cell>
        </row>
        <row r="145">
          <cell r="A145" t="str">
            <v>02 AUCKLAND</v>
          </cell>
          <cell r="B145">
            <v>9</v>
          </cell>
          <cell r="C145">
            <v>2028</v>
          </cell>
          <cell r="D145">
            <v>21</v>
          </cell>
          <cell r="E145">
            <v>52</v>
          </cell>
          <cell r="F145">
            <v>2.9105085325000002</v>
          </cell>
          <cell r="G145">
            <v>1.7324432209</v>
          </cell>
          <cell r="H145">
            <v>3.2118378204</v>
          </cell>
          <cell r="I145" t="str">
            <v>Other Household Travel</v>
          </cell>
          <cell r="J145" t="str">
            <v>2027/28</v>
          </cell>
        </row>
        <row r="146">
          <cell r="A146" t="str">
            <v>02 AUCKLAND</v>
          </cell>
          <cell r="B146">
            <v>9</v>
          </cell>
          <cell r="C146">
            <v>2033</v>
          </cell>
          <cell r="D146">
            <v>21</v>
          </cell>
          <cell r="E146">
            <v>52</v>
          </cell>
          <cell r="F146">
            <v>3.0701075441999999</v>
          </cell>
          <cell r="G146">
            <v>1.6212361179999999</v>
          </cell>
          <cell r="H146">
            <v>3.3144669131</v>
          </cell>
          <cell r="I146" t="str">
            <v>Other Household Travel</v>
          </cell>
          <cell r="J146" t="str">
            <v>2032/33</v>
          </cell>
        </row>
        <row r="147">
          <cell r="A147" t="str">
            <v>02 AUCKLAND</v>
          </cell>
          <cell r="B147">
            <v>9</v>
          </cell>
          <cell r="C147">
            <v>2038</v>
          </cell>
          <cell r="D147">
            <v>21</v>
          </cell>
          <cell r="E147">
            <v>52</v>
          </cell>
          <cell r="F147">
            <v>3.2573736228999999</v>
          </cell>
          <cell r="G147">
            <v>1.4428453501</v>
          </cell>
          <cell r="H147">
            <v>3.5002699187999999</v>
          </cell>
          <cell r="I147" t="str">
            <v>Other Household Travel</v>
          </cell>
          <cell r="J147" t="str">
            <v>2037/38</v>
          </cell>
        </row>
        <row r="148">
          <cell r="A148" t="str">
            <v>02 AUCKLAND</v>
          </cell>
          <cell r="B148">
            <v>9</v>
          </cell>
          <cell r="C148">
            <v>2043</v>
          </cell>
          <cell r="D148">
            <v>21</v>
          </cell>
          <cell r="E148">
            <v>52</v>
          </cell>
          <cell r="F148">
            <v>3.4430802545999999</v>
          </cell>
          <cell r="G148">
            <v>1.2707919969000001</v>
          </cell>
          <cell r="H148">
            <v>3.6843503657999999</v>
          </cell>
          <cell r="I148" t="str">
            <v>Other Household Travel</v>
          </cell>
          <cell r="J148" t="str">
            <v>2042/43</v>
          </cell>
        </row>
        <row r="149">
          <cell r="A149" t="str">
            <v>02 AUCKLAND</v>
          </cell>
          <cell r="B149">
            <v>10</v>
          </cell>
          <cell r="C149">
            <v>2013</v>
          </cell>
          <cell r="D149">
            <v>46</v>
          </cell>
          <cell r="E149">
            <v>52</v>
          </cell>
          <cell r="F149">
            <v>2.8879196329000001</v>
          </cell>
          <cell r="G149">
            <v>37.321781539</v>
          </cell>
          <cell r="H149">
            <v>5.1213278228999997</v>
          </cell>
          <cell r="I149" t="str">
            <v>Air/Non-Local PT</v>
          </cell>
          <cell r="J149" t="str">
            <v>2012/13</v>
          </cell>
        </row>
        <row r="150">
          <cell r="A150" t="str">
            <v>02 AUCKLAND</v>
          </cell>
          <cell r="B150">
            <v>10</v>
          </cell>
          <cell r="C150">
            <v>2018</v>
          </cell>
          <cell r="D150">
            <v>46</v>
          </cell>
          <cell r="E150">
            <v>52</v>
          </cell>
          <cell r="F150">
            <v>3.6253390777000001</v>
          </cell>
          <cell r="G150">
            <v>44.160615550999999</v>
          </cell>
          <cell r="H150">
            <v>6.3644454560000003</v>
          </cell>
          <cell r="I150" t="str">
            <v>Air/Non-Local PT</v>
          </cell>
          <cell r="J150" t="str">
            <v>2017/18</v>
          </cell>
        </row>
        <row r="151">
          <cell r="A151" t="str">
            <v>02 AUCKLAND</v>
          </cell>
          <cell r="B151">
            <v>10</v>
          </cell>
          <cell r="C151">
            <v>2023</v>
          </cell>
          <cell r="D151">
            <v>46</v>
          </cell>
          <cell r="E151">
            <v>52</v>
          </cell>
          <cell r="F151">
            <v>4.1760120080999998</v>
          </cell>
          <cell r="G151">
            <v>49.320631413000001</v>
          </cell>
          <cell r="H151">
            <v>7.2648962681000002</v>
          </cell>
          <cell r="I151" t="str">
            <v>Air/Non-Local PT</v>
          </cell>
          <cell r="J151" t="str">
            <v>2022/23</v>
          </cell>
        </row>
        <row r="152">
          <cell r="A152" t="str">
            <v>02 AUCKLAND</v>
          </cell>
          <cell r="B152">
            <v>10</v>
          </cell>
          <cell r="C152">
            <v>2028</v>
          </cell>
          <cell r="D152">
            <v>46</v>
          </cell>
          <cell r="E152">
            <v>52</v>
          </cell>
          <cell r="F152">
            <v>4.5972161600000003</v>
          </cell>
          <cell r="G152">
            <v>52.904903212999997</v>
          </cell>
          <cell r="H152">
            <v>7.9448510663</v>
          </cell>
          <cell r="I152" t="str">
            <v>Air/Non-Local PT</v>
          </cell>
          <cell r="J152" t="str">
            <v>2027/28</v>
          </cell>
        </row>
        <row r="153">
          <cell r="A153" t="str">
            <v>02 AUCKLAND</v>
          </cell>
          <cell r="B153">
            <v>10</v>
          </cell>
          <cell r="C153">
            <v>2033</v>
          </cell>
          <cell r="D153">
            <v>46</v>
          </cell>
          <cell r="E153">
            <v>52</v>
          </cell>
          <cell r="F153">
            <v>5.0614363704000001</v>
          </cell>
          <cell r="G153">
            <v>54.282445283000001</v>
          </cell>
          <cell r="H153">
            <v>8.7251839426999993</v>
          </cell>
          <cell r="I153" t="str">
            <v>Air/Non-Local PT</v>
          </cell>
          <cell r="J153" t="str">
            <v>2032/33</v>
          </cell>
        </row>
        <row r="154">
          <cell r="A154" t="str">
            <v>02 AUCKLAND</v>
          </cell>
          <cell r="B154">
            <v>10</v>
          </cell>
          <cell r="C154">
            <v>2038</v>
          </cell>
          <cell r="D154">
            <v>46</v>
          </cell>
          <cell r="E154">
            <v>52</v>
          </cell>
          <cell r="F154">
            <v>5.5795440060999999</v>
          </cell>
          <cell r="G154">
            <v>58.084007167999999</v>
          </cell>
          <cell r="H154">
            <v>9.6478104918999996</v>
          </cell>
          <cell r="I154" t="str">
            <v>Air/Non-Local PT</v>
          </cell>
          <cell r="J154" t="str">
            <v>2037/38</v>
          </cell>
        </row>
        <row r="155">
          <cell r="A155" t="str">
            <v>02 AUCKLAND</v>
          </cell>
          <cell r="B155">
            <v>10</v>
          </cell>
          <cell r="C155">
            <v>2043</v>
          </cell>
          <cell r="D155">
            <v>46</v>
          </cell>
          <cell r="E155">
            <v>52</v>
          </cell>
          <cell r="F155">
            <v>6.1039494893999997</v>
          </cell>
          <cell r="G155">
            <v>62.110884007999999</v>
          </cell>
          <cell r="H155">
            <v>10.581375107</v>
          </cell>
          <cell r="I155" t="str">
            <v>Air/Non-Local PT</v>
          </cell>
          <cell r="J155" t="str">
            <v>2042/43</v>
          </cell>
        </row>
        <row r="156">
          <cell r="A156" t="str">
            <v>02 AUCKLAND</v>
          </cell>
          <cell r="B156">
            <v>11</v>
          </cell>
          <cell r="C156">
            <v>2013</v>
          </cell>
          <cell r="D156">
            <v>49</v>
          </cell>
          <cell r="E156">
            <v>220</v>
          </cell>
          <cell r="F156">
            <v>12.895006201999999</v>
          </cell>
          <cell r="G156">
            <v>179.51641304</v>
          </cell>
          <cell r="H156">
            <v>5.2074041506000004</v>
          </cell>
          <cell r="I156" t="str">
            <v>Non-Household Travel</v>
          </cell>
          <cell r="J156" t="str">
            <v>2012/13</v>
          </cell>
        </row>
        <row r="157">
          <cell r="A157" t="str">
            <v>02 AUCKLAND</v>
          </cell>
          <cell r="B157">
            <v>11</v>
          </cell>
          <cell r="C157">
            <v>2018</v>
          </cell>
          <cell r="D157">
            <v>49</v>
          </cell>
          <cell r="E157">
            <v>220</v>
          </cell>
          <cell r="F157">
            <v>14.269898961999999</v>
          </cell>
          <cell r="G157">
            <v>195.53655961999999</v>
          </cell>
          <cell r="H157">
            <v>5.7255063754000002</v>
          </cell>
          <cell r="I157" t="str">
            <v>Non-Household Travel</v>
          </cell>
          <cell r="J157" t="str">
            <v>2017/18</v>
          </cell>
        </row>
        <row r="158">
          <cell r="A158" t="str">
            <v>02 AUCKLAND</v>
          </cell>
          <cell r="B158">
            <v>11</v>
          </cell>
          <cell r="C158">
            <v>2023</v>
          </cell>
          <cell r="D158">
            <v>49</v>
          </cell>
          <cell r="E158">
            <v>220</v>
          </cell>
          <cell r="F158">
            <v>15.119972141</v>
          </cell>
          <cell r="G158">
            <v>204.78646727</v>
          </cell>
          <cell r="H158">
            <v>6.0185847973</v>
          </cell>
          <cell r="I158" t="str">
            <v>Non-Household Travel</v>
          </cell>
          <cell r="J158" t="str">
            <v>2022/23</v>
          </cell>
        </row>
        <row r="159">
          <cell r="A159" t="str">
            <v>02 AUCKLAND</v>
          </cell>
          <cell r="B159">
            <v>11</v>
          </cell>
          <cell r="C159">
            <v>2028</v>
          </cell>
          <cell r="D159">
            <v>49</v>
          </cell>
          <cell r="E159">
            <v>220</v>
          </cell>
          <cell r="F159">
            <v>15.564988656000001</v>
          </cell>
          <cell r="G159">
            <v>207.75818301000001</v>
          </cell>
          <cell r="H159">
            <v>6.1235700618999998</v>
          </cell>
          <cell r="I159" t="str">
            <v>Non-Household Travel</v>
          </cell>
          <cell r="J159" t="str">
            <v>2027/28</v>
          </cell>
        </row>
        <row r="160">
          <cell r="A160" t="str">
            <v>02 AUCKLAND</v>
          </cell>
          <cell r="B160">
            <v>11</v>
          </cell>
          <cell r="C160">
            <v>2033</v>
          </cell>
          <cell r="D160">
            <v>49</v>
          </cell>
          <cell r="E160">
            <v>220</v>
          </cell>
          <cell r="F160">
            <v>16.204297455999999</v>
          </cell>
          <cell r="G160">
            <v>213.32703791</v>
          </cell>
          <cell r="H160">
            <v>6.3336205870000004</v>
          </cell>
          <cell r="I160" t="str">
            <v>Non-Household Travel</v>
          </cell>
          <cell r="J160" t="str">
            <v>2032/33</v>
          </cell>
        </row>
        <row r="161">
          <cell r="A161" t="str">
            <v>02 AUCKLAND</v>
          </cell>
          <cell r="B161">
            <v>11</v>
          </cell>
          <cell r="C161">
            <v>2038</v>
          </cell>
          <cell r="D161">
            <v>49</v>
          </cell>
          <cell r="E161">
            <v>220</v>
          </cell>
          <cell r="F161">
            <v>17.065710446000001</v>
          </cell>
          <cell r="G161">
            <v>222.40549913000001</v>
          </cell>
          <cell r="H161">
            <v>6.6371373481999996</v>
          </cell>
          <cell r="I161" t="str">
            <v>Non-Household Travel</v>
          </cell>
          <cell r="J161" t="str">
            <v>2037/38</v>
          </cell>
        </row>
        <row r="162">
          <cell r="A162" t="str">
            <v>02 AUCKLAND</v>
          </cell>
          <cell r="B162">
            <v>11</v>
          </cell>
          <cell r="C162">
            <v>2043</v>
          </cell>
          <cell r="D162">
            <v>49</v>
          </cell>
          <cell r="E162">
            <v>220</v>
          </cell>
          <cell r="F162">
            <v>17.817238417999999</v>
          </cell>
          <cell r="G162">
            <v>230.04992404999999</v>
          </cell>
          <cell r="H162">
            <v>6.9042081421999999</v>
          </cell>
          <cell r="I162" t="str">
            <v>Non-Household Travel</v>
          </cell>
          <cell r="J162" t="str">
            <v>2042/43</v>
          </cell>
        </row>
        <row r="163">
          <cell r="A163" t="str">
            <v>03 WAIKATO</v>
          </cell>
          <cell r="B163">
            <v>0</v>
          </cell>
          <cell r="C163">
            <v>2013</v>
          </cell>
          <cell r="D163">
            <v>628</v>
          </cell>
          <cell r="E163">
            <v>2089</v>
          </cell>
          <cell r="F163">
            <v>68.689195601999998</v>
          </cell>
          <cell r="G163">
            <v>52.675735545000002</v>
          </cell>
          <cell r="H163">
            <v>13.69170819</v>
          </cell>
          <cell r="I163" t="str">
            <v>Pedestrian</v>
          </cell>
          <cell r="J163" t="str">
            <v>2012/13</v>
          </cell>
        </row>
        <row r="164">
          <cell r="A164" t="str">
            <v>03 WAIKATO</v>
          </cell>
          <cell r="B164">
            <v>0</v>
          </cell>
          <cell r="C164">
            <v>2018</v>
          </cell>
          <cell r="D164">
            <v>628</v>
          </cell>
          <cell r="E164">
            <v>2089</v>
          </cell>
          <cell r="F164">
            <v>73.188301964999994</v>
          </cell>
          <cell r="G164">
            <v>55.911415208999998</v>
          </cell>
          <cell r="H164">
            <v>14.487372998</v>
          </cell>
          <cell r="I164" t="str">
            <v>Pedestrian</v>
          </cell>
          <cell r="J164" t="str">
            <v>2017/18</v>
          </cell>
        </row>
        <row r="165">
          <cell r="A165" t="str">
            <v>03 WAIKATO</v>
          </cell>
          <cell r="B165">
            <v>0</v>
          </cell>
          <cell r="C165">
            <v>2023</v>
          </cell>
          <cell r="D165">
            <v>628</v>
          </cell>
          <cell r="E165">
            <v>2089</v>
          </cell>
          <cell r="F165">
            <v>76.230794062000001</v>
          </cell>
          <cell r="G165">
            <v>58.183017065000001</v>
          </cell>
          <cell r="H165">
            <v>15.054325166</v>
          </cell>
          <cell r="I165" t="str">
            <v>Pedestrian</v>
          </cell>
          <cell r="J165" t="str">
            <v>2022/23</v>
          </cell>
        </row>
        <row r="166">
          <cell r="A166" t="str">
            <v>03 WAIKATO</v>
          </cell>
          <cell r="B166">
            <v>0</v>
          </cell>
          <cell r="C166">
            <v>2028</v>
          </cell>
          <cell r="D166">
            <v>628</v>
          </cell>
          <cell r="E166">
            <v>2089</v>
          </cell>
          <cell r="F166">
            <v>78.502548884999996</v>
          </cell>
          <cell r="G166">
            <v>59.541047353000003</v>
          </cell>
          <cell r="H166">
            <v>15.400432581</v>
          </cell>
          <cell r="I166" t="str">
            <v>Pedestrian</v>
          </cell>
          <cell r="J166" t="str">
            <v>2027/28</v>
          </cell>
        </row>
        <row r="167">
          <cell r="A167" t="str">
            <v>03 WAIKATO</v>
          </cell>
          <cell r="B167">
            <v>0</v>
          </cell>
          <cell r="C167">
            <v>2033</v>
          </cell>
          <cell r="D167">
            <v>628</v>
          </cell>
          <cell r="E167">
            <v>2089</v>
          </cell>
          <cell r="F167">
            <v>80.082227672000002</v>
          </cell>
          <cell r="G167">
            <v>60.242940095999998</v>
          </cell>
          <cell r="H167">
            <v>15.612068894</v>
          </cell>
          <cell r="I167" t="str">
            <v>Pedestrian</v>
          </cell>
          <cell r="J167" t="str">
            <v>2032/33</v>
          </cell>
        </row>
        <row r="168">
          <cell r="A168" t="str">
            <v>03 WAIKATO</v>
          </cell>
          <cell r="B168">
            <v>0</v>
          </cell>
          <cell r="C168">
            <v>2038</v>
          </cell>
          <cell r="D168">
            <v>628</v>
          </cell>
          <cell r="E168">
            <v>2089</v>
          </cell>
          <cell r="F168">
            <v>80.904936926999994</v>
          </cell>
          <cell r="G168">
            <v>60.670447520000003</v>
          </cell>
          <cell r="H168">
            <v>15.710238313</v>
          </cell>
          <cell r="I168" t="str">
            <v>Pedestrian</v>
          </cell>
          <cell r="J168" t="str">
            <v>2037/38</v>
          </cell>
        </row>
        <row r="169">
          <cell r="A169" t="str">
            <v>03 WAIKATO</v>
          </cell>
          <cell r="B169">
            <v>0</v>
          </cell>
          <cell r="C169">
            <v>2043</v>
          </cell>
          <cell r="D169">
            <v>628</v>
          </cell>
          <cell r="E169">
            <v>2089</v>
          </cell>
          <cell r="F169">
            <v>81.408834811000006</v>
          </cell>
          <cell r="G169">
            <v>60.843454364999999</v>
          </cell>
          <cell r="H169">
            <v>15.734247155</v>
          </cell>
          <cell r="I169" t="str">
            <v>Pedestrian</v>
          </cell>
          <cell r="J169" t="str">
            <v>2042/43</v>
          </cell>
        </row>
        <row r="170">
          <cell r="A170" t="str">
            <v>03 WAIKATO</v>
          </cell>
          <cell r="B170">
            <v>1</v>
          </cell>
          <cell r="C170">
            <v>2013</v>
          </cell>
          <cell r="D170">
            <v>60</v>
          </cell>
          <cell r="E170">
            <v>183</v>
          </cell>
          <cell r="F170">
            <v>5.8956498267999997</v>
          </cell>
          <cell r="G170">
            <v>21.829422874999999</v>
          </cell>
          <cell r="H170">
            <v>1.7805943500000001</v>
          </cell>
          <cell r="I170" t="str">
            <v>Cyclist</v>
          </cell>
          <cell r="J170" t="str">
            <v>2012/13</v>
          </cell>
        </row>
        <row r="171">
          <cell r="A171" t="str">
            <v>03 WAIKATO</v>
          </cell>
          <cell r="B171">
            <v>1</v>
          </cell>
          <cell r="C171">
            <v>2018</v>
          </cell>
          <cell r="D171">
            <v>60</v>
          </cell>
          <cell r="E171">
            <v>183</v>
          </cell>
          <cell r="F171">
            <v>6.2723498164000002</v>
          </cell>
          <cell r="G171">
            <v>22.962464419</v>
          </cell>
          <cell r="H171">
            <v>1.9127793846000001</v>
          </cell>
          <cell r="I171" t="str">
            <v>Cyclist</v>
          </cell>
          <cell r="J171" t="str">
            <v>2017/18</v>
          </cell>
        </row>
        <row r="172">
          <cell r="A172" t="str">
            <v>03 WAIKATO</v>
          </cell>
          <cell r="B172">
            <v>1</v>
          </cell>
          <cell r="C172">
            <v>2023</v>
          </cell>
          <cell r="D172">
            <v>60</v>
          </cell>
          <cell r="E172">
            <v>183</v>
          </cell>
          <cell r="F172">
            <v>6.6648311250000001</v>
          </cell>
          <cell r="G172">
            <v>23.962271675</v>
          </cell>
          <cell r="H172">
            <v>2.0412033315999998</v>
          </cell>
          <cell r="I172" t="str">
            <v>Cyclist</v>
          </cell>
          <cell r="J172" t="str">
            <v>2022/23</v>
          </cell>
        </row>
        <row r="173">
          <cell r="A173" t="str">
            <v>03 WAIKATO</v>
          </cell>
          <cell r="B173">
            <v>1</v>
          </cell>
          <cell r="C173">
            <v>2028</v>
          </cell>
          <cell r="D173">
            <v>60</v>
          </cell>
          <cell r="E173">
            <v>183</v>
          </cell>
          <cell r="F173">
            <v>6.9586134670000002</v>
          </cell>
          <cell r="G173">
            <v>24.50879681</v>
          </cell>
          <cell r="H173">
            <v>2.1353845358000001</v>
          </cell>
          <cell r="I173" t="str">
            <v>Cyclist</v>
          </cell>
          <cell r="J173" t="str">
            <v>2027/28</v>
          </cell>
        </row>
        <row r="174">
          <cell r="A174" t="str">
            <v>03 WAIKATO</v>
          </cell>
          <cell r="B174">
            <v>1</v>
          </cell>
          <cell r="C174">
            <v>2033</v>
          </cell>
          <cell r="D174">
            <v>60</v>
          </cell>
          <cell r="E174">
            <v>183</v>
          </cell>
          <cell r="F174">
            <v>7.2918281698999996</v>
          </cell>
          <cell r="G174">
            <v>25.102605004000001</v>
          </cell>
          <cell r="H174">
            <v>2.2379029984000001</v>
          </cell>
          <cell r="I174" t="str">
            <v>Cyclist</v>
          </cell>
          <cell r="J174" t="str">
            <v>2032/33</v>
          </cell>
        </row>
        <row r="175">
          <cell r="A175" t="str">
            <v>03 WAIKATO</v>
          </cell>
          <cell r="B175">
            <v>1</v>
          </cell>
          <cell r="C175">
            <v>2038</v>
          </cell>
          <cell r="D175">
            <v>60</v>
          </cell>
          <cell r="E175">
            <v>183</v>
          </cell>
          <cell r="F175">
            <v>7.7223942429000001</v>
          </cell>
          <cell r="G175">
            <v>25.839488916000001</v>
          </cell>
          <cell r="H175">
            <v>2.3803013839</v>
          </cell>
          <cell r="I175" t="str">
            <v>Cyclist</v>
          </cell>
          <cell r="J175" t="str">
            <v>2037/38</v>
          </cell>
        </row>
        <row r="176">
          <cell r="A176" t="str">
            <v>03 WAIKATO</v>
          </cell>
          <cell r="B176">
            <v>1</v>
          </cell>
          <cell r="C176">
            <v>2043</v>
          </cell>
          <cell r="D176">
            <v>60</v>
          </cell>
          <cell r="E176">
            <v>183</v>
          </cell>
          <cell r="F176">
            <v>8.1720793817999997</v>
          </cell>
          <cell r="G176">
            <v>26.535505400000002</v>
          </cell>
          <cell r="H176">
            <v>2.5303598197000001</v>
          </cell>
          <cell r="I176" t="str">
            <v>Cyclist</v>
          </cell>
          <cell r="J176" t="str">
            <v>2042/43</v>
          </cell>
        </row>
        <row r="177">
          <cell r="A177" t="str">
            <v>03 WAIKATO</v>
          </cell>
          <cell r="B177">
            <v>2</v>
          </cell>
          <cell r="C177">
            <v>2013</v>
          </cell>
          <cell r="D177">
            <v>1302</v>
          </cell>
          <cell r="E177">
            <v>9074</v>
          </cell>
          <cell r="F177">
            <v>305.41478153000003</v>
          </cell>
          <cell r="G177">
            <v>3709.9843593000001</v>
          </cell>
          <cell r="H177">
            <v>82.274552721999996</v>
          </cell>
          <cell r="I177" t="str">
            <v>Light Vehicle Driver</v>
          </cell>
          <cell r="J177" t="str">
            <v>2012/13</v>
          </cell>
        </row>
        <row r="178">
          <cell r="A178" t="str">
            <v>03 WAIKATO</v>
          </cell>
          <cell r="B178">
            <v>2</v>
          </cell>
          <cell r="C178">
            <v>2018</v>
          </cell>
          <cell r="D178">
            <v>1302</v>
          </cell>
          <cell r="E178">
            <v>9074</v>
          </cell>
          <cell r="F178">
            <v>334.75251218</v>
          </cell>
          <cell r="G178">
            <v>4058.5916625</v>
          </cell>
          <cell r="H178">
            <v>90.109977568999994</v>
          </cell>
          <cell r="I178" t="str">
            <v>Light Vehicle Driver</v>
          </cell>
          <cell r="J178" t="str">
            <v>2017/18</v>
          </cell>
        </row>
        <row r="179">
          <cell r="A179" t="str">
            <v>03 WAIKATO</v>
          </cell>
          <cell r="B179">
            <v>2</v>
          </cell>
          <cell r="C179">
            <v>2023</v>
          </cell>
          <cell r="D179">
            <v>1302</v>
          </cell>
          <cell r="E179">
            <v>9074</v>
          </cell>
          <cell r="F179">
            <v>353.93680162999999</v>
          </cell>
          <cell r="G179">
            <v>4292.6326912000004</v>
          </cell>
          <cell r="H179">
            <v>95.227626747000002</v>
          </cell>
          <cell r="I179" t="str">
            <v>Light Vehicle Driver</v>
          </cell>
          <cell r="J179" t="str">
            <v>2022/23</v>
          </cell>
        </row>
        <row r="180">
          <cell r="A180" t="str">
            <v>03 WAIKATO</v>
          </cell>
          <cell r="B180">
            <v>2</v>
          </cell>
          <cell r="C180">
            <v>2028</v>
          </cell>
          <cell r="D180">
            <v>1302</v>
          </cell>
          <cell r="E180">
            <v>9074</v>
          </cell>
          <cell r="F180">
            <v>369.74557141000003</v>
          </cell>
          <cell r="G180">
            <v>4487.5972259</v>
          </cell>
          <cell r="H180">
            <v>99.480809231999999</v>
          </cell>
          <cell r="I180" t="str">
            <v>Light Vehicle Driver</v>
          </cell>
          <cell r="J180" t="str">
            <v>2027/28</v>
          </cell>
        </row>
        <row r="181">
          <cell r="A181" t="str">
            <v>03 WAIKATO</v>
          </cell>
          <cell r="B181">
            <v>2</v>
          </cell>
          <cell r="C181">
            <v>2033</v>
          </cell>
          <cell r="D181">
            <v>1302</v>
          </cell>
          <cell r="E181">
            <v>9074</v>
          </cell>
          <cell r="F181">
            <v>384.10905219</v>
          </cell>
          <cell r="G181">
            <v>4666.1399758999996</v>
          </cell>
          <cell r="H181">
            <v>103.32425698</v>
          </cell>
          <cell r="I181" t="str">
            <v>Light Vehicle Driver</v>
          </cell>
          <cell r="J181" t="str">
            <v>2032/33</v>
          </cell>
        </row>
        <row r="182">
          <cell r="A182" t="str">
            <v>03 WAIKATO</v>
          </cell>
          <cell r="B182">
            <v>2</v>
          </cell>
          <cell r="C182">
            <v>2038</v>
          </cell>
          <cell r="D182">
            <v>1302</v>
          </cell>
          <cell r="E182">
            <v>9074</v>
          </cell>
          <cell r="F182">
            <v>394.09080809</v>
          </cell>
          <cell r="G182">
            <v>4794.3030316000004</v>
          </cell>
          <cell r="H182">
            <v>106.00559839</v>
          </cell>
          <cell r="I182" t="str">
            <v>Light Vehicle Driver</v>
          </cell>
          <cell r="J182" t="str">
            <v>2037/38</v>
          </cell>
        </row>
        <row r="183">
          <cell r="A183" t="str">
            <v>03 WAIKATO</v>
          </cell>
          <cell r="B183">
            <v>2</v>
          </cell>
          <cell r="C183">
            <v>2043</v>
          </cell>
          <cell r="D183">
            <v>1302</v>
          </cell>
          <cell r="E183">
            <v>9074</v>
          </cell>
          <cell r="F183">
            <v>402.71126878000001</v>
          </cell>
          <cell r="G183">
            <v>4907.4889635</v>
          </cell>
          <cell r="H183">
            <v>108.33887279</v>
          </cell>
          <cell r="I183" t="str">
            <v>Light Vehicle Driver</v>
          </cell>
          <cell r="J183" t="str">
            <v>2042/43</v>
          </cell>
        </row>
        <row r="184">
          <cell r="A184" t="str">
            <v>03 WAIKATO</v>
          </cell>
          <cell r="B184">
            <v>3</v>
          </cell>
          <cell r="C184">
            <v>2013</v>
          </cell>
          <cell r="D184">
            <v>931</v>
          </cell>
          <cell r="E184">
            <v>4349</v>
          </cell>
          <cell r="F184">
            <v>139.07206360000001</v>
          </cell>
          <cell r="G184">
            <v>1955.0668243</v>
          </cell>
          <cell r="H184">
            <v>42.037273755000001</v>
          </cell>
          <cell r="I184" t="str">
            <v>Light Vehicle Passenger</v>
          </cell>
          <cell r="J184" t="str">
            <v>2012/13</v>
          </cell>
        </row>
        <row r="185">
          <cell r="A185" t="str">
            <v>03 WAIKATO</v>
          </cell>
          <cell r="B185">
            <v>3</v>
          </cell>
          <cell r="C185">
            <v>2018</v>
          </cell>
          <cell r="D185">
            <v>931</v>
          </cell>
          <cell r="E185">
            <v>4349</v>
          </cell>
          <cell r="F185">
            <v>143.95780173</v>
          </cell>
          <cell r="G185">
            <v>2059.3550424999999</v>
          </cell>
          <cell r="H185">
            <v>44.070316955000003</v>
          </cell>
          <cell r="I185" t="str">
            <v>Light Vehicle Passenger</v>
          </cell>
          <cell r="J185" t="str">
            <v>2017/18</v>
          </cell>
        </row>
        <row r="186">
          <cell r="A186" t="str">
            <v>03 WAIKATO</v>
          </cell>
          <cell r="B186">
            <v>3</v>
          </cell>
          <cell r="C186">
            <v>2023</v>
          </cell>
          <cell r="D186">
            <v>931</v>
          </cell>
          <cell r="E186">
            <v>4349</v>
          </cell>
          <cell r="F186">
            <v>147.20294440000001</v>
          </cell>
          <cell r="G186">
            <v>2124.9436971999999</v>
          </cell>
          <cell r="H186">
            <v>45.370256558999998</v>
          </cell>
          <cell r="I186" t="str">
            <v>Light Vehicle Passenger</v>
          </cell>
          <cell r="J186" t="str">
            <v>2022/23</v>
          </cell>
        </row>
        <row r="187">
          <cell r="A187" t="str">
            <v>03 WAIKATO</v>
          </cell>
          <cell r="B187">
            <v>3</v>
          </cell>
          <cell r="C187">
            <v>2028</v>
          </cell>
          <cell r="D187">
            <v>931</v>
          </cell>
          <cell r="E187">
            <v>4349</v>
          </cell>
          <cell r="F187">
            <v>148.99466699000001</v>
          </cell>
          <cell r="G187">
            <v>2167.9154852000001</v>
          </cell>
          <cell r="H187">
            <v>46.179697982999997</v>
          </cell>
          <cell r="I187" t="str">
            <v>Light Vehicle Passenger</v>
          </cell>
          <cell r="J187" t="str">
            <v>2027/28</v>
          </cell>
        </row>
        <row r="188">
          <cell r="A188" t="str">
            <v>03 WAIKATO</v>
          </cell>
          <cell r="B188">
            <v>3</v>
          </cell>
          <cell r="C188">
            <v>2033</v>
          </cell>
          <cell r="D188">
            <v>931</v>
          </cell>
          <cell r="E188">
            <v>4349</v>
          </cell>
          <cell r="F188">
            <v>151.34993456000001</v>
          </cell>
          <cell r="G188">
            <v>2215.2838719000001</v>
          </cell>
          <cell r="H188">
            <v>47.075623512999996</v>
          </cell>
          <cell r="I188" t="str">
            <v>Light Vehicle Passenger</v>
          </cell>
          <cell r="J188" t="str">
            <v>2032/33</v>
          </cell>
        </row>
        <row r="189">
          <cell r="A189" t="str">
            <v>03 WAIKATO</v>
          </cell>
          <cell r="B189">
            <v>3</v>
          </cell>
          <cell r="C189">
            <v>2038</v>
          </cell>
          <cell r="D189">
            <v>931</v>
          </cell>
          <cell r="E189">
            <v>4349</v>
          </cell>
          <cell r="F189">
            <v>152.66977908000001</v>
          </cell>
          <cell r="G189">
            <v>2244.0856131</v>
          </cell>
          <cell r="H189">
            <v>47.594162482000002</v>
          </cell>
          <cell r="I189" t="str">
            <v>Light Vehicle Passenger</v>
          </cell>
          <cell r="J189" t="str">
            <v>2037/38</v>
          </cell>
        </row>
        <row r="190">
          <cell r="A190" t="str">
            <v>03 WAIKATO</v>
          </cell>
          <cell r="B190">
            <v>3</v>
          </cell>
          <cell r="C190">
            <v>2043</v>
          </cell>
          <cell r="D190">
            <v>931</v>
          </cell>
          <cell r="E190">
            <v>4349</v>
          </cell>
          <cell r="F190">
            <v>153.16863303</v>
          </cell>
          <cell r="G190">
            <v>2260.0942492999998</v>
          </cell>
          <cell r="H190">
            <v>47.838981969999999</v>
          </cell>
          <cell r="I190" t="str">
            <v>Light Vehicle Passenger</v>
          </cell>
          <cell r="J190" t="str">
            <v>2042/43</v>
          </cell>
        </row>
        <row r="191">
          <cell r="A191" t="str">
            <v>03 WAIKATO</v>
          </cell>
          <cell r="B191">
            <v>4</v>
          </cell>
          <cell r="C191">
            <v>2013</v>
          </cell>
          <cell r="D191">
            <v>13</v>
          </cell>
          <cell r="E191">
            <v>20</v>
          </cell>
          <cell r="F191">
            <v>0.69122996950000004</v>
          </cell>
          <cell r="G191">
            <v>2.4426175743999998</v>
          </cell>
          <cell r="H191">
            <v>0.1633822556</v>
          </cell>
          <cell r="J191" t="str">
            <v>2012/13</v>
          </cell>
        </row>
        <row r="192">
          <cell r="A192" t="str">
            <v>03 WAIKATO</v>
          </cell>
          <cell r="B192">
            <v>4</v>
          </cell>
          <cell r="C192">
            <v>2018</v>
          </cell>
          <cell r="D192">
            <v>13</v>
          </cell>
          <cell r="E192">
            <v>20</v>
          </cell>
          <cell r="F192">
            <v>0.82240011349999997</v>
          </cell>
          <cell r="G192">
            <v>3.0155967268000001</v>
          </cell>
          <cell r="H192">
            <v>0.1972573564</v>
          </cell>
          <cell r="J192" t="str">
            <v>2017/18</v>
          </cell>
        </row>
        <row r="193">
          <cell r="A193" t="str">
            <v>03 WAIKATO</v>
          </cell>
          <cell r="B193">
            <v>4</v>
          </cell>
          <cell r="C193">
            <v>2023</v>
          </cell>
          <cell r="D193">
            <v>13</v>
          </cell>
          <cell r="E193">
            <v>20</v>
          </cell>
          <cell r="F193">
            <v>0.9056253273</v>
          </cell>
          <cell r="G193">
            <v>3.4219008758</v>
          </cell>
          <cell r="H193">
            <v>0.22009984699999999</v>
          </cell>
          <cell r="J193" t="str">
            <v>2022/23</v>
          </cell>
        </row>
        <row r="194">
          <cell r="A194" t="str">
            <v>03 WAIKATO</v>
          </cell>
          <cell r="B194">
            <v>4</v>
          </cell>
          <cell r="C194">
            <v>2028</v>
          </cell>
          <cell r="D194">
            <v>13</v>
          </cell>
          <cell r="E194">
            <v>20</v>
          </cell>
          <cell r="F194">
            <v>0.98274026410000004</v>
          </cell>
          <cell r="G194">
            <v>3.8014799571000002</v>
          </cell>
          <cell r="H194">
            <v>0.24211705550000001</v>
          </cell>
          <cell r="J194" t="str">
            <v>2027/28</v>
          </cell>
        </row>
        <row r="195">
          <cell r="A195" t="str">
            <v>03 WAIKATO</v>
          </cell>
          <cell r="B195">
            <v>4</v>
          </cell>
          <cell r="C195">
            <v>2033</v>
          </cell>
          <cell r="D195">
            <v>13</v>
          </cell>
          <cell r="E195">
            <v>20</v>
          </cell>
          <cell r="F195">
            <v>1.0487720523999999</v>
          </cell>
          <cell r="G195">
            <v>4.1119055495000003</v>
          </cell>
          <cell r="H195">
            <v>0.2600321001</v>
          </cell>
          <cell r="J195" t="str">
            <v>2032/33</v>
          </cell>
        </row>
        <row r="196">
          <cell r="A196" t="str">
            <v>03 WAIKATO</v>
          </cell>
          <cell r="B196">
            <v>4</v>
          </cell>
          <cell r="C196">
            <v>2038</v>
          </cell>
          <cell r="D196">
            <v>13</v>
          </cell>
          <cell r="E196">
            <v>20</v>
          </cell>
          <cell r="F196">
            <v>1.0922688433000001</v>
          </cell>
          <cell r="G196">
            <v>4.3095809516000001</v>
          </cell>
          <cell r="H196">
            <v>0.26912257750000002</v>
          </cell>
          <cell r="J196" t="str">
            <v>2037/38</v>
          </cell>
        </row>
        <row r="197">
          <cell r="A197" t="str">
            <v>03 WAIKATO</v>
          </cell>
          <cell r="B197">
            <v>4</v>
          </cell>
          <cell r="C197">
            <v>2043</v>
          </cell>
          <cell r="D197">
            <v>13</v>
          </cell>
          <cell r="E197">
            <v>20</v>
          </cell>
          <cell r="F197">
            <v>1.1357266706</v>
          </cell>
          <cell r="G197">
            <v>4.5120411008000003</v>
          </cell>
          <cell r="H197">
            <v>0.2781883631</v>
          </cell>
          <cell r="J197" t="str">
            <v>2042/43</v>
          </cell>
        </row>
        <row r="198">
          <cell r="A198" t="str">
            <v>03 WAIKATO</v>
          </cell>
          <cell r="B198">
            <v>5</v>
          </cell>
          <cell r="C198">
            <v>2013</v>
          </cell>
          <cell r="D198">
            <v>16</v>
          </cell>
          <cell r="E198">
            <v>51</v>
          </cell>
          <cell r="F198">
            <v>1.8680965575999999</v>
          </cell>
          <cell r="G198">
            <v>38.030338682999997</v>
          </cell>
          <cell r="H198">
            <v>0.60639269429999998</v>
          </cell>
          <cell r="I198" t="str">
            <v>Motorcyclist</v>
          </cell>
          <cell r="J198" t="str">
            <v>2012/13</v>
          </cell>
        </row>
        <row r="199">
          <cell r="A199" t="str">
            <v>03 WAIKATO</v>
          </cell>
          <cell r="B199">
            <v>5</v>
          </cell>
          <cell r="C199">
            <v>2018</v>
          </cell>
          <cell r="D199">
            <v>16</v>
          </cell>
          <cell r="E199">
            <v>51</v>
          </cell>
          <cell r="F199">
            <v>1.8367144203000001</v>
          </cell>
          <cell r="G199">
            <v>39.582526346000002</v>
          </cell>
          <cell r="H199">
            <v>0.61315894500000001</v>
          </cell>
          <cell r="I199" t="str">
            <v>Motorcyclist</v>
          </cell>
          <cell r="J199" t="str">
            <v>2017/18</v>
          </cell>
        </row>
        <row r="200">
          <cell r="A200" t="str">
            <v>03 WAIKATO</v>
          </cell>
          <cell r="B200">
            <v>5</v>
          </cell>
          <cell r="C200">
            <v>2023</v>
          </cell>
          <cell r="D200">
            <v>16</v>
          </cell>
          <cell r="E200">
            <v>51</v>
          </cell>
          <cell r="F200">
            <v>1.8059413273</v>
          </cell>
          <cell r="G200">
            <v>40.370271303000003</v>
          </cell>
          <cell r="H200">
            <v>0.61752044110000004</v>
          </cell>
          <cell r="I200" t="str">
            <v>Motorcyclist</v>
          </cell>
          <cell r="J200" t="str">
            <v>2022/23</v>
          </cell>
        </row>
        <row r="201">
          <cell r="A201" t="str">
            <v>03 WAIKATO</v>
          </cell>
          <cell r="B201">
            <v>5</v>
          </cell>
          <cell r="C201">
            <v>2028</v>
          </cell>
          <cell r="D201">
            <v>16</v>
          </cell>
          <cell r="E201">
            <v>51</v>
          </cell>
          <cell r="F201">
            <v>1.7600682994000001</v>
          </cell>
          <cell r="G201">
            <v>39.660286962999997</v>
          </cell>
          <cell r="H201">
            <v>0.60771714030000001</v>
          </cell>
          <cell r="I201" t="str">
            <v>Motorcyclist</v>
          </cell>
          <cell r="J201" t="str">
            <v>2027/28</v>
          </cell>
        </row>
        <row r="202">
          <cell r="A202" t="str">
            <v>03 WAIKATO</v>
          </cell>
          <cell r="B202">
            <v>5</v>
          </cell>
          <cell r="C202">
            <v>2033</v>
          </cell>
          <cell r="D202">
            <v>16</v>
          </cell>
          <cell r="E202">
            <v>51</v>
          </cell>
          <cell r="F202">
            <v>1.7104633249000001</v>
          </cell>
          <cell r="G202">
            <v>37.705855802999999</v>
          </cell>
          <cell r="H202">
            <v>0.58398822120000005</v>
          </cell>
          <cell r="I202" t="str">
            <v>Motorcyclist</v>
          </cell>
          <cell r="J202" t="str">
            <v>2032/33</v>
          </cell>
        </row>
        <row r="203">
          <cell r="A203" t="str">
            <v>03 WAIKATO</v>
          </cell>
          <cell r="B203">
            <v>5</v>
          </cell>
          <cell r="C203">
            <v>2038</v>
          </cell>
          <cell r="D203">
            <v>16</v>
          </cell>
          <cell r="E203">
            <v>51</v>
          </cell>
          <cell r="F203">
            <v>1.6037273466999999</v>
          </cell>
          <cell r="G203">
            <v>34.221121554</v>
          </cell>
          <cell r="H203">
            <v>0.53521650669999998</v>
          </cell>
          <cell r="I203" t="str">
            <v>Motorcyclist</v>
          </cell>
          <cell r="J203" t="str">
            <v>2037/38</v>
          </cell>
        </row>
        <row r="204">
          <cell r="A204" t="str">
            <v>03 WAIKATO</v>
          </cell>
          <cell r="B204">
            <v>5</v>
          </cell>
          <cell r="C204">
            <v>2043</v>
          </cell>
          <cell r="D204">
            <v>16</v>
          </cell>
          <cell r="E204">
            <v>51</v>
          </cell>
          <cell r="F204">
            <v>1.4956305754000001</v>
          </cell>
          <cell r="G204">
            <v>30.663202500000001</v>
          </cell>
          <cell r="H204">
            <v>0.48553442889999998</v>
          </cell>
          <cell r="I204" t="str">
            <v>Motorcyclist</v>
          </cell>
          <cell r="J204" t="str">
            <v>2042/43</v>
          </cell>
        </row>
        <row r="205">
          <cell r="A205" t="str">
            <v>03 WAIKATO</v>
          </cell>
          <cell r="B205">
            <v>6</v>
          </cell>
          <cell r="C205">
            <v>2013</v>
          </cell>
          <cell r="D205">
            <v>2</v>
          </cell>
          <cell r="E205">
            <v>5</v>
          </cell>
          <cell r="F205">
            <v>0.12019006359999999</v>
          </cell>
          <cell r="G205">
            <v>2.9773519310999998</v>
          </cell>
          <cell r="H205">
            <v>7.0969514100000006E-2</v>
          </cell>
          <cell r="I205" t="str">
            <v>Local Train</v>
          </cell>
          <cell r="J205" t="str">
            <v>2012/13</v>
          </cell>
        </row>
        <row r="206">
          <cell r="A206" t="str">
            <v>03 WAIKATO</v>
          </cell>
          <cell r="B206">
            <v>6</v>
          </cell>
          <cell r="C206">
            <v>2018</v>
          </cell>
          <cell r="D206">
            <v>2</v>
          </cell>
          <cell r="E206">
            <v>5</v>
          </cell>
          <cell r="F206">
            <v>0.12728721579999999</v>
          </cell>
          <cell r="G206">
            <v>3.2575234219999998</v>
          </cell>
          <cell r="H206">
            <v>7.7604885799999995E-2</v>
          </cell>
          <cell r="I206" t="str">
            <v>Local Train</v>
          </cell>
          <cell r="J206" t="str">
            <v>2017/18</v>
          </cell>
        </row>
        <row r="207">
          <cell r="A207" t="str">
            <v>03 WAIKATO</v>
          </cell>
          <cell r="B207">
            <v>6</v>
          </cell>
          <cell r="C207">
            <v>2023</v>
          </cell>
          <cell r="D207">
            <v>2</v>
          </cell>
          <cell r="E207">
            <v>5</v>
          </cell>
          <cell r="F207">
            <v>0.14162232129999999</v>
          </cell>
          <cell r="G207">
            <v>3.8685438181</v>
          </cell>
          <cell r="H207">
            <v>9.2064190099999998E-2</v>
          </cell>
          <cell r="I207" t="str">
            <v>Local Train</v>
          </cell>
          <cell r="J207" t="str">
            <v>2022/23</v>
          </cell>
        </row>
        <row r="208">
          <cell r="A208" t="str">
            <v>03 WAIKATO</v>
          </cell>
          <cell r="B208">
            <v>6</v>
          </cell>
          <cell r="C208">
            <v>2028</v>
          </cell>
          <cell r="D208">
            <v>2</v>
          </cell>
          <cell r="E208">
            <v>5</v>
          </cell>
          <cell r="F208">
            <v>0.15532858599999999</v>
          </cell>
          <cell r="G208">
            <v>4.3969988506000002</v>
          </cell>
          <cell r="H208">
            <v>0.1045829808</v>
          </cell>
          <cell r="I208" t="str">
            <v>Local Train</v>
          </cell>
          <cell r="J208" t="str">
            <v>2027/28</v>
          </cell>
        </row>
        <row r="209">
          <cell r="A209" t="str">
            <v>03 WAIKATO</v>
          </cell>
          <cell r="B209">
            <v>6</v>
          </cell>
          <cell r="C209">
            <v>2033</v>
          </cell>
          <cell r="D209">
            <v>2</v>
          </cell>
          <cell r="E209">
            <v>5</v>
          </cell>
          <cell r="F209">
            <v>0.16528467299999999</v>
          </cell>
          <cell r="G209">
            <v>4.7603271114999997</v>
          </cell>
          <cell r="H209">
            <v>0.1131954416</v>
          </cell>
          <cell r="I209" t="str">
            <v>Local Train</v>
          </cell>
          <cell r="J209" t="str">
            <v>2032/33</v>
          </cell>
        </row>
        <row r="210">
          <cell r="A210" t="str">
            <v>03 WAIKATO</v>
          </cell>
          <cell r="B210">
            <v>6</v>
          </cell>
          <cell r="C210">
            <v>2038</v>
          </cell>
          <cell r="D210">
            <v>2</v>
          </cell>
          <cell r="E210">
            <v>5</v>
          </cell>
          <cell r="F210">
            <v>0.17199228499999999</v>
          </cell>
          <cell r="G210">
            <v>5.0976279561000002</v>
          </cell>
          <cell r="H210">
            <v>0.1211651084</v>
          </cell>
          <cell r="I210" t="str">
            <v>Local Train</v>
          </cell>
          <cell r="J210" t="str">
            <v>2037/38</v>
          </cell>
        </row>
        <row r="211">
          <cell r="A211" t="str">
            <v>03 WAIKATO</v>
          </cell>
          <cell r="B211">
            <v>6</v>
          </cell>
          <cell r="C211">
            <v>2043</v>
          </cell>
          <cell r="D211">
            <v>2</v>
          </cell>
          <cell r="E211">
            <v>5</v>
          </cell>
          <cell r="F211">
            <v>0.17736737250000001</v>
          </cell>
          <cell r="G211">
            <v>5.3820044290000002</v>
          </cell>
          <cell r="H211">
            <v>0.12788143690000001</v>
          </cell>
          <cell r="I211" t="str">
            <v>Local Train</v>
          </cell>
          <cell r="J211" t="str">
            <v>2042/43</v>
          </cell>
        </row>
        <row r="212">
          <cell r="A212" t="str">
            <v>03 WAIKATO</v>
          </cell>
          <cell r="B212">
            <v>7</v>
          </cell>
          <cell r="C212">
            <v>2013</v>
          </cell>
          <cell r="D212">
            <v>81</v>
          </cell>
          <cell r="E212">
            <v>183</v>
          </cell>
          <cell r="F212">
            <v>5.7199103379</v>
          </cell>
          <cell r="G212">
            <v>54.303948532</v>
          </cell>
          <cell r="H212">
            <v>2.2088814398999999</v>
          </cell>
          <cell r="I212" t="str">
            <v>Local Bus</v>
          </cell>
          <cell r="J212" t="str">
            <v>2012/13</v>
          </cell>
        </row>
        <row r="213">
          <cell r="A213" t="str">
            <v>03 WAIKATO</v>
          </cell>
          <cell r="B213">
            <v>7</v>
          </cell>
          <cell r="C213">
            <v>2018</v>
          </cell>
          <cell r="D213">
            <v>81</v>
          </cell>
          <cell r="E213">
            <v>183</v>
          </cell>
          <cell r="F213">
            <v>5.7974363710999999</v>
          </cell>
          <cell r="G213">
            <v>52.211012922000002</v>
          </cell>
          <cell r="H213">
            <v>2.2059838936</v>
          </cell>
          <cell r="I213" t="str">
            <v>Local Bus</v>
          </cell>
          <cell r="J213" t="str">
            <v>2017/18</v>
          </cell>
        </row>
        <row r="214">
          <cell r="A214" t="str">
            <v>03 WAIKATO</v>
          </cell>
          <cell r="B214">
            <v>7</v>
          </cell>
          <cell r="C214">
            <v>2023</v>
          </cell>
          <cell r="D214">
            <v>81</v>
          </cell>
          <cell r="E214">
            <v>183</v>
          </cell>
          <cell r="F214">
            <v>5.7929793319999998</v>
          </cell>
          <cell r="G214">
            <v>51.340808866000003</v>
          </cell>
          <cell r="H214">
            <v>2.1916393963999998</v>
          </cell>
          <cell r="I214" t="str">
            <v>Local Bus</v>
          </cell>
          <cell r="J214" t="str">
            <v>2022/23</v>
          </cell>
        </row>
        <row r="215">
          <cell r="A215" t="str">
            <v>03 WAIKATO</v>
          </cell>
          <cell r="B215">
            <v>7</v>
          </cell>
          <cell r="C215">
            <v>2028</v>
          </cell>
          <cell r="D215">
            <v>81</v>
          </cell>
          <cell r="E215">
            <v>183</v>
          </cell>
          <cell r="F215">
            <v>5.8884810045</v>
          </cell>
          <cell r="G215">
            <v>51.014935751000003</v>
          </cell>
          <cell r="H215">
            <v>2.2092021998</v>
          </cell>
          <cell r="I215" t="str">
            <v>Local Bus</v>
          </cell>
          <cell r="J215" t="str">
            <v>2027/28</v>
          </cell>
        </row>
        <row r="216">
          <cell r="A216" t="str">
            <v>03 WAIKATO</v>
          </cell>
          <cell r="B216">
            <v>7</v>
          </cell>
          <cell r="C216">
            <v>2033</v>
          </cell>
          <cell r="D216">
            <v>81</v>
          </cell>
          <cell r="E216">
            <v>183</v>
          </cell>
          <cell r="F216">
            <v>5.9743234849000002</v>
          </cell>
          <cell r="G216">
            <v>50.441487391999999</v>
          </cell>
          <cell r="H216">
            <v>2.2159903906</v>
          </cell>
          <cell r="I216" t="str">
            <v>Local Bus</v>
          </cell>
          <cell r="J216" t="str">
            <v>2032/33</v>
          </cell>
        </row>
        <row r="217">
          <cell r="A217" t="str">
            <v>03 WAIKATO</v>
          </cell>
          <cell r="B217">
            <v>7</v>
          </cell>
          <cell r="C217">
            <v>2038</v>
          </cell>
          <cell r="D217">
            <v>81</v>
          </cell>
          <cell r="E217">
            <v>183</v>
          </cell>
          <cell r="F217">
            <v>6.0444060360999998</v>
          </cell>
          <cell r="G217">
            <v>49.944348787000003</v>
          </cell>
          <cell r="H217">
            <v>2.2176624336000001</v>
          </cell>
          <cell r="I217" t="str">
            <v>Local Bus</v>
          </cell>
          <cell r="J217" t="str">
            <v>2037/38</v>
          </cell>
        </row>
        <row r="218">
          <cell r="A218" t="str">
            <v>03 WAIKATO</v>
          </cell>
          <cell r="B218">
            <v>7</v>
          </cell>
          <cell r="C218">
            <v>2043</v>
          </cell>
          <cell r="D218">
            <v>81</v>
          </cell>
          <cell r="E218">
            <v>183</v>
          </cell>
          <cell r="F218">
            <v>6.0718038504000003</v>
          </cell>
          <cell r="G218">
            <v>49.117850707000002</v>
          </cell>
          <cell r="H218">
            <v>2.2060898167</v>
          </cell>
          <cell r="I218" t="str">
            <v>Local Bus</v>
          </cell>
          <cell r="J218" t="str">
            <v>2042/43</v>
          </cell>
        </row>
        <row r="219">
          <cell r="A219" t="str">
            <v>03 WAIKATO</v>
          </cell>
          <cell r="B219">
            <v>8</v>
          </cell>
          <cell r="C219">
            <v>2013</v>
          </cell>
          <cell r="D219">
            <v>3</v>
          </cell>
          <cell r="E219">
            <v>7</v>
          </cell>
          <cell r="F219">
            <v>0.2446181519</v>
          </cell>
          <cell r="G219">
            <v>0</v>
          </cell>
          <cell r="H219">
            <v>9.3342661800000004E-2</v>
          </cell>
          <cell r="I219" t="str">
            <v>Local Ferry</v>
          </cell>
          <cell r="J219" t="str">
            <v>2012/13</v>
          </cell>
        </row>
        <row r="220">
          <cell r="A220" t="str">
            <v>03 WAIKATO</v>
          </cell>
          <cell r="B220">
            <v>8</v>
          </cell>
          <cell r="C220">
            <v>2018</v>
          </cell>
          <cell r="D220">
            <v>3</v>
          </cell>
          <cell r="E220">
            <v>7</v>
          </cell>
          <cell r="F220">
            <v>0.2694678204</v>
          </cell>
          <cell r="G220">
            <v>0</v>
          </cell>
          <cell r="H220">
            <v>0.1057073952</v>
          </cell>
          <cell r="I220" t="str">
            <v>Local Ferry</v>
          </cell>
          <cell r="J220" t="str">
            <v>2017/18</v>
          </cell>
        </row>
        <row r="221">
          <cell r="A221" t="str">
            <v>03 WAIKATO</v>
          </cell>
          <cell r="B221">
            <v>8</v>
          </cell>
          <cell r="C221">
            <v>2023</v>
          </cell>
          <cell r="D221">
            <v>3</v>
          </cell>
          <cell r="E221">
            <v>7</v>
          </cell>
          <cell r="F221">
            <v>0.28550085359999999</v>
          </cell>
          <cell r="G221">
            <v>0</v>
          </cell>
          <cell r="H221">
            <v>0.1136315926</v>
          </cell>
          <cell r="I221" t="str">
            <v>Local Ferry</v>
          </cell>
          <cell r="J221" t="str">
            <v>2022/23</v>
          </cell>
        </row>
        <row r="222">
          <cell r="A222" t="str">
            <v>03 WAIKATO</v>
          </cell>
          <cell r="B222">
            <v>8</v>
          </cell>
          <cell r="C222">
            <v>2028</v>
          </cell>
          <cell r="D222">
            <v>3</v>
          </cell>
          <cell r="E222">
            <v>7</v>
          </cell>
          <cell r="F222">
            <v>0.30034907329999999</v>
          </cell>
          <cell r="G222">
            <v>0</v>
          </cell>
          <cell r="H222">
            <v>0.1215173901</v>
          </cell>
          <cell r="I222" t="str">
            <v>Local Ferry</v>
          </cell>
          <cell r="J222" t="str">
            <v>2027/28</v>
          </cell>
        </row>
        <row r="223">
          <cell r="A223" t="str">
            <v>03 WAIKATO</v>
          </cell>
          <cell r="B223">
            <v>8</v>
          </cell>
          <cell r="C223">
            <v>2033</v>
          </cell>
          <cell r="D223">
            <v>3</v>
          </cell>
          <cell r="E223">
            <v>7</v>
          </cell>
          <cell r="F223">
            <v>0.30200889079999998</v>
          </cell>
          <cell r="G223">
            <v>0</v>
          </cell>
          <cell r="H223">
            <v>0.12197092750000001</v>
          </cell>
          <cell r="I223" t="str">
            <v>Local Ferry</v>
          </cell>
          <cell r="J223" t="str">
            <v>2032/33</v>
          </cell>
        </row>
        <row r="224">
          <cell r="A224" t="str">
            <v>03 WAIKATO</v>
          </cell>
          <cell r="B224">
            <v>8</v>
          </cell>
          <cell r="C224">
            <v>2038</v>
          </cell>
          <cell r="D224">
            <v>3</v>
          </cell>
          <cell r="E224">
            <v>7</v>
          </cell>
          <cell r="F224">
            <v>0.28973344210000002</v>
          </cell>
          <cell r="G224">
            <v>0</v>
          </cell>
          <cell r="H224">
            <v>0.1159993605</v>
          </cell>
          <cell r="I224" t="str">
            <v>Local Ferry</v>
          </cell>
          <cell r="J224" t="str">
            <v>2037/38</v>
          </cell>
        </row>
        <row r="225">
          <cell r="A225" t="str">
            <v>03 WAIKATO</v>
          </cell>
          <cell r="B225">
            <v>8</v>
          </cell>
          <cell r="C225">
            <v>2043</v>
          </cell>
          <cell r="D225">
            <v>3</v>
          </cell>
          <cell r="E225">
            <v>7</v>
          </cell>
          <cell r="F225">
            <v>0.27524112169999998</v>
          </cell>
          <cell r="G225">
            <v>0</v>
          </cell>
          <cell r="H225">
            <v>0.1091183938</v>
          </cell>
          <cell r="I225" t="str">
            <v>Local Ferry</v>
          </cell>
          <cell r="J225" t="str">
            <v>2042/43</v>
          </cell>
        </row>
        <row r="226">
          <cell r="A226" t="str">
            <v>03 WAIKATO</v>
          </cell>
          <cell r="B226">
            <v>9</v>
          </cell>
          <cell r="C226">
            <v>2013</v>
          </cell>
          <cell r="D226">
            <v>17</v>
          </cell>
          <cell r="E226">
            <v>46</v>
          </cell>
          <cell r="F226">
            <v>1.8854250596</v>
          </cell>
          <cell r="G226">
            <v>0</v>
          </cell>
          <cell r="H226">
            <v>0.63404452519999999</v>
          </cell>
          <cell r="I226" t="str">
            <v>Other Household Travel</v>
          </cell>
          <cell r="J226" t="str">
            <v>2012/13</v>
          </cell>
        </row>
        <row r="227">
          <cell r="A227" t="str">
            <v>03 WAIKATO</v>
          </cell>
          <cell r="B227">
            <v>9</v>
          </cell>
          <cell r="C227">
            <v>2018</v>
          </cell>
          <cell r="D227">
            <v>17</v>
          </cell>
          <cell r="E227">
            <v>46</v>
          </cell>
          <cell r="F227">
            <v>2.0297609899000002</v>
          </cell>
          <cell r="G227">
            <v>0</v>
          </cell>
          <cell r="H227">
            <v>0.66395639200000001</v>
          </cell>
          <cell r="I227" t="str">
            <v>Other Household Travel</v>
          </cell>
          <cell r="J227" t="str">
            <v>2017/18</v>
          </cell>
        </row>
        <row r="228">
          <cell r="A228" t="str">
            <v>03 WAIKATO</v>
          </cell>
          <cell r="B228">
            <v>9</v>
          </cell>
          <cell r="C228">
            <v>2023</v>
          </cell>
          <cell r="D228">
            <v>17</v>
          </cell>
          <cell r="E228">
            <v>46</v>
          </cell>
          <cell r="F228">
            <v>2.1615781809999999</v>
          </cell>
          <cell r="G228">
            <v>0</v>
          </cell>
          <cell r="H228">
            <v>0.68931484759999995</v>
          </cell>
          <cell r="I228" t="str">
            <v>Other Household Travel</v>
          </cell>
          <cell r="J228" t="str">
            <v>2022/23</v>
          </cell>
        </row>
        <row r="229">
          <cell r="A229" t="str">
            <v>03 WAIKATO</v>
          </cell>
          <cell r="B229">
            <v>9</v>
          </cell>
          <cell r="C229">
            <v>2028</v>
          </cell>
          <cell r="D229">
            <v>17</v>
          </cell>
          <cell r="E229">
            <v>46</v>
          </cell>
          <cell r="F229">
            <v>2.3988338467000001</v>
          </cell>
          <cell r="G229">
            <v>0</v>
          </cell>
          <cell r="H229">
            <v>0.7182072625</v>
          </cell>
          <cell r="I229" t="str">
            <v>Other Household Travel</v>
          </cell>
          <cell r="J229" t="str">
            <v>2027/28</v>
          </cell>
        </row>
        <row r="230">
          <cell r="A230" t="str">
            <v>03 WAIKATO</v>
          </cell>
          <cell r="B230">
            <v>9</v>
          </cell>
          <cell r="C230">
            <v>2033</v>
          </cell>
          <cell r="D230">
            <v>17</v>
          </cell>
          <cell r="E230">
            <v>46</v>
          </cell>
          <cell r="F230">
            <v>2.749688871</v>
          </cell>
          <cell r="G230">
            <v>0</v>
          </cell>
          <cell r="H230">
            <v>0.7580266175</v>
          </cell>
          <cell r="I230" t="str">
            <v>Other Household Travel</v>
          </cell>
          <cell r="J230" t="str">
            <v>2032/33</v>
          </cell>
        </row>
        <row r="231">
          <cell r="A231" t="str">
            <v>03 WAIKATO</v>
          </cell>
          <cell r="B231">
            <v>9</v>
          </cell>
          <cell r="C231">
            <v>2038</v>
          </cell>
          <cell r="D231">
            <v>17</v>
          </cell>
          <cell r="E231">
            <v>46</v>
          </cell>
          <cell r="F231">
            <v>3.1031150538999999</v>
          </cell>
          <cell r="G231">
            <v>0</v>
          </cell>
          <cell r="H231">
            <v>0.80235581349999996</v>
          </cell>
          <cell r="I231" t="str">
            <v>Other Household Travel</v>
          </cell>
          <cell r="J231" t="str">
            <v>2037/38</v>
          </cell>
        </row>
        <row r="232">
          <cell r="A232" t="str">
            <v>03 WAIKATO</v>
          </cell>
          <cell r="B232">
            <v>9</v>
          </cell>
          <cell r="C232">
            <v>2043</v>
          </cell>
          <cell r="D232">
            <v>17</v>
          </cell>
          <cell r="E232">
            <v>46</v>
          </cell>
          <cell r="F232">
            <v>3.4168576693000001</v>
          </cell>
          <cell r="G232">
            <v>0</v>
          </cell>
          <cell r="H232">
            <v>0.83803039960000003</v>
          </cell>
          <cell r="I232" t="str">
            <v>Other Household Travel</v>
          </cell>
          <cell r="J232" t="str">
            <v>2042/43</v>
          </cell>
        </row>
        <row r="233">
          <cell r="A233" t="str">
            <v>03 WAIKATO</v>
          </cell>
          <cell r="B233">
            <v>10</v>
          </cell>
          <cell r="C233">
            <v>2013</v>
          </cell>
          <cell r="D233">
            <v>18</v>
          </cell>
          <cell r="E233">
            <v>32</v>
          </cell>
          <cell r="F233">
            <v>0.92406733060000001</v>
          </cell>
          <cell r="G233">
            <v>54.768337629999998</v>
          </cell>
          <cell r="H233">
            <v>2.3234459650999999</v>
          </cell>
          <cell r="I233" t="str">
            <v>Air/Non-Local PT</v>
          </cell>
          <cell r="J233" t="str">
            <v>2012/13</v>
          </cell>
        </row>
        <row r="234">
          <cell r="A234" t="str">
            <v>03 WAIKATO</v>
          </cell>
          <cell r="B234">
            <v>10</v>
          </cell>
          <cell r="C234">
            <v>2018</v>
          </cell>
          <cell r="D234">
            <v>18</v>
          </cell>
          <cell r="E234">
            <v>32</v>
          </cell>
          <cell r="F234">
            <v>1.0254001501000001</v>
          </cell>
          <cell r="G234">
            <v>58.519535152000003</v>
          </cell>
          <cell r="H234">
            <v>2.5897311071</v>
          </cell>
          <cell r="I234" t="str">
            <v>Air/Non-Local PT</v>
          </cell>
          <cell r="J234" t="str">
            <v>2017/18</v>
          </cell>
        </row>
        <row r="235">
          <cell r="A235" t="str">
            <v>03 WAIKATO</v>
          </cell>
          <cell r="B235">
            <v>10</v>
          </cell>
          <cell r="C235">
            <v>2023</v>
          </cell>
          <cell r="D235">
            <v>18</v>
          </cell>
          <cell r="E235">
            <v>32</v>
          </cell>
          <cell r="F235">
            <v>1.1433761354</v>
          </cell>
          <cell r="G235">
            <v>61.705591978000001</v>
          </cell>
          <cell r="H235">
            <v>2.8340951893000002</v>
          </cell>
          <cell r="I235" t="str">
            <v>Air/Non-Local PT</v>
          </cell>
          <cell r="J235" t="str">
            <v>2022/23</v>
          </cell>
        </row>
        <row r="236">
          <cell r="A236" t="str">
            <v>03 WAIKATO</v>
          </cell>
          <cell r="B236">
            <v>10</v>
          </cell>
          <cell r="C236">
            <v>2028</v>
          </cell>
          <cell r="D236">
            <v>18</v>
          </cell>
          <cell r="E236">
            <v>32</v>
          </cell>
          <cell r="F236">
            <v>1.2665054656000001</v>
          </cell>
          <cell r="G236">
            <v>64.013490872999995</v>
          </cell>
          <cell r="H236">
            <v>3.2052434563999999</v>
          </cell>
          <cell r="I236" t="str">
            <v>Air/Non-Local PT</v>
          </cell>
          <cell r="J236" t="str">
            <v>2027/28</v>
          </cell>
        </row>
        <row r="237">
          <cell r="A237" t="str">
            <v>03 WAIKATO</v>
          </cell>
          <cell r="B237">
            <v>10</v>
          </cell>
          <cell r="C237">
            <v>2033</v>
          </cell>
          <cell r="D237">
            <v>18</v>
          </cell>
          <cell r="E237">
            <v>32</v>
          </cell>
          <cell r="F237">
            <v>1.3601197774</v>
          </cell>
          <cell r="G237">
            <v>66.894668373000002</v>
          </cell>
          <cell r="H237">
            <v>3.4991137982999998</v>
          </cell>
          <cell r="I237" t="str">
            <v>Air/Non-Local PT</v>
          </cell>
          <cell r="J237" t="str">
            <v>2032/33</v>
          </cell>
        </row>
        <row r="238">
          <cell r="A238" t="str">
            <v>03 WAIKATO</v>
          </cell>
          <cell r="B238">
            <v>10</v>
          </cell>
          <cell r="C238">
            <v>2038</v>
          </cell>
          <cell r="D238">
            <v>18</v>
          </cell>
          <cell r="E238">
            <v>32</v>
          </cell>
          <cell r="F238">
            <v>1.4137554697000001</v>
          </cell>
          <cell r="G238">
            <v>69.490180658</v>
          </cell>
          <cell r="H238">
            <v>3.5620390656000001</v>
          </cell>
          <cell r="I238" t="str">
            <v>Air/Non-Local PT</v>
          </cell>
          <cell r="J238" t="str">
            <v>2037/38</v>
          </cell>
        </row>
        <row r="239">
          <cell r="A239" t="str">
            <v>03 WAIKATO</v>
          </cell>
          <cell r="B239">
            <v>10</v>
          </cell>
          <cell r="C239">
            <v>2043</v>
          </cell>
          <cell r="D239">
            <v>18</v>
          </cell>
          <cell r="E239">
            <v>32</v>
          </cell>
          <cell r="F239">
            <v>1.4590705063</v>
          </cell>
          <cell r="G239">
            <v>71.735989257</v>
          </cell>
          <cell r="H239">
            <v>3.5992456377000002</v>
          </cell>
          <cell r="I239" t="str">
            <v>Air/Non-Local PT</v>
          </cell>
          <cell r="J239" t="str">
            <v>2042/43</v>
          </cell>
        </row>
        <row r="240">
          <cell r="A240" t="str">
            <v>03 WAIKATO</v>
          </cell>
          <cell r="B240">
            <v>11</v>
          </cell>
          <cell r="C240">
            <v>2013</v>
          </cell>
          <cell r="D240">
            <v>52</v>
          </cell>
          <cell r="E240">
            <v>244</v>
          </cell>
          <cell r="F240">
            <v>8.7527428694000005</v>
          </cell>
          <cell r="G240">
            <v>166.86894676</v>
          </cell>
          <cell r="H240">
            <v>3.3327759721999999</v>
          </cell>
          <cell r="I240" t="str">
            <v>Non-Household Travel</v>
          </cell>
          <cell r="J240" t="str">
            <v>2012/13</v>
          </cell>
        </row>
        <row r="241">
          <cell r="A241" t="str">
            <v>03 WAIKATO</v>
          </cell>
          <cell r="B241">
            <v>11</v>
          </cell>
          <cell r="C241">
            <v>2018</v>
          </cell>
          <cell r="D241">
            <v>52</v>
          </cell>
          <cell r="E241">
            <v>244</v>
          </cell>
          <cell r="F241">
            <v>9.1104739896000009</v>
          </cell>
          <cell r="G241">
            <v>171.16717632000001</v>
          </cell>
          <cell r="H241">
            <v>3.4369504678</v>
          </cell>
          <cell r="I241" t="str">
            <v>Non-Household Travel</v>
          </cell>
          <cell r="J241" t="str">
            <v>2017/18</v>
          </cell>
        </row>
        <row r="242">
          <cell r="A242" t="str">
            <v>03 WAIKATO</v>
          </cell>
          <cell r="B242">
            <v>11</v>
          </cell>
          <cell r="C242">
            <v>2023</v>
          </cell>
          <cell r="D242">
            <v>52</v>
          </cell>
          <cell r="E242">
            <v>244</v>
          </cell>
          <cell r="F242">
            <v>9.2178153900000002</v>
          </cell>
          <cell r="G242">
            <v>172.85319709999999</v>
          </cell>
          <cell r="H242">
            <v>3.4740804974000001</v>
          </cell>
          <cell r="I242" t="str">
            <v>Non-Household Travel</v>
          </cell>
          <cell r="J242" t="str">
            <v>2022/23</v>
          </cell>
        </row>
        <row r="243">
          <cell r="A243" t="str">
            <v>03 WAIKATO</v>
          </cell>
          <cell r="B243">
            <v>11</v>
          </cell>
          <cell r="C243">
            <v>2028</v>
          </cell>
          <cell r="D243">
            <v>52</v>
          </cell>
          <cell r="E243">
            <v>244</v>
          </cell>
          <cell r="F243">
            <v>9.0269097165000005</v>
          </cell>
          <cell r="G243">
            <v>172.82110206999999</v>
          </cell>
          <cell r="H243">
            <v>3.4581819892999999</v>
          </cell>
          <cell r="I243" t="str">
            <v>Non-Household Travel</v>
          </cell>
          <cell r="J243" t="str">
            <v>2027/28</v>
          </cell>
        </row>
        <row r="244">
          <cell r="A244" t="str">
            <v>03 WAIKATO</v>
          </cell>
          <cell r="B244">
            <v>11</v>
          </cell>
          <cell r="C244">
            <v>2033</v>
          </cell>
          <cell r="D244">
            <v>52</v>
          </cell>
          <cell r="E244">
            <v>244</v>
          </cell>
          <cell r="F244">
            <v>8.8838041950999997</v>
          </cell>
          <cell r="G244">
            <v>174.53595933</v>
          </cell>
          <cell r="H244">
            <v>3.4697887304999999</v>
          </cell>
          <cell r="I244" t="str">
            <v>Non-Household Travel</v>
          </cell>
          <cell r="J244" t="str">
            <v>2032/33</v>
          </cell>
        </row>
        <row r="245">
          <cell r="A245" t="str">
            <v>03 WAIKATO</v>
          </cell>
          <cell r="B245">
            <v>11</v>
          </cell>
          <cell r="C245">
            <v>2038</v>
          </cell>
          <cell r="D245">
            <v>52</v>
          </cell>
          <cell r="E245">
            <v>244</v>
          </cell>
          <cell r="F245">
            <v>8.8122081677999997</v>
          </cell>
          <cell r="G245">
            <v>176.17083041999999</v>
          </cell>
          <cell r="H245">
            <v>3.4936100738000002</v>
          </cell>
          <cell r="I245" t="str">
            <v>Non-Household Travel</v>
          </cell>
          <cell r="J245" t="str">
            <v>2037/38</v>
          </cell>
        </row>
        <row r="246">
          <cell r="A246" t="str">
            <v>03 WAIKATO</v>
          </cell>
          <cell r="B246">
            <v>11</v>
          </cell>
          <cell r="C246">
            <v>2043</v>
          </cell>
          <cell r="D246">
            <v>52</v>
          </cell>
          <cell r="E246">
            <v>244</v>
          </cell>
          <cell r="F246">
            <v>8.7230307867000008</v>
          </cell>
          <cell r="G246">
            <v>177.15643273000001</v>
          </cell>
          <cell r="H246">
            <v>3.5056236911999998</v>
          </cell>
          <cell r="I246" t="str">
            <v>Non-Household Travel</v>
          </cell>
          <cell r="J246" t="str">
            <v>2042/43</v>
          </cell>
        </row>
        <row r="247">
          <cell r="A247" t="str">
            <v>04 BAY OF PLENTY</v>
          </cell>
          <cell r="B247">
            <v>0</v>
          </cell>
          <cell r="C247">
            <v>2013</v>
          </cell>
          <cell r="D247">
            <v>436</v>
          </cell>
          <cell r="E247">
            <v>1419</v>
          </cell>
          <cell r="F247">
            <v>43.402809341999998</v>
          </cell>
          <cell r="G247">
            <v>35.579183637</v>
          </cell>
          <cell r="H247">
            <v>9.1706746114000008</v>
          </cell>
          <cell r="I247" t="str">
            <v>Pedestrian</v>
          </cell>
          <cell r="J247" t="str">
            <v>2012/13</v>
          </cell>
        </row>
        <row r="248">
          <cell r="A248" t="str">
            <v>04 BAY OF PLENTY</v>
          </cell>
          <cell r="B248">
            <v>0</v>
          </cell>
          <cell r="C248">
            <v>2018</v>
          </cell>
          <cell r="D248">
            <v>436</v>
          </cell>
          <cell r="E248">
            <v>1419</v>
          </cell>
          <cell r="F248">
            <v>43.749727192999998</v>
          </cell>
          <cell r="G248">
            <v>35.091949002</v>
          </cell>
          <cell r="H248">
            <v>9.2009536856</v>
          </cell>
          <cell r="I248" t="str">
            <v>Pedestrian</v>
          </cell>
          <cell r="J248" t="str">
            <v>2017/18</v>
          </cell>
        </row>
        <row r="249">
          <cell r="A249" t="str">
            <v>04 BAY OF PLENTY</v>
          </cell>
          <cell r="B249">
            <v>0</v>
          </cell>
          <cell r="C249">
            <v>2023</v>
          </cell>
          <cell r="D249">
            <v>436</v>
          </cell>
          <cell r="E249">
            <v>1419</v>
          </cell>
          <cell r="F249">
            <v>44.805260165</v>
          </cell>
          <cell r="G249">
            <v>35.379661630000001</v>
          </cell>
          <cell r="H249">
            <v>9.3928684310000001</v>
          </cell>
          <cell r="I249" t="str">
            <v>Pedestrian</v>
          </cell>
          <cell r="J249" t="str">
            <v>2022/23</v>
          </cell>
        </row>
        <row r="250">
          <cell r="A250" t="str">
            <v>04 BAY OF PLENTY</v>
          </cell>
          <cell r="B250">
            <v>0</v>
          </cell>
          <cell r="C250">
            <v>2028</v>
          </cell>
          <cell r="D250">
            <v>436</v>
          </cell>
          <cell r="E250">
            <v>1419</v>
          </cell>
          <cell r="F250">
            <v>45.999180668999998</v>
          </cell>
          <cell r="G250">
            <v>35.767243018999999</v>
          </cell>
          <cell r="H250">
            <v>9.5756783884000001</v>
          </cell>
          <cell r="I250" t="str">
            <v>Pedestrian</v>
          </cell>
          <cell r="J250" t="str">
            <v>2027/28</v>
          </cell>
        </row>
        <row r="251">
          <cell r="A251" t="str">
            <v>04 BAY OF PLENTY</v>
          </cell>
          <cell r="B251">
            <v>0</v>
          </cell>
          <cell r="C251">
            <v>2033</v>
          </cell>
          <cell r="D251">
            <v>436</v>
          </cell>
          <cell r="E251">
            <v>1419</v>
          </cell>
          <cell r="F251">
            <v>46.737283198999997</v>
          </cell>
          <cell r="G251">
            <v>35.656544596000003</v>
          </cell>
          <cell r="H251">
            <v>9.6191193388999991</v>
          </cell>
          <cell r="I251" t="str">
            <v>Pedestrian</v>
          </cell>
          <cell r="J251" t="str">
            <v>2032/33</v>
          </cell>
        </row>
        <row r="252">
          <cell r="A252" t="str">
            <v>04 BAY OF PLENTY</v>
          </cell>
          <cell r="B252">
            <v>0</v>
          </cell>
          <cell r="C252">
            <v>2038</v>
          </cell>
          <cell r="D252">
            <v>436</v>
          </cell>
          <cell r="E252">
            <v>1419</v>
          </cell>
          <cell r="F252">
            <v>47.332336519000002</v>
          </cell>
          <cell r="G252">
            <v>35.650290413999997</v>
          </cell>
          <cell r="H252">
            <v>9.6466590879999998</v>
          </cell>
          <cell r="I252" t="str">
            <v>Pedestrian</v>
          </cell>
          <cell r="J252" t="str">
            <v>2037/38</v>
          </cell>
        </row>
        <row r="253">
          <cell r="A253" t="str">
            <v>04 BAY OF PLENTY</v>
          </cell>
          <cell r="B253">
            <v>0</v>
          </cell>
          <cell r="C253">
            <v>2043</v>
          </cell>
          <cell r="D253">
            <v>436</v>
          </cell>
          <cell r="E253">
            <v>1419</v>
          </cell>
          <cell r="F253">
            <v>47.693538171999997</v>
          </cell>
          <cell r="G253">
            <v>35.494976754</v>
          </cell>
          <cell r="H253">
            <v>9.6315181449999994</v>
          </cell>
          <cell r="I253" t="str">
            <v>Pedestrian</v>
          </cell>
          <cell r="J253" t="str">
            <v>2042/43</v>
          </cell>
        </row>
        <row r="254">
          <cell r="A254" t="str">
            <v>04 BAY OF PLENTY</v>
          </cell>
          <cell r="B254">
            <v>1</v>
          </cell>
          <cell r="C254">
            <v>2013</v>
          </cell>
          <cell r="D254">
            <v>53</v>
          </cell>
          <cell r="E254">
            <v>183</v>
          </cell>
          <cell r="F254">
            <v>5.1579391552000002</v>
          </cell>
          <cell r="G254">
            <v>8.5028812633000008</v>
          </cell>
          <cell r="H254">
            <v>0.91801276549999999</v>
          </cell>
          <cell r="I254" t="str">
            <v>Cyclist</v>
          </cell>
          <cell r="J254" t="str">
            <v>2012/13</v>
          </cell>
        </row>
        <row r="255">
          <cell r="A255" t="str">
            <v>04 BAY OF PLENTY</v>
          </cell>
          <cell r="B255">
            <v>1</v>
          </cell>
          <cell r="C255">
            <v>2018</v>
          </cell>
          <cell r="D255">
            <v>53</v>
          </cell>
          <cell r="E255">
            <v>183</v>
          </cell>
          <cell r="F255">
            <v>4.9874518855999996</v>
          </cell>
          <cell r="G255">
            <v>8.2383239123000003</v>
          </cell>
          <cell r="H255">
            <v>0.88038195860000001</v>
          </cell>
          <cell r="I255" t="str">
            <v>Cyclist</v>
          </cell>
          <cell r="J255" t="str">
            <v>2017/18</v>
          </cell>
        </row>
        <row r="256">
          <cell r="A256" t="str">
            <v>04 BAY OF PLENTY</v>
          </cell>
          <cell r="B256">
            <v>1</v>
          </cell>
          <cell r="C256">
            <v>2023</v>
          </cell>
          <cell r="D256">
            <v>53</v>
          </cell>
          <cell r="E256">
            <v>183</v>
          </cell>
          <cell r="F256">
            <v>4.9397313671000003</v>
          </cell>
          <cell r="G256">
            <v>8.1703735748999993</v>
          </cell>
          <cell r="H256">
            <v>0.86697339029999998</v>
          </cell>
          <cell r="I256" t="str">
            <v>Cyclist</v>
          </cell>
          <cell r="J256" t="str">
            <v>2022/23</v>
          </cell>
        </row>
        <row r="257">
          <cell r="A257" t="str">
            <v>04 BAY OF PLENTY</v>
          </cell>
          <cell r="B257">
            <v>1</v>
          </cell>
          <cell r="C257">
            <v>2028</v>
          </cell>
          <cell r="D257">
            <v>53</v>
          </cell>
          <cell r="E257">
            <v>183</v>
          </cell>
          <cell r="F257">
            <v>4.9346495213999999</v>
          </cell>
          <cell r="G257">
            <v>8.1780492083999992</v>
          </cell>
          <cell r="H257">
            <v>0.86228359909999996</v>
          </cell>
          <cell r="I257" t="str">
            <v>Cyclist</v>
          </cell>
          <cell r="J257" t="str">
            <v>2027/28</v>
          </cell>
        </row>
        <row r="258">
          <cell r="A258" t="str">
            <v>04 BAY OF PLENTY</v>
          </cell>
          <cell r="B258">
            <v>1</v>
          </cell>
          <cell r="C258">
            <v>2033</v>
          </cell>
          <cell r="D258">
            <v>53</v>
          </cell>
          <cell r="E258">
            <v>183</v>
          </cell>
          <cell r="F258">
            <v>4.8710989542999998</v>
          </cell>
          <cell r="G258">
            <v>8.0248130994999993</v>
          </cell>
          <cell r="H258">
            <v>0.84520053390000005</v>
          </cell>
          <cell r="I258" t="str">
            <v>Cyclist</v>
          </cell>
          <cell r="J258" t="str">
            <v>2032/33</v>
          </cell>
        </row>
        <row r="259">
          <cell r="A259" t="str">
            <v>04 BAY OF PLENTY</v>
          </cell>
          <cell r="B259">
            <v>1</v>
          </cell>
          <cell r="C259">
            <v>2038</v>
          </cell>
          <cell r="D259">
            <v>53</v>
          </cell>
          <cell r="E259">
            <v>183</v>
          </cell>
          <cell r="F259">
            <v>4.7833141906999996</v>
          </cell>
          <cell r="G259">
            <v>7.9550943397999996</v>
          </cell>
          <cell r="H259">
            <v>0.8272075015</v>
          </cell>
          <cell r="I259" t="str">
            <v>Cyclist</v>
          </cell>
          <cell r="J259" t="str">
            <v>2037/38</v>
          </cell>
        </row>
        <row r="260">
          <cell r="A260" t="str">
            <v>04 BAY OF PLENTY</v>
          </cell>
          <cell r="B260">
            <v>1</v>
          </cell>
          <cell r="C260">
            <v>2043</v>
          </cell>
          <cell r="D260">
            <v>53</v>
          </cell>
          <cell r="E260">
            <v>183</v>
          </cell>
          <cell r="F260">
            <v>4.6777534090000001</v>
          </cell>
          <cell r="G260">
            <v>7.8627291831999999</v>
          </cell>
          <cell r="H260">
            <v>0.80627403860000002</v>
          </cell>
          <cell r="I260" t="str">
            <v>Cyclist</v>
          </cell>
          <cell r="J260" t="str">
            <v>2042/43</v>
          </cell>
        </row>
        <row r="261">
          <cell r="A261" t="str">
            <v>04 BAY OF PLENTY</v>
          </cell>
          <cell r="B261">
            <v>2</v>
          </cell>
          <cell r="C261">
            <v>2013</v>
          </cell>
          <cell r="D261">
            <v>777</v>
          </cell>
          <cell r="E261">
            <v>5260</v>
          </cell>
          <cell r="F261">
            <v>178.59124365</v>
          </cell>
          <cell r="G261">
            <v>1972.0747595</v>
          </cell>
          <cell r="H261">
            <v>45.59682093</v>
          </cell>
          <cell r="I261" t="str">
            <v>Light Vehicle Driver</v>
          </cell>
          <cell r="J261" t="str">
            <v>2012/13</v>
          </cell>
        </row>
        <row r="262">
          <cell r="A262" t="str">
            <v>04 BAY OF PLENTY</v>
          </cell>
          <cell r="B262">
            <v>2</v>
          </cell>
          <cell r="C262">
            <v>2018</v>
          </cell>
          <cell r="D262">
            <v>777</v>
          </cell>
          <cell r="E262">
            <v>5260</v>
          </cell>
          <cell r="F262">
            <v>184.10868529999999</v>
          </cell>
          <cell r="G262">
            <v>2064.0753077999998</v>
          </cell>
          <cell r="H262">
            <v>47.426398153999997</v>
          </cell>
          <cell r="I262" t="str">
            <v>Light Vehicle Driver</v>
          </cell>
          <cell r="J262" t="str">
            <v>2017/18</v>
          </cell>
        </row>
        <row r="263">
          <cell r="A263" t="str">
            <v>04 BAY OF PLENTY</v>
          </cell>
          <cell r="B263">
            <v>2</v>
          </cell>
          <cell r="C263">
            <v>2023</v>
          </cell>
          <cell r="D263">
            <v>777</v>
          </cell>
          <cell r="E263">
            <v>5260</v>
          </cell>
          <cell r="F263">
            <v>192.94495903000001</v>
          </cell>
          <cell r="G263">
            <v>2188.1354393000001</v>
          </cell>
          <cell r="H263">
            <v>50.054401415999997</v>
          </cell>
          <cell r="I263" t="str">
            <v>Light Vehicle Driver</v>
          </cell>
          <cell r="J263" t="str">
            <v>2022/23</v>
          </cell>
        </row>
        <row r="264">
          <cell r="A264" t="str">
            <v>04 BAY OF PLENTY</v>
          </cell>
          <cell r="B264">
            <v>2</v>
          </cell>
          <cell r="C264">
            <v>2028</v>
          </cell>
          <cell r="D264">
            <v>777</v>
          </cell>
          <cell r="E264">
            <v>5260</v>
          </cell>
          <cell r="F264">
            <v>201.15535392999999</v>
          </cell>
          <cell r="G264">
            <v>2299.6263038000002</v>
          </cell>
          <cell r="H264">
            <v>52.470797177999998</v>
          </cell>
          <cell r="I264" t="str">
            <v>Light Vehicle Driver</v>
          </cell>
          <cell r="J264" t="str">
            <v>2027/28</v>
          </cell>
        </row>
        <row r="265">
          <cell r="A265" t="str">
            <v>04 BAY OF PLENTY</v>
          </cell>
          <cell r="B265">
            <v>2</v>
          </cell>
          <cell r="C265">
            <v>2033</v>
          </cell>
          <cell r="D265">
            <v>777</v>
          </cell>
          <cell r="E265">
            <v>5260</v>
          </cell>
          <cell r="F265">
            <v>206.57793831999999</v>
          </cell>
          <cell r="G265">
            <v>2371.1070076999999</v>
          </cell>
          <cell r="H265">
            <v>54.062242671</v>
          </cell>
          <cell r="I265" t="str">
            <v>Light Vehicle Driver</v>
          </cell>
          <cell r="J265" t="str">
            <v>2032/33</v>
          </cell>
        </row>
        <row r="266">
          <cell r="A266" t="str">
            <v>04 BAY OF PLENTY</v>
          </cell>
          <cell r="B266">
            <v>2</v>
          </cell>
          <cell r="C266">
            <v>2038</v>
          </cell>
          <cell r="D266">
            <v>777</v>
          </cell>
          <cell r="E266">
            <v>5260</v>
          </cell>
          <cell r="F266">
            <v>208.58600691000001</v>
          </cell>
          <cell r="G266">
            <v>2396.9395162000001</v>
          </cell>
          <cell r="H266">
            <v>54.713716159000001</v>
          </cell>
          <cell r="I266" t="str">
            <v>Light Vehicle Driver</v>
          </cell>
          <cell r="J266" t="str">
            <v>2037/38</v>
          </cell>
        </row>
        <row r="267">
          <cell r="A267" t="str">
            <v>04 BAY OF PLENTY</v>
          </cell>
          <cell r="B267">
            <v>2</v>
          </cell>
          <cell r="C267">
            <v>2043</v>
          </cell>
          <cell r="D267">
            <v>777</v>
          </cell>
          <cell r="E267">
            <v>5260</v>
          </cell>
          <cell r="F267">
            <v>209.80091168000001</v>
          </cell>
          <cell r="G267">
            <v>2413.4689564</v>
          </cell>
          <cell r="H267">
            <v>55.173960491999999</v>
          </cell>
          <cell r="I267" t="str">
            <v>Light Vehicle Driver</v>
          </cell>
          <cell r="J267" t="str">
            <v>2042/43</v>
          </cell>
        </row>
        <row r="268">
          <cell r="A268" t="str">
            <v>04 BAY OF PLENTY</v>
          </cell>
          <cell r="B268">
            <v>3</v>
          </cell>
          <cell r="C268">
            <v>2013</v>
          </cell>
          <cell r="D268">
            <v>591</v>
          </cell>
          <cell r="E268">
            <v>2668</v>
          </cell>
          <cell r="F268">
            <v>98.719582360000004</v>
          </cell>
          <cell r="G268">
            <v>1385.2330090999999</v>
          </cell>
          <cell r="H268">
            <v>28.895615969000001</v>
          </cell>
          <cell r="I268" t="str">
            <v>Light Vehicle Passenger</v>
          </cell>
          <cell r="J268" t="str">
            <v>2012/13</v>
          </cell>
        </row>
        <row r="269">
          <cell r="A269" t="str">
            <v>04 BAY OF PLENTY</v>
          </cell>
          <cell r="B269">
            <v>3</v>
          </cell>
          <cell r="C269">
            <v>2018</v>
          </cell>
          <cell r="D269">
            <v>591</v>
          </cell>
          <cell r="E269">
            <v>2668</v>
          </cell>
          <cell r="F269">
            <v>97.673571191999997</v>
          </cell>
          <cell r="G269">
            <v>1447.2760802</v>
          </cell>
          <cell r="H269">
            <v>29.645045385</v>
          </cell>
          <cell r="I269" t="str">
            <v>Light Vehicle Passenger</v>
          </cell>
          <cell r="J269" t="str">
            <v>2017/18</v>
          </cell>
        </row>
        <row r="270">
          <cell r="A270" t="str">
            <v>04 BAY OF PLENTY</v>
          </cell>
          <cell r="B270">
            <v>3</v>
          </cell>
          <cell r="C270">
            <v>2023</v>
          </cell>
          <cell r="D270">
            <v>591</v>
          </cell>
          <cell r="E270">
            <v>2668</v>
          </cell>
          <cell r="F270">
            <v>98.044013820999993</v>
          </cell>
          <cell r="G270">
            <v>1513.6325391</v>
          </cell>
          <cell r="H270">
            <v>30.654265426999999</v>
          </cell>
          <cell r="I270" t="str">
            <v>Light Vehicle Passenger</v>
          </cell>
          <cell r="J270" t="str">
            <v>2022/23</v>
          </cell>
        </row>
        <row r="271">
          <cell r="A271" t="str">
            <v>04 BAY OF PLENTY</v>
          </cell>
          <cell r="B271">
            <v>3</v>
          </cell>
          <cell r="C271">
            <v>2028</v>
          </cell>
          <cell r="D271">
            <v>591</v>
          </cell>
          <cell r="E271">
            <v>2668</v>
          </cell>
          <cell r="F271">
            <v>98.776055561000007</v>
          </cell>
          <cell r="G271">
            <v>1565.0249733999999</v>
          </cell>
          <cell r="H271">
            <v>31.490285898</v>
          </cell>
          <cell r="I271" t="str">
            <v>Light Vehicle Passenger</v>
          </cell>
          <cell r="J271" t="str">
            <v>2027/28</v>
          </cell>
        </row>
        <row r="272">
          <cell r="A272" t="str">
            <v>04 BAY OF PLENTY</v>
          </cell>
          <cell r="B272">
            <v>3</v>
          </cell>
          <cell r="C272">
            <v>2033</v>
          </cell>
          <cell r="D272">
            <v>591</v>
          </cell>
          <cell r="E272">
            <v>2668</v>
          </cell>
          <cell r="F272">
            <v>98.957881990999994</v>
          </cell>
          <cell r="G272">
            <v>1590.0374552000001</v>
          </cell>
          <cell r="H272">
            <v>31.879604715999999</v>
          </cell>
          <cell r="I272" t="str">
            <v>Light Vehicle Passenger</v>
          </cell>
          <cell r="J272" t="str">
            <v>2032/33</v>
          </cell>
        </row>
        <row r="273">
          <cell r="A273" t="str">
            <v>04 BAY OF PLENTY</v>
          </cell>
          <cell r="B273">
            <v>3</v>
          </cell>
          <cell r="C273">
            <v>2038</v>
          </cell>
          <cell r="D273">
            <v>591</v>
          </cell>
          <cell r="E273">
            <v>2668</v>
          </cell>
          <cell r="F273">
            <v>98.689899077999996</v>
          </cell>
          <cell r="G273">
            <v>1604.7756535000001</v>
          </cell>
          <cell r="H273">
            <v>32.087578717</v>
          </cell>
          <cell r="I273" t="str">
            <v>Light Vehicle Passenger</v>
          </cell>
          <cell r="J273" t="str">
            <v>2037/38</v>
          </cell>
        </row>
        <row r="274">
          <cell r="A274" t="str">
            <v>04 BAY OF PLENTY</v>
          </cell>
          <cell r="B274">
            <v>3</v>
          </cell>
          <cell r="C274">
            <v>2043</v>
          </cell>
          <cell r="D274">
            <v>591</v>
          </cell>
          <cell r="E274">
            <v>2668</v>
          </cell>
          <cell r="F274">
            <v>98.005694833000007</v>
          </cell>
          <cell r="G274">
            <v>1613.8698139999999</v>
          </cell>
          <cell r="H274">
            <v>32.181512959000003</v>
          </cell>
          <cell r="I274" t="str">
            <v>Light Vehicle Passenger</v>
          </cell>
          <cell r="J274" t="str">
            <v>2042/43</v>
          </cell>
        </row>
        <row r="275">
          <cell r="A275" t="str">
            <v>04 BAY OF PLENTY</v>
          </cell>
          <cell r="B275">
            <v>4</v>
          </cell>
          <cell r="C275">
            <v>2013</v>
          </cell>
          <cell r="D275">
            <v>4</v>
          </cell>
          <cell r="E275">
            <v>8</v>
          </cell>
          <cell r="F275">
            <v>0.15552198610000001</v>
          </cell>
          <cell r="G275">
            <v>0.98369936449999995</v>
          </cell>
          <cell r="H275">
            <v>7.3048454499999999E-2</v>
          </cell>
          <cell r="J275" t="str">
            <v>2012/13</v>
          </cell>
        </row>
        <row r="276">
          <cell r="A276" t="str">
            <v>04 BAY OF PLENTY</v>
          </cell>
          <cell r="B276">
            <v>4</v>
          </cell>
          <cell r="C276">
            <v>2018</v>
          </cell>
          <cell r="D276">
            <v>4</v>
          </cell>
          <cell r="E276">
            <v>8</v>
          </cell>
          <cell r="F276">
            <v>0.1422718728</v>
          </cell>
          <cell r="G276">
            <v>0.89997979139999995</v>
          </cell>
          <cell r="H276">
            <v>6.6834567400000003E-2</v>
          </cell>
          <cell r="J276" t="str">
            <v>2017/18</v>
          </cell>
        </row>
        <row r="277">
          <cell r="A277" t="str">
            <v>04 BAY OF PLENTY</v>
          </cell>
          <cell r="B277">
            <v>4</v>
          </cell>
          <cell r="C277">
            <v>2023</v>
          </cell>
          <cell r="D277">
            <v>4</v>
          </cell>
          <cell r="E277">
            <v>8</v>
          </cell>
          <cell r="F277">
            <v>0.13341823720000001</v>
          </cell>
          <cell r="G277">
            <v>0.8770570607</v>
          </cell>
          <cell r="H277">
            <v>6.5018072800000007E-2</v>
          </cell>
          <cell r="J277" t="str">
            <v>2022/23</v>
          </cell>
        </row>
        <row r="278">
          <cell r="A278" t="str">
            <v>04 BAY OF PLENTY</v>
          </cell>
          <cell r="B278">
            <v>4</v>
          </cell>
          <cell r="C278">
            <v>2028</v>
          </cell>
          <cell r="D278">
            <v>4</v>
          </cell>
          <cell r="E278">
            <v>8</v>
          </cell>
          <cell r="F278">
            <v>0.12898925689999999</v>
          </cell>
          <cell r="G278">
            <v>0.88911281529999997</v>
          </cell>
          <cell r="H278">
            <v>6.5501142100000007E-2</v>
          </cell>
          <cell r="J278" t="str">
            <v>2027/28</v>
          </cell>
        </row>
        <row r="279">
          <cell r="A279" t="str">
            <v>04 BAY OF PLENTY</v>
          </cell>
          <cell r="B279">
            <v>4</v>
          </cell>
          <cell r="C279">
            <v>2033</v>
          </cell>
          <cell r="D279">
            <v>4</v>
          </cell>
          <cell r="E279">
            <v>8</v>
          </cell>
          <cell r="F279">
            <v>0.1245980701</v>
          </cell>
          <cell r="G279">
            <v>0.86073790999999999</v>
          </cell>
          <cell r="H279">
            <v>6.2883809299999996E-2</v>
          </cell>
          <cell r="J279" t="str">
            <v>2032/33</v>
          </cell>
        </row>
        <row r="280">
          <cell r="A280" t="str">
            <v>04 BAY OF PLENTY</v>
          </cell>
          <cell r="B280">
            <v>4</v>
          </cell>
          <cell r="C280">
            <v>2038</v>
          </cell>
          <cell r="D280">
            <v>4</v>
          </cell>
          <cell r="E280">
            <v>8</v>
          </cell>
          <cell r="F280">
            <v>0.1213411397</v>
          </cell>
          <cell r="G280">
            <v>0.83545778150000005</v>
          </cell>
          <cell r="H280">
            <v>6.0937060299999998E-2</v>
          </cell>
          <cell r="J280" t="str">
            <v>2037/38</v>
          </cell>
        </row>
        <row r="281">
          <cell r="A281" t="str">
            <v>04 BAY OF PLENTY</v>
          </cell>
          <cell r="B281">
            <v>4</v>
          </cell>
          <cell r="C281">
            <v>2043</v>
          </cell>
          <cell r="D281">
            <v>4</v>
          </cell>
          <cell r="E281">
            <v>8</v>
          </cell>
          <cell r="F281">
            <v>0.1168292259</v>
          </cell>
          <cell r="G281">
            <v>0.80513026679999999</v>
          </cell>
          <cell r="H281">
            <v>5.8665677499999999E-2</v>
          </cell>
          <cell r="J281" t="str">
            <v>2042/43</v>
          </cell>
        </row>
        <row r="282">
          <cell r="A282" t="str">
            <v>04 BAY OF PLENTY</v>
          </cell>
          <cell r="B282">
            <v>5</v>
          </cell>
          <cell r="C282">
            <v>2013</v>
          </cell>
          <cell r="D282">
            <v>10</v>
          </cell>
          <cell r="E282">
            <v>40</v>
          </cell>
          <cell r="F282">
            <v>0.90641599910000004</v>
          </cell>
          <cell r="G282">
            <v>35.608960758999999</v>
          </cell>
          <cell r="H282">
            <v>0.60409197079999999</v>
          </cell>
          <cell r="I282" t="str">
            <v>Motorcyclist</v>
          </cell>
          <cell r="J282" t="str">
            <v>2012/13</v>
          </cell>
        </row>
        <row r="283">
          <cell r="A283" t="str">
            <v>04 BAY OF PLENTY</v>
          </cell>
          <cell r="B283">
            <v>5</v>
          </cell>
          <cell r="C283">
            <v>2018</v>
          </cell>
          <cell r="D283">
            <v>10</v>
          </cell>
          <cell r="E283">
            <v>40</v>
          </cell>
          <cell r="F283">
            <v>0.95954942519999997</v>
          </cell>
          <cell r="G283">
            <v>38.315136817999999</v>
          </cell>
          <cell r="H283">
            <v>0.64730182879999998</v>
          </cell>
          <cell r="I283" t="str">
            <v>Motorcyclist</v>
          </cell>
          <cell r="J283" t="str">
            <v>2017/18</v>
          </cell>
        </row>
        <row r="284">
          <cell r="A284" t="str">
            <v>04 BAY OF PLENTY</v>
          </cell>
          <cell r="B284">
            <v>5</v>
          </cell>
          <cell r="C284">
            <v>2023</v>
          </cell>
          <cell r="D284">
            <v>10</v>
          </cell>
          <cell r="E284">
            <v>40</v>
          </cell>
          <cell r="F284">
            <v>1.0068221891</v>
          </cell>
          <cell r="G284">
            <v>39.956933358999997</v>
          </cell>
          <cell r="H284">
            <v>0.67441132100000001</v>
          </cell>
          <cell r="I284" t="str">
            <v>Motorcyclist</v>
          </cell>
          <cell r="J284" t="str">
            <v>2022/23</v>
          </cell>
        </row>
        <row r="285">
          <cell r="A285" t="str">
            <v>04 BAY OF PLENTY</v>
          </cell>
          <cell r="B285">
            <v>5</v>
          </cell>
          <cell r="C285">
            <v>2028</v>
          </cell>
          <cell r="D285">
            <v>10</v>
          </cell>
          <cell r="E285">
            <v>40</v>
          </cell>
          <cell r="F285">
            <v>1.0022062250999999</v>
          </cell>
          <cell r="G285">
            <v>39.345682910999997</v>
          </cell>
          <cell r="H285">
            <v>0.66455704260000004</v>
          </cell>
          <cell r="I285" t="str">
            <v>Motorcyclist</v>
          </cell>
          <cell r="J285" t="str">
            <v>2027/28</v>
          </cell>
        </row>
        <row r="286">
          <cell r="A286" t="str">
            <v>04 BAY OF PLENTY</v>
          </cell>
          <cell r="B286">
            <v>5</v>
          </cell>
          <cell r="C286">
            <v>2033</v>
          </cell>
          <cell r="D286">
            <v>10</v>
          </cell>
          <cell r="E286">
            <v>40</v>
          </cell>
          <cell r="F286">
            <v>0.97484416640000005</v>
          </cell>
          <cell r="G286">
            <v>37.776716829999998</v>
          </cell>
          <cell r="H286">
            <v>0.64043070629999999</v>
          </cell>
          <cell r="I286" t="str">
            <v>Motorcyclist</v>
          </cell>
          <cell r="J286" t="str">
            <v>2032/33</v>
          </cell>
        </row>
        <row r="287">
          <cell r="A287" t="str">
            <v>04 BAY OF PLENTY</v>
          </cell>
          <cell r="B287">
            <v>5</v>
          </cell>
          <cell r="C287">
            <v>2038</v>
          </cell>
          <cell r="D287">
            <v>10</v>
          </cell>
          <cell r="E287">
            <v>40</v>
          </cell>
          <cell r="F287">
            <v>0.92808413460000005</v>
          </cell>
          <cell r="G287">
            <v>35.826111204999997</v>
          </cell>
          <cell r="H287">
            <v>0.60995451430000003</v>
          </cell>
          <cell r="I287" t="str">
            <v>Motorcyclist</v>
          </cell>
          <cell r="J287" t="str">
            <v>2037/38</v>
          </cell>
        </row>
        <row r="288">
          <cell r="A288" t="str">
            <v>04 BAY OF PLENTY</v>
          </cell>
          <cell r="B288">
            <v>5</v>
          </cell>
          <cell r="C288">
            <v>2043</v>
          </cell>
          <cell r="D288">
            <v>10</v>
          </cell>
          <cell r="E288">
            <v>40</v>
          </cell>
          <cell r="F288">
            <v>0.88015213839999995</v>
          </cell>
          <cell r="G288">
            <v>33.865968353</v>
          </cell>
          <cell r="H288">
            <v>0.57907037959999996</v>
          </cell>
          <cell r="I288" t="str">
            <v>Motorcyclist</v>
          </cell>
          <cell r="J288" t="str">
            <v>2042/43</v>
          </cell>
        </row>
        <row r="289">
          <cell r="A289" t="str">
            <v>04 BAY OF PLENTY</v>
          </cell>
          <cell r="B289">
            <v>7</v>
          </cell>
          <cell r="C289">
            <v>2013</v>
          </cell>
          <cell r="D289">
            <v>73</v>
          </cell>
          <cell r="E289">
            <v>194</v>
          </cell>
          <cell r="F289">
            <v>7.4672006229000001</v>
          </cell>
          <cell r="G289">
            <v>52.669440211999998</v>
          </cell>
          <cell r="H289">
            <v>2.9412276716000001</v>
          </cell>
          <cell r="I289" t="str">
            <v>Local Bus</v>
          </cell>
          <cell r="J289" t="str">
            <v>2012/13</v>
          </cell>
        </row>
        <row r="290">
          <cell r="A290" t="str">
            <v>04 BAY OF PLENTY</v>
          </cell>
          <cell r="B290">
            <v>7</v>
          </cell>
          <cell r="C290">
            <v>2018</v>
          </cell>
          <cell r="D290">
            <v>73</v>
          </cell>
          <cell r="E290">
            <v>194</v>
          </cell>
          <cell r="F290">
            <v>7.2229718001999998</v>
          </cell>
          <cell r="G290">
            <v>50.020171181000002</v>
          </cell>
          <cell r="H290">
            <v>2.8006844173999998</v>
          </cell>
          <cell r="I290" t="str">
            <v>Local Bus</v>
          </cell>
          <cell r="J290" t="str">
            <v>2017/18</v>
          </cell>
        </row>
        <row r="291">
          <cell r="A291" t="str">
            <v>04 BAY OF PLENTY</v>
          </cell>
          <cell r="B291">
            <v>7</v>
          </cell>
          <cell r="C291">
            <v>2023</v>
          </cell>
          <cell r="D291">
            <v>73</v>
          </cell>
          <cell r="E291">
            <v>194</v>
          </cell>
          <cell r="F291">
            <v>7.0999095605999996</v>
          </cell>
          <cell r="G291">
            <v>48.557222426999999</v>
          </cell>
          <cell r="H291">
            <v>2.7225529141</v>
          </cell>
          <cell r="I291" t="str">
            <v>Local Bus</v>
          </cell>
          <cell r="J291" t="str">
            <v>2022/23</v>
          </cell>
        </row>
        <row r="292">
          <cell r="A292" t="str">
            <v>04 BAY OF PLENTY</v>
          </cell>
          <cell r="B292">
            <v>7</v>
          </cell>
          <cell r="C292">
            <v>2028</v>
          </cell>
          <cell r="D292">
            <v>73</v>
          </cell>
          <cell r="E292">
            <v>194</v>
          </cell>
          <cell r="F292">
            <v>7.0467231054999999</v>
          </cell>
          <cell r="G292">
            <v>47.480551876</v>
          </cell>
          <cell r="H292">
            <v>2.6704240618999999</v>
          </cell>
          <cell r="I292" t="str">
            <v>Local Bus</v>
          </cell>
          <cell r="J292" t="str">
            <v>2027/28</v>
          </cell>
        </row>
        <row r="293">
          <cell r="A293" t="str">
            <v>04 BAY OF PLENTY</v>
          </cell>
          <cell r="B293">
            <v>7</v>
          </cell>
          <cell r="C293">
            <v>2033</v>
          </cell>
          <cell r="D293">
            <v>73</v>
          </cell>
          <cell r="E293">
            <v>194</v>
          </cell>
          <cell r="F293">
            <v>6.9735147179999997</v>
          </cell>
          <cell r="G293">
            <v>45.957881567999998</v>
          </cell>
          <cell r="H293">
            <v>2.6067786280999998</v>
          </cell>
          <cell r="I293" t="str">
            <v>Local Bus</v>
          </cell>
          <cell r="J293" t="str">
            <v>2032/33</v>
          </cell>
        </row>
        <row r="294">
          <cell r="A294" t="str">
            <v>04 BAY OF PLENTY</v>
          </cell>
          <cell r="B294">
            <v>7</v>
          </cell>
          <cell r="C294">
            <v>2038</v>
          </cell>
          <cell r="D294">
            <v>73</v>
          </cell>
          <cell r="E294">
            <v>194</v>
          </cell>
          <cell r="F294">
            <v>6.9433184341</v>
          </cell>
          <cell r="G294">
            <v>45.102182765999999</v>
          </cell>
          <cell r="H294">
            <v>2.5647900414999998</v>
          </cell>
          <cell r="I294" t="str">
            <v>Local Bus</v>
          </cell>
          <cell r="J294" t="str">
            <v>2037/38</v>
          </cell>
        </row>
        <row r="295">
          <cell r="A295" t="str">
            <v>04 BAY OF PLENTY</v>
          </cell>
          <cell r="B295">
            <v>7</v>
          </cell>
          <cell r="C295">
            <v>2043</v>
          </cell>
          <cell r="D295">
            <v>73</v>
          </cell>
          <cell r="E295">
            <v>194</v>
          </cell>
          <cell r="F295">
            <v>6.8728409157000003</v>
          </cell>
          <cell r="G295">
            <v>43.992389525</v>
          </cell>
          <cell r="H295">
            <v>2.5080753930999999</v>
          </cell>
          <cell r="I295" t="str">
            <v>Local Bus</v>
          </cell>
          <cell r="J295" t="str">
            <v>2042/43</v>
          </cell>
        </row>
        <row r="296">
          <cell r="A296" t="str">
            <v>04 BAY OF PLENTY</v>
          </cell>
          <cell r="B296">
            <v>9</v>
          </cell>
          <cell r="C296">
            <v>2013</v>
          </cell>
          <cell r="D296">
            <v>13</v>
          </cell>
          <cell r="E296">
            <v>34</v>
          </cell>
          <cell r="F296">
            <v>0.59853678389999998</v>
          </cell>
          <cell r="G296">
            <v>0</v>
          </cell>
          <cell r="H296">
            <v>0.21279540499999999</v>
          </cell>
          <cell r="I296" t="str">
            <v>Other Household Travel</v>
          </cell>
          <cell r="J296" t="str">
            <v>2012/13</v>
          </cell>
        </row>
        <row r="297">
          <cell r="A297" t="str">
            <v>04 BAY OF PLENTY</v>
          </cell>
          <cell r="B297">
            <v>9</v>
          </cell>
          <cell r="C297">
            <v>2018</v>
          </cell>
          <cell r="D297">
            <v>13</v>
          </cell>
          <cell r="E297">
            <v>34</v>
          </cell>
          <cell r="F297">
            <v>0.5853577042</v>
          </cell>
          <cell r="G297">
            <v>0</v>
          </cell>
          <cell r="H297">
            <v>0.2143916005</v>
          </cell>
          <cell r="I297" t="str">
            <v>Other Household Travel</v>
          </cell>
          <cell r="J297" t="str">
            <v>2017/18</v>
          </cell>
        </row>
        <row r="298">
          <cell r="A298" t="str">
            <v>04 BAY OF PLENTY</v>
          </cell>
          <cell r="B298">
            <v>9</v>
          </cell>
          <cell r="C298">
            <v>2023</v>
          </cell>
          <cell r="D298">
            <v>13</v>
          </cell>
          <cell r="E298">
            <v>34</v>
          </cell>
          <cell r="F298">
            <v>0.55593040299999996</v>
          </cell>
          <cell r="G298">
            <v>0</v>
          </cell>
          <cell r="H298">
            <v>0.2095175141</v>
          </cell>
          <cell r="I298" t="str">
            <v>Other Household Travel</v>
          </cell>
          <cell r="J298" t="str">
            <v>2022/23</v>
          </cell>
        </row>
        <row r="299">
          <cell r="A299" t="str">
            <v>04 BAY OF PLENTY</v>
          </cell>
          <cell r="B299">
            <v>9</v>
          </cell>
          <cell r="C299">
            <v>2028</v>
          </cell>
          <cell r="D299">
            <v>13</v>
          </cell>
          <cell r="E299">
            <v>34</v>
          </cell>
          <cell r="F299">
            <v>0.52618256389999996</v>
          </cell>
          <cell r="G299">
            <v>0</v>
          </cell>
          <cell r="H299">
            <v>0.20322107480000001</v>
          </cell>
          <cell r="I299" t="str">
            <v>Other Household Travel</v>
          </cell>
          <cell r="J299" t="str">
            <v>2027/28</v>
          </cell>
        </row>
        <row r="300">
          <cell r="A300" t="str">
            <v>04 BAY OF PLENTY</v>
          </cell>
          <cell r="B300">
            <v>9</v>
          </cell>
          <cell r="C300">
            <v>2033</v>
          </cell>
          <cell r="D300">
            <v>13</v>
          </cell>
          <cell r="E300">
            <v>34</v>
          </cell>
          <cell r="F300">
            <v>0.50189748899999997</v>
          </cell>
          <cell r="G300">
            <v>0</v>
          </cell>
          <cell r="H300">
            <v>0.19138088170000001</v>
          </cell>
          <cell r="I300" t="str">
            <v>Other Household Travel</v>
          </cell>
          <cell r="J300" t="str">
            <v>2032/33</v>
          </cell>
        </row>
        <row r="301">
          <cell r="A301" t="str">
            <v>04 BAY OF PLENTY</v>
          </cell>
          <cell r="B301">
            <v>9</v>
          </cell>
          <cell r="C301">
            <v>2038</v>
          </cell>
          <cell r="D301">
            <v>13</v>
          </cell>
          <cell r="E301">
            <v>34</v>
          </cell>
          <cell r="F301">
            <v>0.48390236079999999</v>
          </cell>
          <cell r="G301">
            <v>0</v>
          </cell>
          <cell r="H301">
            <v>0.184910728</v>
          </cell>
          <cell r="I301" t="str">
            <v>Other Household Travel</v>
          </cell>
          <cell r="J301" t="str">
            <v>2037/38</v>
          </cell>
        </row>
        <row r="302">
          <cell r="A302" t="str">
            <v>04 BAY OF PLENTY</v>
          </cell>
          <cell r="B302">
            <v>9</v>
          </cell>
          <cell r="C302">
            <v>2043</v>
          </cell>
          <cell r="D302">
            <v>13</v>
          </cell>
          <cell r="E302">
            <v>34</v>
          </cell>
          <cell r="F302">
            <v>0.4643393394</v>
          </cell>
          <cell r="G302">
            <v>0</v>
          </cell>
          <cell r="H302">
            <v>0.177638461</v>
          </cell>
          <cell r="I302" t="str">
            <v>Other Household Travel</v>
          </cell>
          <cell r="J302" t="str">
            <v>2042/43</v>
          </cell>
        </row>
        <row r="303">
          <cell r="A303" t="str">
            <v>04 BAY OF PLENTY</v>
          </cell>
          <cell r="B303">
            <v>10</v>
          </cell>
          <cell r="C303">
            <v>2013</v>
          </cell>
          <cell r="D303">
            <v>10</v>
          </cell>
          <cell r="E303">
            <v>20</v>
          </cell>
          <cell r="F303">
            <v>0.7132672793</v>
          </cell>
          <cell r="G303">
            <v>34.241381883000003</v>
          </cell>
          <cell r="H303">
            <v>1.7899343983</v>
          </cell>
          <cell r="I303" t="str">
            <v>Air/Non-Local PT</v>
          </cell>
          <cell r="J303" t="str">
            <v>2012/13</v>
          </cell>
        </row>
        <row r="304">
          <cell r="A304" t="str">
            <v>04 BAY OF PLENTY</v>
          </cell>
          <cell r="B304">
            <v>10</v>
          </cell>
          <cell r="C304">
            <v>2018</v>
          </cell>
          <cell r="D304">
            <v>10</v>
          </cell>
          <cell r="E304">
            <v>20</v>
          </cell>
          <cell r="F304">
            <v>0.74443794870000002</v>
          </cell>
          <cell r="G304">
            <v>36.605527549999998</v>
          </cell>
          <cell r="H304">
            <v>2.1315612314000001</v>
          </cell>
          <cell r="I304" t="str">
            <v>Air/Non-Local PT</v>
          </cell>
          <cell r="J304" t="str">
            <v>2017/18</v>
          </cell>
        </row>
        <row r="305">
          <cell r="A305" t="str">
            <v>04 BAY OF PLENTY</v>
          </cell>
          <cell r="B305">
            <v>10</v>
          </cell>
          <cell r="C305">
            <v>2023</v>
          </cell>
          <cell r="D305">
            <v>10</v>
          </cell>
          <cell r="E305">
            <v>20</v>
          </cell>
          <cell r="F305">
            <v>0.7790542265</v>
          </cell>
          <cell r="G305">
            <v>38.739281188</v>
          </cell>
          <cell r="H305">
            <v>2.4340122272000002</v>
          </cell>
          <cell r="I305" t="str">
            <v>Air/Non-Local PT</v>
          </cell>
          <cell r="J305" t="str">
            <v>2022/23</v>
          </cell>
        </row>
        <row r="306">
          <cell r="A306" t="str">
            <v>04 BAY OF PLENTY</v>
          </cell>
          <cell r="B306">
            <v>10</v>
          </cell>
          <cell r="C306">
            <v>2028</v>
          </cell>
          <cell r="D306">
            <v>10</v>
          </cell>
          <cell r="E306">
            <v>20</v>
          </cell>
          <cell r="F306">
            <v>0.80506078859999997</v>
          </cell>
          <cell r="G306">
            <v>40.463349653999998</v>
          </cell>
          <cell r="H306">
            <v>2.6152779006000002</v>
          </cell>
          <cell r="I306" t="str">
            <v>Air/Non-Local PT</v>
          </cell>
          <cell r="J306" t="str">
            <v>2027/28</v>
          </cell>
        </row>
        <row r="307">
          <cell r="A307" t="str">
            <v>04 BAY OF PLENTY</v>
          </cell>
          <cell r="B307">
            <v>10</v>
          </cell>
          <cell r="C307">
            <v>2033</v>
          </cell>
          <cell r="D307">
            <v>10</v>
          </cell>
          <cell r="E307">
            <v>20</v>
          </cell>
          <cell r="F307">
            <v>0.81417213850000003</v>
          </cell>
          <cell r="G307">
            <v>41.551235716000001</v>
          </cell>
          <cell r="H307">
            <v>2.6904185829</v>
          </cell>
          <cell r="I307" t="str">
            <v>Air/Non-Local PT</v>
          </cell>
          <cell r="J307" t="str">
            <v>2032/33</v>
          </cell>
        </row>
        <row r="308">
          <cell r="A308" t="str">
            <v>04 BAY OF PLENTY</v>
          </cell>
          <cell r="B308">
            <v>10</v>
          </cell>
          <cell r="C308">
            <v>2038</v>
          </cell>
          <cell r="D308">
            <v>10</v>
          </cell>
          <cell r="E308">
            <v>20</v>
          </cell>
          <cell r="F308">
            <v>0.85171798340000004</v>
          </cell>
          <cell r="G308">
            <v>45.889102512999997</v>
          </cell>
          <cell r="H308">
            <v>2.7685630851999998</v>
          </cell>
          <cell r="I308" t="str">
            <v>Air/Non-Local PT</v>
          </cell>
          <cell r="J308" t="str">
            <v>2037/38</v>
          </cell>
        </row>
        <row r="309">
          <cell r="A309" t="str">
            <v>04 BAY OF PLENTY</v>
          </cell>
          <cell r="B309">
            <v>10</v>
          </cell>
          <cell r="C309">
            <v>2043</v>
          </cell>
          <cell r="D309">
            <v>10</v>
          </cell>
          <cell r="E309">
            <v>20</v>
          </cell>
          <cell r="F309">
            <v>0.88921075360000001</v>
          </cell>
          <cell r="G309">
            <v>50.445577845000003</v>
          </cell>
          <cell r="H309">
            <v>2.8374198648000002</v>
          </cell>
          <cell r="I309" t="str">
            <v>Air/Non-Local PT</v>
          </cell>
          <cell r="J309" t="str">
            <v>2042/43</v>
          </cell>
        </row>
        <row r="310">
          <cell r="A310" t="str">
            <v>04 BAY OF PLENTY</v>
          </cell>
          <cell r="B310">
            <v>11</v>
          </cell>
          <cell r="C310">
            <v>2013</v>
          </cell>
          <cell r="D310">
            <v>6</v>
          </cell>
          <cell r="E310">
            <v>33</v>
          </cell>
          <cell r="F310">
            <v>1.4872690419000001</v>
          </cell>
          <cell r="G310">
            <v>13.901388431999999</v>
          </cell>
          <cell r="H310">
            <v>0.32958292379999998</v>
          </cell>
          <cell r="I310" t="str">
            <v>Non-Household Travel</v>
          </cell>
          <cell r="J310" t="str">
            <v>2012/13</v>
          </cell>
        </row>
        <row r="311">
          <cell r="A311" t="str">
            <v>04 BAY OF PLENTY</v>
          </cell>
          <cell r="B311">
            <v>11</v>
          </cell>
          <cell r="C311">
            <v>2018</v>
          </cell>
          <cell r="D311">
            <v>6</v>
          </cell>
          <cell r="E311">
            <v>33</v>
          </cell>
          <cell r="F311">
            <v>1.5864073910000001</v>
          </cell>
          <cell r="G311">
            <v>13.60787792</v>
          </cell>
          <cell r="H311">
            <v>0.33939279950000001</v>
          </cell>
          <cell r="I311" t="str">
            <v>Non-Household Travel</v>
          </cell>
          <cell r="J311" t="str">
            <v>2017/18</v>
          </cell>
        </row>
        <row r="312">
          <cell r="A312" t="str">
            <v>04 BAY OF PLENTY</v>
          </cell>
          <cell r="B312">
            <v>11</v>
          </cell>
          <cell r="C312">
            <v>2023</v>
          </cell>
          <cell r="D312">
            <v>6</v>
          </cell>
          <cell r="E312">
            <v>33</v>
          </cell>
          <cell r="F312">
            <v>1.6284751308000001</v>
          </cell>
          <cell r="G312">
            <v>13.062091462</v>
          </cell>
          <cell r="H312">
            <v>0.33925528510000003</v>
          </cell>
          <cell r="I312" t="str">
            <v>Non-Household Travel</v>
          </cell>
          <cell r="J312" t="str">
            <v>2022/23</v>
          </cell>
        </row>
        <row r="313">
          <cell r="A313" t="str">
            <v>04 BAY OF PLENTY</v>
          </cell>
          <cell r="B313">
            <v>11</v>
          </cell>
          <cell r="C313">
            <v>2028</v>
          </cell>
          <cell r="D313">
            <v>6</v>
          </cell>
          <cell r="E313">
            <v>33</v>
          </cell>
          <cell r="F313">
            <v>1.5857126776999999</v>
          </cell>
          <cell r="G313">
            <v>12.241926517</v>
          </cell>
          <cell r="H313">
            <v>0.32541571889999998</v>
          </cell>
          <cell r="I313" t="str">
            <v>Non-Household Travel</v>
          </cell>
          <cell r="J313" t="str">
            <v>2027/28</v>
          </cell>
        </row>
        <row r="314">
          <cell r="A314" t="str">
            <v>04 BAY OF PLENTY</v>
          </cell>
          <cell r="B314">
            <v>11</v>
          </cell>
          <cell r="C314">
            <v>2033</v>
          </cell>
          <cell r="D314">
            <v>6</v>
          </cell>
          <cell r="E314">
            <v>33</v>
          </cell>
          <cell r="F314">
            <v>1.5269657365</v>
          </cell>
          <cell r="G314">
            <v>11.669601833</v>
          </cell>
          <cell r="H314">
            <v>0.31206735800000002</v>
          </cell>
          <cell r="I314" t="str">
            <v>Non-Household Travel</v>
          </cell>
          <cell r="J314" t="str">
            <v>2032/33</v>
          </cell>
        </row>
        <row r="315">
          <cell r="A315" t="str">
            <v>04 BAY OF PLENTY</v>
          </cell>
          <cell r="B315">
            <v>11</v>
          </cell>
          <cell r="C315">
            <v>2038</v>
          </cell>
          <cell r="D315">
            <v>6</v>
          </cell>
          <cell r="E315">
            <v>33</v>
          </cell>
          <cell r="F315">
            <v>1.4793713159999999</v>
          </cell>
          <cell r="G315">
            <v>11.296716919</v>
          </cell>
          <cell r="H315">
            <v>0.30256592490000001</v>
          </cell>
          <cell r="I315" t="str">
            <v>Non-Household Travel</v>
          </cell>
          <cell r="J315" t="str">
            <v>2037/38</v>
          </cell>
        </row>
        <row r="316">
          <cell r="A316" t="str">
            <v>04 BAY OF PLENTY</v>
          </cell>
          <cell r="B316">
            <v>11</v>
          </cell>
          <cell r="C316">
            <v>2043</v>
          </cell>
          <cell r="D316">
            <v>6</v>
          </cell>
          <cell r="E316">
            <v>33</v>
          </cell>
          <cell r="F316">
            <v>1.4293067497</v>
          </cell>
          <cell r="G316">
            <v>10.824450626999999</v>
          </cell>
          <cell r="H316">
            <v>0.29172253380000002</v>
          </cell>
          <cell r="I316" t="str">
            <v>Non-Household Travel</v>
          </cell>
          <cell r="J316" t="str">
            <v>2042/43</v>
          </cell>
        </row>
        <row r="317">
          <cell r="A317" t="str">
            <v>05 GISBORNE</v>
          </cell>
          <cell r="B317">
            <v>0</v>
          </cell>
          <cell r="C317">
            <v>2013</v>
          </cell>
          <cell r="D317">
            <v>242</v>
          </cell>
          <cell r="E317">
            <v>910</v>
          </cell>
          <cell r="F317">
            <v>12.564280467</v>
          </cell>
          <cell r="G317">
            <v>7.5635235767999998</v>
          </cell>
          <cell r="H317">
            <v>2.2694063563000002</v>
          </cell>
          <cell r="I317" t="str">
            <v>Pedestrian</v>
          </cell>
          <cell r="J317" t="str">
            <v>2012/13</v>
          </cell>
        </row>
        <row r="318">
          <cell r="A318" t="str">
            <v>05 GISBORNE</v>
          </cell>
          <cell r="B318">
            <v>0</v>
          </cell>
          <cell r="C318">
            <v>2018</v>
          </cell>
          <cell r="D318">
            <v>242</v>
          </cell>
          <cell r="E318">
            <v>910</v>
          </cell>
          <cell r="F318">
            <v>12.142408828000001</v>
          </cell>
          <cell r="G318">
            <v>7.3214013378000002</v>
          </cell>
          <cell r="H318">
            <v>2.1641548165</v>
          </cell>
          <cell r="I318" t="str">
            <v>Pedestrian</v>
          </cell>
          <cell r="J318" t="str">
            <v>2017/18</v>
          </cell>
        </row>
        <row r="319">
          <cell r="A319" t="str">
            <v>05 GISBORNE</v>
          </cell>
          <cell r="B319">
            <v>0</v>
          </cell>
          <cell r="C319">
            <v>2023</v>
          </cell>
          <cell r="D319">
            <v>242</v>
          </cell>
          <cell r="E319">
            <v>910</v>
          </cell>
          <cell r="F319">
            <v>11.767292482</v>
          </cell>
          <cell r="G319">
            <v>7.1354192753000003</v>
          </cell>
          <cell r="H319">
            <v>2.0719221305</v>
          </cell>
          <cell r="I319" t="str">
            <v>Pedestrian</v>
          </cell>
          <cell r="J319" t="str">
            <v>2022/23</v>
          </cell>
        </row>
        <row r="320">
          <cell r="A320" t="str">
            <v>05 GISBORNE</v>
          </cell>
          <cell r="B320">
            <v>0</v>
          </cell>
          <cell r="C320">
            <v>2028</v>
          </cell>
          <cell r="D320">
            <v>242</v>
          </cell>
          <cell r="E320">
            <v>910</v>
          </cell>
          <cell r="F320">
            <v>11.476670889999999</v>
          </cell>
          <cell r="G320">
            <v>7.0845506903000004</v>
          </cell>
          <cell r="H320">
            <v>2.0198531966000002</v>
          </cell>
          <cell r="I320" t="str">
            <v>Pedestrian</v>
          </cell>
          <cell r="J320" t="str">
            <v>2027/28</v>
          </cell>
        </row>
        <row r="321">
          <cell r="A321" t="str">
            <v>05 GISBORNE</v>
          </cell>
          <cell r="B321">
            <v>0</v>
          </cell>
          <cell r="C321">
            <v>2033</v>
          </cell>
          <cell r="D321">
            <v>242</v>
          </cell>
          <cell r="E321">
            <v>910</v>
          </cell>
          <cell r="F321">
            <v>11.121824289999999</v>
          </cell>
          <cell r="G321">
            <v>7.0042001376999998</v>
          </cell>
          <cell r="H321">
            <v>1.9644710477</v>
          </cell>
          <cell r="I321" t="str">
            <v>Pedestrian</v>
          </cell>
          <cell r="J321" t="str">
            <v>2032/33</v>
          </cell>
        </row>
        <row r="322">
          <cell r="A322" t="str">
            <v>05 GISBORNE</v>
          </cell>
          <cell r="B322">
            <v>0</v>
          </cell>
          <cell r="C322">
            <v>2038</v>
          </cell>
          <cell r="D322">
            <v>242</v>
          </cell>
          <cell r="E322">
            <v>910</v>
          </cell>
          <cell r="F322">
            <v>10.745820267999999</v>
          </cell>
          <cell r="G322">
            <v>6.8425320151999998</v>
          </cell>
          <cell r="H322">
            <v>1.901496155</v>
          </cell>
          <cell r="I322" t="str">
            <v>Pedestrian</v>
          </cell>
          <cell r="J322" t="str">
            <v>2037/38</v>
          </cell>
        </row>
        <row r="323">
          <cell r="A323" t="str">
            <v>05 GISBORNE</v>
          </cell>
          <cell r="B323">
            <v>0</v>
          </cell>
          <cell r="C323">
            <v>2043</v>
          </cell>
          <cell r="D323">
            <v>242</v>
          </cell>
          <cell r="E323">
            <v>910</v>
          </cell>
          <cell r="F323">
            <v>10.370735619</v>
          </cell>
          <cell r="G323">
            <v>6.7007903966000004</v>
          </cell>
          <cell r="H323">
            <v>1.8387176058000001</v>
          </cell>
          <cell r="I323" t="str">
            <v>Pedestrian</v>
          </cell>
          <cell r="J323" t="str">
            <v>2042/43</v>
          </cell>
        </row>
        <row r="324">
          <cell r="A324" t="str">
            <v>05 GISBORNE</v>
          </cell>
          <cell r="B324">
            <v>1</v>
          </cell>
          <cell r="C324">
            <v>2013</v>
          </cell>
          <cell r="D324">
            <v>27</v>
          </cell>
          <cell r="E324">
            <v>100</v>
          </cell>
          <cell r="F324">
            <v>1.1119455742</v>
          </cell>
          <cell r="G324">
            <v>3.8031873472000002</v>
          </cell>
          <cell r="H324">
            <v>0.28046850410000002</v>
          </cell>
          <cell r="I324" t="str">
            <v>Cyclist</v>
          </cell>
          <cell r="J324" t="str">
            <v>2012/13</v>
          </cell>
        </row>
        <row r="325">
          <cell r="A325" t="str">
            <v>05 GISBORNE</v>
          </cell>
          <cell r="B325">
            <v>1</v>
          </cell>
          <cell r="C325">
            <v>2018</v>
          </cell>
          <cell r="D325">
            <v>27</v>
          </cell>
          <cell r="E325">
            <v>100</v>
          </cell>
          <cell r="F325">
            <v>1.0683317897</v>
          </cell>
          <cell r="G325">
            <v>3.4550945738999999</v>
          </cell>
          <cell r="H325">
            <v>0.26040143449999997</v>
          </cell>
          <cell r="I325" t="str">
            <v>Cyclist</v>
          </cell>
          <cell r="J325" t="str">
            <v>2017/18</v>
          </cell>
        </row>
        <row r="326">
          <cell r="A326" t="str">
            <v>05 GISBORNE</v>
          </cell>
          <cell r="B326">
            <v>1</v>
          </cell>
          <cell r="C326">
            <v>2023</v>
          </cell>
          <cell r="D326">
            <v>27</v>
          </cell>
          <cell r="E326">
            <v>100</v>
          </cell>
          <cell r="F326">
            <v>1.0468345075000001</v>
          </cell>
          <cell r="G326">
            <v>3.2670618392000002</v>
          </cell>
          <cell r="H326">
            <v>0.2472953483</v>
          </cell>
          <cell r="I326" t="str">
            <v>Cyclist</v>
          </cell>
          <cell r="J326" t="str">
            <v>2022/23</v>
          </cell>
        </row>
        <row r="327">
          <cell r="A327" t="str">
            <v>05 GISBORNE</v>
          </cell>
          <cell r="B327">
            <v>1</v>
          </cell>
          <cell r="C327">
            <v>2028</v>
          </cell>
          <cell r="D327">
            <v>27</v>
          </cell>
          <cell r="E327">
            <v>100</v>
          </cell>
          <cell r="F327">
            <v>1.0269517094</v>
          </cell>
          <cell r="G327">
            <v>3.1325375879999999</v>
          </cell>
          <cell r="H327">
            <v>0.23550375069999999</v>
          </cell>
          <cell r="I327" t="str">
            <v>Cyclist</v>
          </cell>
          <cell r="J327" t="str">
            <v>2027/28</v>
          </cell>
        </row>
        <row r="328">
          <cell r="A328" t="str">
            <v>05 GISBORNE</v>
          </cell>
          <cell r="B328">
            <v>1</v>
          </cell>
          <cell r="C328">
            <v>2033</v>
          </cell>
          <cell r="D328">
            <v>27</v>
          </cell>
          <cell r="E328">
            <v>100</v>
          </cell>
          <cell r="F328">
            <v>0.98680121229999995</v>
          </cell>
          <cell r="G328">
            <v>2.9482601467</v>
          </cell>
          <cell r="H328">
            <v>0.22260464660000001</v>
          </cell>
          <cell r="I328" t="str">
            <v>Cyclist</v>
          </cell>
          <cell r="J328" t="str">
            <v>2032/33</v>
          </cell>
        </row>
        <row r="329">
          <cell r="A329" t="str">
            <v>05 GISBORNE</v>
          </cell>
          <cell r="B329">
            <v>1</v>
          </cell>
          <cell r="C329">
            <v>2038</v>
          </cell>
          <cell r="D329">
            <v>27</v>
          </cell>
          <cell r="E329">
            <v>100</v>
          </cell>
          <cell r="F329">
            <v>0.94008986439999997</v>
          </cell>
          <cell r="G329">
            <v>2.7203872609999999</v>
          </cell>
          <cell r="H329">
            <v>0.20927199660000001</v>
          </cell>
          <cell r="I329" t="str">
            <v>Cyclist</v>
          </cell>
          <cell r="J329" t="str">
            <v>2037/38</v>
          </cell>
        </row>
        <row r="330">
          <cell r="A330" t="str">
            <v>05 GISBORNE</v>
          </cell>
          <cell r="B330">
            <v>1</v>
          </cell>
          <cell r="C330">
            <v>2043</v>
          </cell>
          <cell r="D330">
            <v>27</v>
          </cell>
          <cell r="E330">
            <v>100</v>
          </cell>
          <cell r="F330">
            <v>0.89187500519999996</v>
          </cell>
          <cell r="G330">
            <v>2.4983628373000002</v>
          </cell>
          <cell r="H330">
            <v>0.1958051804</v>
          </cell>
          <cell r="I330" t="str">
            <v>Cyclist</v>
          </cell>
          <cell r="J330" t="str">
            <v>2042/43</v>
          </cell>
        </row>
        <row r="331">
          <cell r="A331" t="str">
            <v>05 GISBORNE</v>
          </cell>
          <cell r="B331">
            <v>2</v>
          </cell>
          <cell r="C331">
            <v>2013</v>
          </cell>
          <cell r="D331">
            <v>319</v>
          </cell>
          <cell r="E331">
            <v>2307</v>
          </cell>
          <cell r="F331">
            <v>28.776347379000001</v>
          </cell>
          <cell r="G331">
            <v>241.40144318</v>
          </cell>
          <cell r="H331">
            <v>6.0182660548999998</v>
          </cell>
          <cell r="I331" t="str">
            <v>Light Vehicle Driver</v>
          </cell>
          <cell r="J331" t="str">
            <v>2012/13</v>
          </cell>
        </row>
        <row r="332">
          <cell r="A332" t="str">
            <v>05 GISBORNE</v>
          </cell>
          <cell r="B332">
            <v>2</v>
          </cell>
          <cell r="C332">
            <v>2018</v>
          </cell>
          <cell r="D332">
            <v>319</v>
          </cell>
          <cell r="E332">
            <v>2307</v>
          </cell>
          <cell r="F332">
            <v>29.443132583000001</v>
          </cell>
          <cell r="G332">
            <v>251.56359605</v>
          </cell>
          <cell r="H332">
            <v>6.2491095284</v>
          </cell>
          <cell r="I332" t="str">
            <v>Light Vehicle Driver</v>
          </cell>
          <cell r="J332" t="str">
            <v>2017/18</v>
          </cell>
        </row>
        <row r="333">
          <cell r="A333" t="str">
            <v>05 GISBORNE</v>
          </cell>
          <cell r="B333">
            <v>2</v>
          </cell>
          <cell r="C333">
            <v>2023</v>
          </cell>
          <cell r="D333">
            <v>319</v>
          </cell>
          <cell r="E333">
            <v>2307</v>
          </cell>
          <cell r="F333">
            <v>29.525948649</v>
          </cell>
          <cell r="G333">
            <v>254.27543401</v>
          </cell>
          <cell r="H333">
            <v>6.3254718859999999</v>
          </cell>
          <cell r="I333" t="str">
            <v>Light Vehicle Driver</v>
          </cell>
          <cell r="J333" t="str">
            <v>2022/23</v>
          </cell>
        </row>
        <row r="334">
          <cell r="A334" t="str">
            <v>05 GISBORNE</v>
          </cell>
          <cell r="B334">
            <v>2</v>
          </cell>
          <cell r="C334">
            <v>2028</v>
          </cell>
          <cell r="D334">
            <v>319</v>
          </cell>
          <cell r="E334">
            <v>2307</v>
          </cell>
          <cell r="F334">
            <v>29.310806385999999</v>
          </cell>
          <cell r="G334">
            <v>253.19937268999999</v>
          </cell>
          <cell r="H334">
            <v>6.3241445859000001</v>
          </cell>
          <cell r="I334" t="str">
            <v>Light Vehicle Driver</v>
          </cell>
          <cell r="J334" t="str">
            <v>2027/28</v>
          </cell>
        </row>
        <row r="335">
          <cell r="A335" t="str">
            <v>05 GISBORNE</v>
          </cell>
          <cell r="B335">
            <v>2</v>
          </cell>
          <cell r="C335">
            <v>2033</v>
          </cell>
          <cell r="D335">
            <v>319</v>
          </cell>
          <cell r="E335">
            <v>2307</v>
          </cell>
          <cell r="F335">
            <v>28.926517855</v>
          </cell>
          <cell r="G335">
            <v>251.24364360999999</v>
          </cell>
          <cell r="H335">
            <v>6.2854819881999999</v>
          </cell>
          <cell r="I335" t="str">
            <v>Light Vehicle Driver</v>
          </cell>
          <cell r="J335" t="str">
            <v>2032/33</v>
          </cell>
        </row>
        <row r="336">
          <cell r="A336" t="str">
            <v>05 GISBORNE</v>
          </cell>
          <cell r="B336">
            <v>2</v>
          </cell>
          <cell r="C336">
            <v>2038</v>
          </cell>
          <cell r="D336">
            <v>319</v>
          </cell>
          <cell r="E336">
            <v>2307</v>
          </cell>
          <cell r="F336">
            <v>28.561166501999999</v>
          </cell>
          <cell r="G336">
            <v>249.18902521000001</v>
          </cell>
          <cell r="H336">
            <v>6.2443405288999996</v>
          </cell>
          <cell r="I336" t="str">
            <v>Light Vehicle Driver</v>
          </cell>
          <cell r="J336" t="str">
            <v>2037/38</v>
          </cell>
        </row>
        <row r="337">
          <cell r="A337" t="str">
            <v>05 GISBORNE</v>
          </cell>
          <cell r="B337">
            <v>2</v>
          </cell>
          <cell r="C337">
            <v>2043</v>
          </cell>
          <cell r="D337">
            <v>319</v>
          </cell>
          <cell r="E337">
            <v>2307</v>
          </cell>
          <cell r="F337">
            <v>28.121779471</v>
          </cell>
          <cell r="G337">
            <v>246.26123222000001</v>
          </cell>
          <cell r="H337">
            <v>6.1860664785999999</v>
          </cell>
          <cell r="I337" t="str">
            <v>Light Vehicle Driver</v>
          </cell>
          <cell r="J337" t="str">
            <v>2042/43</v>
          </cell>
        </row>
        <row r="338">
          <cell r="A338" t="str">
            <v>05 GISBORNE</v>
          </cell>
          <cell r="B338">
            <v>3</v>
          </cell>
          <cell r="C338">
            <v>2013</v>
          </cell>
          <cell r="D338">
            <v>278</v>
          </cell>
          <cell r="E338">
            <v>1431</v>
          </cell>
          <cell r="F338">
            <v>18.791024854</v>
          </cell>
          <cell r="G338">
            <v>174.74236519999999</v>
          </cell>
          <cell r="H338">
            <v>4.5909579553000004</v>
          </cell>
          <cell r="I338" t="str">
            <v>Light Vehicle Passenger</v>
          </cell>
          <cell r="J338" t="str">
            <v>2012/13</v>
          </cell>
        </row>
        <row r="339">
          <cell r="A339" t="str">
            <v>05 GISBORNE</v>
          </cell>
          <cell r="B339">
            <v>3</v>
          </cell>
          <cell r="C339">
            <v>2018</v>
          </cell>
          <cell r="D339">
            <v>278</v>
          </cell>
          <cell r="E339">
            <v>1431</v>
          </cell>
          <cell r="F339">
            <v>17.671432620000001</v>
          </cell>
          <cell r="G339">
            <v>165.91769871</v>
          </cell>
          <cell r="H339">
            <v>4.3965142607000001</v>
          </cell>
          <cell r="I339" t="str">
            <v>Light Vehicle Passenger</v>
          </cell>
          <cell r="J339" t="str">
            <v>2017/18</v>
          </cell>
        </row>
        <row r="340">
          <cell r="A340" t="str">
            <v>05 GISBORNE</v>
          </cell>
          <cell r="B340">
            <v>3</v>
          </cell>
          <cell r="C340">
            <v>2023</v>
          </cell>
          <cell r="D340">
            <v>278</v>
          </cell>
          <cell r="E340">
            <v>1431</v>
          </cell>
          <cell r="F340">
            <v>16.709269882000001</v>
          </cell>
          <cell r="G340">
            <v>158.59136022000001</v>
          </cell>
          <cell r="H340">
            <v>4.2195789627</v>
          </cell>
          <cell r="I340" t="str">
            <v>Light Vehicle Passenger</v>
          </cell>
          <cell r="J340" t="str">
            <v>2022/23</v>
          </cell>
        </row>
        <row r="341">
          <cell r="A341" t="str">
            <v>05 GISBORNE</v>
          </cell>
          <cell r="B341">
            <v>3</v>
          </cell>
          <cell r="C341">
            <v>2028</v>
          </cell>
          <cell r="D341">
            <v>278</v>
          </cell>
          <cell r="E341">
            <v>1431</v>
          </cell>
          <cell r="F341">
            <v>16.001085391</v>
          </cell>
          <cell r="G341">
            <v>154.27993871000001</v>
          </cell>
          <cell r="H341">
            <v>4.1145001251000002</v>
          </cell>
          <cell r="I341" t="str">
            <v>Light Vehicle Passenger</v>
          </cell>
          <cell r="J341" t="str">
            <v>2027/28</v>
          </cell>
        </row>
        <row r="342">
          <cell r="A342" t="str">
            <v>05 GISBORNE</v>
          </cell>
          <cell r="B342">
            <v>3</v>
          </cell>
          <cell r="C342">
            <v>2033</v>
          </cell>
          <cell r="D342">
            <v>278</v>
          </cell>
          <cell r="E342">
            <v>1431</v>
          </cell>
          <cell r="F342">
            <v>15.359200202</v>
          </cell>
          <cell r="G342">
            <v>148.29510931999999</v>
          </cell>
          <cell r="H342">
            <v>3.9722447651000001</v>
          </cell>
          <cell r="I342" t="str">
            <v>Light Vehicle Passenger</v>
          </cell>
          <cell r="J342" t="str">
            <v>2032/33</v>
          </cell>
        </row>
        <row r="343">
          <cell r="A343" t="str">
            <v>05 GISBORNE</v>
          </cell>
          <cell r="B343">
            <v>3</v>
          </cell>
          <cell r="C343">
            <v>2038</v>
          </cell>
          <cell r="D343">
            <v>278</v>
          </cell>
          <cell r="E343">
            <v>1431</v>
          </cell>
          <cell r="F343">
            <v>14.893223539999999</v>
          </cell>
          <cell r="G343">
            <v>143.30285739999999</v>
          </cell>
          <cell r="H343">
            <v>3.8820178683000002</v>
          </cell>
          <cell r="I343" t="str">
            <v>Light Vehicle Passenger</v>
          </cell>
          <cell r="J343" t="str">
            <v>2037/38</v>
          </cell>
        </row>
        <row r="344">
          <cell r="A344" t="str">
            <v>05 GISBORNE</v>
          </cell>
          <cell r="B344">
            <v>3</v>
          </cell>
          <cell r="C344">
            <v>2043</v>
          </cell>
          <cell r="D344">
            <v>278</v>
          </cell>
          <cell r="E344">
            <v>1431</v>
          </cell>
          <cell r="F344">
            <v>14.392162568</v>
          </cell>
          <cell r="G344">
            <v>137.94193118000001</v>
          </cell>
          <cell r="H344">
            <v>3.7841423748</v>
          </cell>
          <cell r="I344" t="str">
            <v>Light Vehicle Passenger</v>
          </cell>
          <cell r="J344" t="str">
            <v>2042/43</v>
          </cell>
        </row>
        <row r="345">
          <cell r="A345" t="str">
            <v>05 GISBORNE</v>
          </cell>
          <cell r="B345">
            <v>4</v>
          </cell>
          <cell r="C345">
            <v>2013</v>
          </cell>
          <cell r="D345">
            <v>2</v>
          </cell>
          <cell r="E345">
            <v>2</v>
          </cell>
          <cell r="F345">
            <v>2.27015811E-2</v>
          </cell>
          <cell r="G345">
            <v>0.1174510768</v>
          </cell>
          <cell r="H345">
            <v>5.0534828E-3</v>
          </cell>
          <cell r="J345" t="str">
            <v>2012/13</v>
          </cell>
        </row>
        <row r="346">
          <cell r="A346" t="str">
            <v>05 GISBORNE</v>
          </cell>
          <cell r="B346">
            <v>4</v>
          </cell>
          <cell r="C346">
            <v>2018</v>
          </cell>
          <cell r="D346">
            <v>2</v>
          </cell>
          <cell r="E346">
            <v>2</v>
          </cell>
          <cell r="F346">
            <v>2.4811977400000001E-2</v>
          </cell>
          <cell r="G346">
            <v>0.1638076577</v>
          </cell>
          <cell r="H346">
            <v>6.8502542000000001E-3</v>
          </cell>
          <cell r="J346" t="str">
            <v>2017/18</v>
          </cell>
        </row>
        <row r="347">
          <cell r="A347" t="str">
            <v>05 GISBORNE</v>
          </cell>
          <cell r="B347">
            <v>4</v>
          </cell>
          <cell r="C347">
            <v>2023</v>
          </cell>
          <cell r="D347">
            <v>2</v>
          </cell>
          <cell r="E347">
            <v>2</v>
          </cell>
          <cell r="F347">
            <v>2.9629036300000001E-2</v>
          </cell>
          <cell r="G347">
            <v>0.23694604799999999</v>
          </cell>
          <cell r="H347">
            <v>9.7280309999999998E-3</v>
          </cell>
          <cell r="J347" t="str">
            <v>2022/23</v>
          </cell>
        </row>
        <row r="348">
          <cell r="A348" t="str">
            <v>05 GISBORNE</v>
          </cell>
          <cell r="B348">
            <v>4</v>
          </cell>
          <cell r="C348">
            <v>2028</v>
          </cell>
          <cell r="D348">
            <v>2</v>
          </cell>
          <cell r="E348">
            <v>2</v>
          </cell>
          <cell r="F348">
            <v>3.7503022300000001E-2</v>
          </cell>
          <cell r="G348">
            <v>0.34430738779999998</v>
          </cell>
          <cell r="H348">
            <v>1.39755626E-2</v>
          </cell>
          <cell r="J348" t="str">
            <v>2027/28</v>
          </cell>
        </row>
        <row r="349">
          <cell r="A349" t="str">
            <v>05 GISBORNE</v>
          </cell>
          <cell r="B349">
            <v>4</v>
          </cell>
          <cell r="C349">
            <v>2033</v>
          </cell>
          <cell r="D349">
            <v>2</v>
          </cell>
          <cell r="E349">
            <v>2</v>
          </cell>
          <cell r="F349">
            <v>4.5445870399999998E-2</v>
          </cell>
          <cell r="G349">
            <v>0.46271353910000002</v>
          </cell>
          <cell r="H349">
            <v>1.8638658499999999E-2</v>
          </cell>
          <cell r="J349" t="str">
            <v>2032/33</v>
          </cell>
        </row>
        <row r="350">
          <cell r="A350" t="str">
            <v>05 GISBORNE</v>
          </cell>
          <cell r="B350">
            <v>4</v>
          </cell>
          <cell r="C350">
            <v>2038</v>
          </cell>
          <cell r="D350">
            <v>2</v>
          </cell>
          <cell r="E350">
            <v>2</v>
          </cell>
          <cell r="F350">
            <v>5.17664787E-2</v>
          </cell>
          <cell r="G350">
            <v>0.54845742289999999</v>
          </cell>
          <cell r="H350">
            <v>2.2031865599999999E-2</v>
          </cell>
          <cell r="J350" t="str">
            <v>2037/38</v>
          </cell>
        </row>
        <row r="351">
          <cell r="A351" t="str">
            <v>05 GISBORNE</v>
          </cell>
          <cell r="B351">
            <v>4</v>
          </cell>
          <cell r="C351">
            <v>2043</v>
          </cell>
          <cell r="D351">
            <v>2</v>
          </cell>
          <cell r="E351">
            <v>2</v>
          </cell>
          <cell r="F351">
            <v>5.9023290700000001E-2</v>
          </cell>
          <cell r="G351">
            <v>0.64775924309999999</v>
          </cell>
          <cell r="H351">
            <v>2.5959785799999999E-2</v>
          </cell>
          <cell r="J351" t="str">
            <v>2042/43</v>
          </cell>
        </row>
        <row r="352">
          <cell r="A352" t="str">
            <v>05 GISBORNE</v>
          </cell>
          <cell r="B352">
            <v>5</v>
          </cell>
          <cell r="C352">
            <v>2013</v>
          </cell>
          <cell r="D352">
            <v>3</v>
          </cell>
          <cell r="E352">
            <v>16</v>
          </cell>
          <cell r="F352">
            <v>0.20072163900000001</v>
          </cell>
          <cell r="G352">
            <v>0.95186353219999997</v>
          </cell>
          <cell r="H352">
            <v>4.6418087199999999E-2</v>
          </cell>
          <cell r="I352" t="str">
            <v>Motorcyclist</v>
          </cell>
          <cell r="J352" t="str">
            <v>2012/13</v>
          </cell>
        </row>
        <row r="353">
          <cell r="A353" t="str">
            <v>05 GISBORNE</v>
          </cell>
          <cell r="B353">
            <v>5</v>
          </cell>
          <cell r="C353">
            <v>2018</v>
          </cell>
          <cell r="D353">
            <v>3</v>
          </cell>
          <cell r="E353">
            <v>16</v>
          </cell>
          <cell r="F353">
            <v>0.2021256957</v>
          </cell>
          <cell r="G353">
            <v>0.98749501529999995</v>
          </cell>
          <cell r="H353">
            <v>4.68425944E-2</v>
          </cell>
          <cell r="I353" t="str">
            <v>Motorcyclist</v>
          </cell>
          <cell r="J353" t="str">
            <v>2017/18</v>
          </cell>
        </row>
        <row r="354">
          <cell r="A354" t="str">
            <v>05 GISBORNE</v>
          </cell>
          <cell r="B354">
            <v>5</v>
          </cell>
          <cell r="C354">
            <v>2023</v>
          </cell>
          <cell r="D354">
            <v>3</v>
          </cell>
          <cell r="E354">
            <v>16</v>
          </cell>
          <cell r="F354">
            <v>0.19350012259999999</v>
          </cell>
          <cell r="G354">
            <v>0.97068374609999997</v>
          </cell>
          <cell r="H354">
            <v>4.4957090800000002E-2</v>
          </cell>
          <cell r="I354" t="str">
            <v>Motorcyclist</v>
          </cell>
          <cell r="J354" t="str">
            <v>2022/23</v>
          </cell>
        </row>
        <row r="355">
          <cell r="A355" t="str">
            <v>05 GISBORNE</v>
          </cell>
          <cell r="B355">
            <v>5</v>
          </cell>
          <cell r="C355">
            <v>2028</v>
          </cell>
          <cell r="D355">
            <v>3</v>
          </cell>
          <cell r="E355">
            <v>16</v>
          </cell>
          <cell r="F355">
            <v>0.17843270510000001</v>
          </cell>
          <cell r="G355">
            <v>0.92017352600000002</v>
          </cell>
          <cell r="H355">
            <v>4.1729614200000001E-2</v>
          </cell>
          <cell r="I355" t="str">
            <v>Motorcyclist</v>
          </cell>
          <cell r="J355" t="str">
            <v>2027/28</v>
          </cell>
        </row>
        <row r="356">
          <cell r="A356" t="str">
            <v>05 GISBORNE</v>
          </cell>
          <cell r="B356">
            <v>5</v>
          </cell>
          <cell r="C356">
            <v>2033</v>
          </cell>
          <cell r="D356">
            <v>3</v>
          </cell>
          <cell r="E356">
            <v>16</v>
          </cell>
          <cell r="F356">
            <v>0.16463461169999999</v>
          </cell>
          <cell r="G356">
            <v>0.85173746500000003</v>
          </cell>
          <cell r="H356">
            <v>3.8688853799999999E-2</v>
          </cell>
          <cell r="I356" t="str">
            <v>Motorcyclist</v>
          </cell>
          <cell r="J356" t="str">
            <v>2032/33</v>
          </cell>
        </row>
        <row r="357">
          <cell r="A357" t="str">
            <v>05 GISBORNE</v>
          </cell>
          <cell r="B357">
            <v>5</v>
          </cell>
          <cell r="C357">
            <v>2038</v>
          </cell>
          <cell r="D357">
            <v>3</v>
          </cell>
          <cell r="E357">
            <v>16</v>
          </cell>
          <cell r="F357">
            <v>0.1536602088</v>
          </cell>
          <cell r="G357">
            <v>0.78405372780000004</v>
          </cell>
          <cell r="H357">
            <v>3.6190141199999998E-2</v>
          </cell>
          <cell r="I357" t="str">
            <v>Motorcyclist</v>
          </cell>
          <cell r="J357" t="str">
            <v>2037/38</v>
          </cell>
        </row>
        <row r="358">
          <cell r="A358" t="str">
            <v>05 GISBORNE</v>
          </cell>
          <cell r="B358">
            <v>5</v>
          </cell>
          <cell r="C358">
            <v>2043</v>
          </cell>
          <cell r="D358">
            <v>3</v>
          </cell>
          <cell r="E358">
            <v>16</v>
          </cell>
          <cell r="F358">
            <v>0.14195436249999999</v>
          </cell>
          <cell r="G358">
            <v>0.71635773290000004</v>
          </cell>
          <cell r="H358">
            <v>3.3522573700000002E-2</v>
          </cell>
          <cell r="I358" t="str">
            <v>Motorcyclist</v>
          </cell>
          <cell r="J358" t="str">
            <v>2042/43</v>
          </cell>
        </row>
        <row r="359">
          <cell r="A359" t="str">
            <v>05 GISBORNE</v>
          </cell>
          <cell r="B359">
            <v>6</v>
          </cell>
          <cell r="C359">
            <v>2013</v>
          </cell>
          <cell r="D359">
            <v>1</v>
          </cell>
          <cell r="E359">
            <v>3</v>
          </cell>
          <cell r="F359">
            <v>2.2764127700000001E-2</v>
          </cell>
          <cell r="G359">
            <v>0</v>
          </cell>
          <cell r="H359">
            <v>2.5293475000000001E-3</v>
          </cell>
          <cell r="I359" t="str">
            <v>Local Train</v>
          </cell>
          <cell r="J359" t="str">
            <v>2012/13</v>
          </cell>
        </row>
        <row r="360">
          <cell r="A360" t="str">
            <v>05 GISBORNE</v>
          </cell>
          <cell r="B360">
            <v>6</v>
          </cell>
          <cell r="C360">
            <v>2018</v>
          </cell>
          <cell r="D360">
            <v>1</v>
          </cell>
          <cell r="E360">
            <v>3</v>
          </cell>
          <cell r="F360">
            <v>3.4434643500000001E-2</v>
          </cell>
          <cell r="G360">
            <v>0</v>
          </cell>
          <cell r="H360">
            <v>3.8260715000000001E-3</v>
          </cell>
          <cell r="I360" t="str">
            <v>Local Train</v>
          </cell>
          <cell r="J360" t="str">
            <v>2017/18</v>
          </cell>
        </row>
        <row r="361">
          <cell r="A361" t="str">
            <v>05 GISBORNE</v>
          </cell>
          <cell r="B361">
            <v>6</v>
          </cell>
          <cell r="C361">
            <v>2023</v>
          </cell>
          <cell r="D361">
            <v>1</v>
          </cell>
          <cell r="E361">
            <v>3</v>
          </cell>
          <cell r="F361">
            <v>5.2264401500000002E-2</v>
          </cell>
          <cell r="G361">
            <v>0</v>
          </cell>
          <cell r="H361">
            <v>5.8071557000000003E-3</v>
          </cell>
          <cell r="I361" t="str">
            <v>Local Train</v>
          </cell>
          <cell r="J361" t="str">
            <v>2022/23</v>
          </cell>
        </row>
        <row r="362">
          <cell r="A362" t="str">
            <v>05 GISBORNE</v>
          </cell>
          <cell r="B362">
            <v>6</v>
          </cell>
          <cell r="C362">
            <v>2028</v>
          </cell>
          <cell r="D362">
            <v>1</v>
          </cell>
          <cell r="E362">
            <v>3</v>
          </cell>
          <cell r="F362">
            <v>7.8122237299999994E-2</v>
          </cell>
          <cell r="G362">
            <v>0</v>
          </cell>
          <cell r="H362">
            <v>8.6802486000000009E-3</v>
          </cell>
          <cell r="I362" t="str">
            <v>Local Train</v>
          </cell>
          <cell r="J362" t="str">
            <v>2027/28</v>
          </cell>
        </row>
        <row r="363">
          <cell r="A363" t="str">
            <v>05 GISBORNE</v>
          </cell>
          <cell r="B363">
            <v>6</v>
          </cell>
          <cell r="C363">
            <v>2033</v>
          </cell>
          <cell r="D363">
            <v>1</v>
          </cell>
          <cell r="E363">
            <v>3</v>
          </cell>
          <cell r="F363">
            <v>0.106930819</v>
          </cell>
          <cell r="G363">
            <v>0</v>
          </cell>
          <cell r="H363">
            <v>1.18812021E-2</v>
          </cell>
          <cell r="I363" t="str">
            <v>Local Train</v>
          </cell>
          <cell r="J363" t="str">
            <v>2032/33</v>
          </cell>
        </row>
        <row r="364">
          <cell r="A364" t="str">
            <v>05 GISBORNE</v>
          </cell>
          <cell r="B364">
            <v>6</v>
          </cell>
          <cell r="C364">
            <v>2038</v>
          </cell>
          <cell r="D364">
            <v>1</v>
          </cell>
          <cell r="E364">
            <v>3</v>
          </cell>
          <cell r="F364">
            <v>0.12756954540000001</v>
          </cell>
          <cell r="G364">
            <v>0</v>
          </cell>
          <cell r="H364">
            <v>1.41743939E-2</v>
          </cell>
          <cell r="I364" t="str">
            <v>Local Train</v>
          </cell>
          <cell r="J364" t="str">
            <v>2037/38</v>
          </cell>
        </row>
        <row r="365">
          <cell r="A365" t="str">
            <v>05 GISBORNE</v>
          </cell>
          <cell r="B365">
            <v>6</v>
          </cell>
          <cell r="C365">
            <v>2043</v>
          </cell>
          <cell r="D365">
            <v>1</v>
          </cell>
          <cell r="E365">
            <v>3</v>
          </cell>
          <cell r="F365">
            <v>0.15149648299999999</v>
          </cell>
          <cell r="G365">
            <v>0</v>
          </cell>
          <cell r="H365">
            <v>1.6832942600000001E-2</v>
          </cell>
          <cell r="I365" t="str">
            <v>Local Train</v>
          </cell>
          <cell r="J365" t="str">
            <v>2042/43</v>
          </cell>
        </row>
        <row r="366">
          <cell r="A366" t="str">
            <v>05 GISBORNE</v>
          </cell>
          <cell r="B366">
            <v>7</v>
          </cell>
          <cell r="C366">
            <v>2013</v>
          </cell>
          <cell r="D366">
            <v>18</v>
          </cell>
          <cell r="E366">
            <v>34</v>
          </cell>
          <cell r="F366">
            <v>0.39415976190000002</v>
          </cell>
          <cell r="G366">
            <v>4.8778387282000004</v>
          </cell>
          <cell r="H366">
            <v>0.17812381360000001</v>
          </cell>
          <cell r="I366" t="str">
            <v>Local Bus</v>
          </cell>
          <cell r="J366" t="str">
            <v>2012/13</v>
          </cell>
        </row>
        <row r="367">
          <cell r="A367" t="str">
            <v>05 GISBORNE</v>
          </cell>
          <cell r="B367">
            <v>7</v>
          </cell>
          <cell r="C367">
            <v>2018</v>
          </cell>
          <cell r="D367">
            <v>18</v>
          </cell>
          <cell r="E367">
            <v>34</v>
          </cell>
          <cell r="F367">
            <v>0.35686035490000001</v>
          </cell>
          <cell r="G367">
            <v>4.3745403245999999</v>
          </cell>
          <cell r="H367">
            <v>0.16129306030000001</v>
          </cell>
          <cell r="I367" t="str">
            <v>Local Bus</v>
          </cell>
          <cell r="J367" t="str">
            <v>2017/18</v>
          </cell>
        </row>
        <row r="368">
          <cell r="A368" t="str">
            <v>05 GISBORNE</v>
          </cell>
          <cell r="B368">
            <v>7</v>
          </cell>
          <cell r="C368">
            <v>2023</v>
          </cell>
          <cell r="D368">
            <v>18</v>
          </cell>
          <cell r="E368">
            <v>34</v>
          </cell>
          <cell r="F368">
            <v>0.33600546850000002</v>
          </cell>
          <cell r="G368">
            <v>4.0372990479000004</v>
          </cell>
          <cell r="H368">
            <v>0.15210868250000001</v>
          </cell>
          <cell r="I368" t="str">
            <v>Local Bus</v>
          </cell>
          <cell r="J368" t="str">
            <v>2022/23</v>
          </cell>
        </row>
        <row r="369">
          <cell r="A369" t="str">
            <v>05 GISBORNE</v>
          </cell>
          <cell r="B369">
            <v>7</v>
          </cell>
          <cell r="C369">
            <v>2028</v>
          </cell>
          <cell r="D369">
            <v>18</v>
          </cell>
          <cell r="E369">
            <v>34</v>
          </cell>
          <cell r="F369">
            <v>0.33883576570000001</v>
          </cell>
          <cell r="G369">
            <v>3.9517236578000001</v>
          </cell>
          <cell r="H369">
            <v>0.15247802060000001</v>
          </cell>
          <cell r="I369" t="str">
            <v>Local Bus</v>
          </cell>
          <cell r="J369" t="str">
            <v>2027/28</v>
          </cell>
        </row>
        <row r="370">
          <cell r="A370" t="str">
            <v>05 GISBORNE</v>
          </cell>
          <cell r="B370">
            <v>7</v>
          </cell>
          <cell r="C370">
            <v>2033</v>
          </cell>
          <cell r="D370">
            <v>18</v>
          </cell>
          <cell r="E370">
            <v>34</v>
          </cell>
          <cell r="F370">
            <v>0.34490867069999998</v>
          </cell>
          <cell r="G370">
            <v>3.6798282111999998</v>
          </cell>
          <cell r="H370">
            <v>0.15217471990000001</v>
          </cell>
          <cell r="I370" t="str">
            <v>Local Bus</v>
          </cell>
          <cell r="J370" t="str">
            <v>2032/33</v>
          </cell>
        </row>
        <row r="371">
          <cell r="A371" t="str">
            <v>05 GISBORNE</v>
          </cell>
          <cell r="B371">
            <v>7</v>
          </cell>
          <cell r="C371">
            <v>2038</v>
          </cell>
          <cell r="D371">
            <v>18</v>
          </cell>
          <cell r="E371">
            <v>34</v>
          </cell>
          <cell r="F371">
            <v>0.34785918659999998</v>
          </cell>
          <cell r="G371">
            <v>3.6314756244000002</v>
          </cell>
          <cell r="H371">
            <v>0.15475789549999999</v>
          </cell>
          <cell r="I371" t="str">
            <v>Local Bus</v>
          </cell>
          <cell r="J371" t="str">
            <v>2037/38</v>
          </cell>
        </row>
        <row r="372">
          <cell r="A372" t="str">
            <v>05 GISBORNE</v>
          </cell>
          <cell r="B372">
            <v>7</v>
          </cell>
          <cell r="C372">
            <v>2043</v>
          </cell>
          <cell r="D372">
            <v>18</v>
          </cell>
          <cell r="E372">
            <v>34</v>
          </cell>
          <cell r="F372">
            <v>0.35373411329999999</v>
          </cell>
          <cell r="G372">
            <v>3.5762527427999999</v>
          </cell>
          <cell r="H372">
            <v>0.15817257330000001</v>
          </cell>
          <cell r="I372" t="str">
            <v>Local Bus</v>
          </cell>
          <cell r="J372" t="str">
            <v>2042/43</v>
          </cell>
        </row>
        <row r="373">
          <cell r="A373" t="str">
            <v>05 GISBORNE</v>
          </cell>
          <cell r="B373">
            <v>8</v>
          </cell>
          <cell r="C373">
            <v>2013</v>
          </cell>
          <cell r="D373">
            <v>1</v>
          </cell>
          <cell r="E373">
            <v>2</v>
          </cell>
          <cell r="F373">
            <v>1.5651153399999999E-2</v>
          </cell>
          <cell r="G373">
            <v>0</v>
          </cell>
          <cell r="H373">
            <v>6.5213138999999998E-3</v>
          </cell>
          <cell r="I373" t="str">
            <v>Local Ferry</v>
          </cell>
          <cell r="J373" t="str">
            <v>2012/13</v>
          </cell>
        </row>
        <row r="374">
          <cell r="A374" t="str">
            <v>05 GISBORNE</v>
          </cell>
          <cell r="B374">
            <v>8</v>
          </cell>
          <cell r="C374">
            <v>2018</v>
          </cell>
          <cell r="D374">
            <v>1</v>
          </cell>
          <cell r="E374">
            <v>2</v>
          </cell>
          <cell r="F374">
            <v>1.5020386300000001E-2</v>
          </cell>
          <cell r="G374">
            <v>0</v>
          </cell>
          <cell r="H374">
            <v>6.2584943000000004E-3</v>
          </cell>
          <cell r="I374" t="str">
            <v>Local Ferry</v>
          </cell>
          <cell r="J374" t="str">
            <v>2017/18</v>
          </cell>
        </row>
        <row r="375">
          <cell r="A375" t="str">
            <v>05 GISBORNE</v>
          </cell>
          <cell r="B375">
            <v>8</v>
          </cell>
          <cell r="C375">
            <v>2023</v>
          </cell>
          <cell r="D375">
            <v>1</v>
          </cell>
          <cell r="E375">
            <v>2</v>
          </cell>
          <cell r="F375">
            <v>1.4228919499999999E-2</v>
          </cell>
          <cell r="G375">
            <v>0</v>
          </cell>
          <cell r="H375">
            <v>5.9287165000000003E-3</v>
          </cell>
          <cell r="I375" t="str">
            <v>Local Ferry</v>
          </cell>
          <cell r="J375" t="str">
            <v>2022/23</v>
          </cell>
        </row>
        <row r="376">
          <cell r="A376" t="str">
            <v>05 GISBORNE</v>
          </cell>
          <cell r="B376">
            <v>8</v>
          </cell>
          <cell r="C376">
            <v>2028</v>
          </cell>
          <cell r="D376">
            <v>1</v>
          </cell>
          <cell r="E376">
            <v>2</v>
          </cell>
          <cell r="F376">
            <v>1.2986311400000001E-2</v>
          </cell>
          <cell r="G376">
            <v>0</v>
          </cell>
          <cell r="H376">
            <v>5.4109631E-3</v>
          </cell>
          <cell r="I376" t="str">
            <v>Local Ferry</v>
          </cell>
          <cell r="J376" t="str">
            <v>2027/28</v>
          </cell>
        </row>
        <row r="377">
          <cell r="A377" t="str">
            <v>05 GISBORNE</v>
          </cell>
          <cell r="B377">
            <v>8</v>
          </cell>
          <cell r="C377">
            <v>2033</v>
          </cell>
          <cell r="D377">
            <v>1</v>
          </cell>
          <cell r="E377">
            <v>2</v>
          </cell>
          <cell r="F377">
            <v>1.34539477E-2</v>
          </cell>
          <cell r="G377">
            <v>0</v>
          </cell>
          <cell r="H377">
            <v>5.6058115000000002E-3</v>
          </cell>
          <cell r="I377" t="str">
            <v>Local Ferry</v>
          </cell>
          <cell r="J377" t="str">
            <v>2032/33</v>
          </cell>
        </row>
        <row r="378">
          <cell r="A378" t="str">
            <v>05 GISBORNE</v>
          </cell>
          <cell r="B378">
            <v>8</v>
          </cell>
          <cell r="C378">
            <v>2038</v>
          </cell>
          <cell r="D378">
            <v>1</v>
          </cell>
          <cell r="E378">
            <v>2</v>
          </cell>
          <cell r="F378">
            <v>1.50244121E-2</v>
          </cell>
          <cell r="G378">
            <v>0</v>
          </cell>
          <cell r="H378">
            <v>6.2601716999999999E-3</v>
          </cell>
          <cell r="I378" t="str">
            <v>Local Ferry</v>
          </cell>
          <cell r="J378" t="str">
            <v>2037/38</v>
          </cell>
        </row>
        <row r="379">
          <cell r="A379" t="str">
            <v>05 GISBORNE</v>
          </cell>
          <cell r="B379">
            <v>8</v>
          </cell>
          <cell r="C379">
            <v>2043</v>
          </cell>
          <cell r="D379">
            <v>1</v>
          </cell>
          <cell r="E379">
            <v>2</v>
          </cell>
          <cell r="F379">
            <v>1.6544597099999999E-2</v>
          </cell>
          <cell r="G379">
            <v>0</v>
          </cell>
          <cell r="H379">
            <v>6.8935821000000001E-3</v>
          </cell>
          <cell r="I379" t="str">
            <v>Local Ferry</v>
          </cell>
          <cell r="J379" t="str">
            <v>2042/43</v>
          </cell>
        </row>
        <row r="380">
          <cell r="A380" t="str">
            <v>05 GISBORNE</v>
          </cell>
          <cell r="B380">
            <v>9</v>
          </cell>
          <cell r="C380">
            <v>2013</v>
          </cell>
          <cell r="D380">
            <v>1</v>
          </cell>
          <cell r="E380">
            <v>2</v>
          </cell>
          <cell r="F380">
            <v>3.13358953E-2</v>
          </cell>
          <cell r="G380">
            <v>0</v>
          </cell>
          <cell r="H380">
            <v>5.2226492000000003E-3</v>
          </cell>
          <cell r="I380" t="str">
            <v>Other Household Travel</v>
          </cell>
          <cell r="J380" t="str">
            <v>2012/13</v>
          </cell>
        </row>
        <row r="381">
          <cell r="A381" t="str">
            <v>05 GISBORNE</v>
          </cell>
          <cell r="B381">
            <v>9</v>
          </cell>
          <cell r="C381">
            <v>2018</v>
          </cell>
          <cell r="D381">
            <v>1</v>
          </cell>
          <cell r="E381">
            <v>2</v>
          </cell>
          <cell r="F381">
            <v>2.6646337400000001E-2</v>
          </cell>
          <cell r="G381">
            <v>0</v>
          </cell>
          <cell r="H381">
            <v>4.4410561999999997E-3</v>
          </cell>
          <cell r="I381" t="str">
            <v>Other Household Travel</v>
          </cell>
          <cell r="J381" t="str">
            <v>2017/18</v>
          </cell>
        </row>
        <row r="382">
          <cell r="A382" t="str">
            <v>05 GISBORNE</v>
          </cell>
          <cell r="B382">
            <v>9</v>
          </cell>
          <cell r="C382">
            <v>2023</v>
          </cell>
          <cell r="D382">
            <v>1</v>
          </cell>
          <cell r="E382">
            <v>2</v>
          </cell>
          <cell r="F382">
            <v>2.0238863700000002E-2</v>
          </cell>
          <cell r="G382">
            <v>0</v>
          </cell>
          <cell r="H382">
            <v>3.3731439999999998E-3</v>
          </cell>
          <cell r="I382" t="str">
            <v>Other Household Travel</v>
          </cell>
          <cell r="J382" t="str">
            <v>2022/23</v>
          </cell>
        </row>
        <row r="383">
          <cell r="A383" t="str">
            <v>05 GISBORNE</v>
          </cell>
          <cell r="B383">
            <v>9</v>
          </cell>
          <cell r="C383">
            <v>2028</v>
          </cell>
          <cell r="D383">
            <v>1</v>
          </cell>
          <cell r="E383">
            <v>2</v>
          </cell>
          <cell r="F383">
            <v>2.0581495299999999E-2</v>
          </cell>
          <cell r="G383">
            <v>0</v>
          </cell>
          <cell r="H383">
            <v>3.4302491999999999E-3</v>
          </cell>
          <cell r="I383" t="str">
            <v>Other Household Travel</v>
          </cell>
          <cell r="J383" t="str">
            <v>2027/28</v>
          </cell>
        </row>
        <row r="384">
          <cell r="A384" t="str">
            <v>05 GISBORNE</v>
          </cell>
          <cell r="B384">
            <v>9</v>
          </cell>
          <cell r="C384">
            <v>2033</v>
          </cell>
          <cell r="D384">
            <v>1</v>
          </cell>
          <cell r="E384">
            <v>2</v>
          </cell>
          <cell r="F384">
            <v>1.9836614499999999E-2</v>
          </cell>
          <cell r="G384">
            <v>0</v>
          </cell>
          <cell r="H384">
            <v>3.3061024000000001E-3</v>
          </cell>
          <cell r="I384" t="str">
            <v>Other Household Travel</v>
          </cell>
          <cell r="J384" t="str">
            <v>2032/33</v>
          </cell>
        </row>
        <row r="385">
          <cell r="A385" t="str">
            <v>05 GISBORNE</v>
          </cell>
          <cell r="B385">
            <v>9</v>
          </cell>
          <cell r="C385">
            <v>2038</v>
          </cell>
          <cell r="D385">
            <v>1</v>
          </cell>
          <cell r="E385">
            <v>2</v>
          </cell>
          <cell r="F385">
            <v>1.73395015E-2</v>
          </cell>
          <cell r="G385">
            <v>0</v>
          </cell>
          <cell r="H385">
            <v>2.8899169000000001E-3</v>
          </cell>
          <cell r="I385" t="str">
            <v>Other Household Travel</v>
          </cell>
          <cell r="J385" t="str">
            <v>2037/38</v>
          </cell>
        </row>
        <row r="386">
          <cell r="A386" t="str">
            <v>05 GISBORNE</v>
          </cell>
          <cell r="B386">
            <v>9</v>
          </cell>
          <cell r="C386">
            <v>2043</v>
          </cell>
          <cell r="D386">
            <v>1</v>
          </cell>
          <cell r="E386">
            <v>2</v>
          </cell>
          <cell r="F386">
            <v>1.48788966E-2</v>
          </cell>
          <cell r="G386">
            <v>0</v>
          </cell>
          <cell r="H386">
            <v>2.4798161000000002E-3</v>
          </cell>
          <cell r="I386" t="str">
            <v>Other Household Travel</v>
          </cell>
          <cell r="J386" t="str">
            <v>2042/43</v>
          </cell>
        </row>
        <row r="387">
          <cell r="A387" t="str">
            <v>05 GISBORNE</v>
          </cell>
          <cell r="B387">
            <v>10</v>
          </cell>
          <cell r="C387">
            <v>2013</v>
          </cell>
          <cell r="D387">
            <v>12</v>
          </cell>
          <cell r="E387">
            <v>20</v>
          </cell>
          <cell r="F387">
            <v>0.31271654580000002</v>
          </cell>
          <cell r="G387">
            <v>23.012948782999999</v>
          </cell>
          <cell r="H387">
            <v>0.66485160600000004</v>
          </cell>
          <cell r="I387" t="str">
            <v>Air/Non-Local PT</v>
          </cell>
          <cell r="J387" t="str">
            <v>2012/13</v>
          </cell>
        </row>
        <row r="388">
          <cell r="A388" t="str">
            <v>05 GISBORNE</v>
          </cell>
          <cell r="B388">
            <v>10</v>
          </cell>
          <cell r="C388">
            <v>2018</v>
          </cell>
          <cell r="D388">
            <v>12</v>
          </cell>
          <cell r="E388">
            <v>20</v>
          </cell>
          <cell r="F388">
            <v>0.30624986780000002</v>
          </cell>
          <cell r="G388">
            <v>22.180711374000001</v>
          </cell>
          <cell r="H388">
            <v>0.63993223870000004</v>
          </cell>
          <cell r="I388" t="str">
            <v>Air/Non-Local PT</v>
          </cell>
          <cell r="J388" t="str">
            <v>2017/18</v>
          </cell>
        </row>
        <row r="389">
          <cell r="A389" t="str">
            <v>05 GISBORNE</v>
          </cell>
          <cell r="B389">
            <v>10</v>
          </cell>
          <cell r="C389">
            <v>2023</v>
          </cell>
          <cell r="D389">
            <v>12</v>
          </cell>
          <cell r="E389">
            <v>20</v>
          </cell>
          <cell r="F389">
            <v>0.30098139190000001</v>
          </cell>
          <cell r="G389">
            <v>21.587036612999999</v>
          </cell>
          <cell r="H389">
            <v>0.62253032519999996</v>
          </cell>
          <cell r="I389" t="str">
            <v>Air/Non-Local PT</v>
          </cell>
          <cell r="J389" t="str">
            <v>2022/23</v>
          </cell>
        </row>
        <row r="390">
          <cell r="A390" t="str">
            <v>05 GISBORNE</v>
          </cell>
          <cell r="B390">
            <v>10</v>
          </cell>
          <cell r="C390">
            <v>2028</v>
          </cell>
          <cell r="D390">
            <v>12</v>
          </cell>
          <cell r="E390">
            <v>20</v>
          </cell>
          <cell r="F390">
            <v>0.30356849009999998</v>
          </cell>
          <cell r="G390">
            <v>21.302769654999999</v>
          </cell>
          <cell r="H390">
            <v>0.62026477879999997</v>
          </cell>
          <cell r="I390" t="str">
            <v>Air/Non-Local PT</v>
          </cell>
          <cell r="J390" t="str">
            <v>2027/28</v>
          </cell>
        </row>
        <row r="391">
          <cell r="A391" t="str">
            <v>05 GISBORNE</v>
          </cell>
          <cell r="B391">
            <v>10</v>
          </cell>
          <cell r="C391">
            <v>2033</v>
          </cell>
          <cell r="D391">
            <v>12</v>
          </cell>
          <cell r="E391">
            <v>20</v>
          </cell>
          <cell r="F391">
            <v>0.3042879376</v>
          </cell>
          <cell r="G391">
            <v>20.904018323999999</v>
          </cell>
          <cell r="H391">
            <v>0.61516427100000004</v>
          </cell>
          <cell r="I391" t="str">
            <v>Air/Non-Local PT</v>
          </cell>
          <cell r="J391" t="str">
            <v>2032/33</v>
          </cell>
        </row>
        <row r="392">
          <cell r="A392" t="str">
            <v>05 GISBORNE</v>
          </cell>
          <cell r="B392">
            <v>10</v>
          </cell>
          <cell r="C392">
            <v>2038</v>
          </cell>
          <cell r="D392">
            <v>12</v>
          </cell>
          <cell r="E392">
            <v>20</v>
          </cell>
          <cell r="F392">
            <v>0.29851726620000002</v>
          </cell>
          <cell r="G392">
            <v>20.670671984999998</v>
          </cell>
          <cell r="H392">
            <v>0.59793763</v>
          </cell>
          <cell r="I392" t="str">
            <v>Air/Non-Local PT</v>
          </cell>
          <cell r="J392" t="str">
            <v>2037/38</v>
          </cell>
        </row>
        <row r="393">
          <cell r="A393" t="str">
            <v>05 GISBORNE</v>
          </cell>
          <cell r="B393">
            <v>10</v>
          </cell>
          <cell r="C393">
            <v>2043</v>
          </cell>
          <cell r="D393">
            <v>12</v>
          </cell>
          <cell r="E393">
            <v>20</v>
          </cell>
          <cell r="F393">
            <v>0.29345476250000002</v>
          </cell>
          <cell r="G393">
            <v>20.452283833999999</v>
          </cell>
          <cell r="H393">
            <v>0.58169369289999995</v>
          </cell>
          <cell r="I393" t="str">
            <v>Air/Non-Local PT</v>
          </cell>
          <cell r="J393" t="str">
            <v>2042/43</v>
          </cell>
        </row>
        <row r="394">
          <cell r="A394" t="str">
            <v>05 GISBORNE</v>
          </cell>
          <cell r="B394">
            <v>11</v>
          </cell>
          <cell r="C394">
            <v>2013</v>
          </cell>
          <cell r="D394">
            <v>8</v>
          </cell>
          <cell r="E394">
            <v>22</v>
          </cell>
          <cell r="F394">
            <v>0.24434687620000001</v>
          </cell>
          <cell r="G394">
            <v>9.0032605469</v>
          </cell>
          <cell r="H394">
            <v>0.1991820503</v>
          </cell>
          <cell r="I394" t="str">
            <v>Non-Household Travel</v>
          </cell>
          <cell r="J394" t="str">
            <v>2012/13</v>
          </cell>
        </row>
        <row r="395">
          <cell r="A395" t="str">
            <v>05 GISBORNE</v>
          </cell>
          <cell r="B395">
            <v>11</v>
          </cell>
          <cell r="C395">
            <v>2018</v>
          </cell>
          <cell r="D395">
            <v>8</v>
          </cell>
          <cell r="E395">
            <v>22</v>
          </cell>
          <cell r="F395">
            <v>0.26622711770000002</v>
          </cell>
          <cell r="G395">
            <v>9.6704949631999995</v>
          </cell>
          <cell r="H395">
            <v>0.21330047860000001</v>
          </cell>
          <cell r="I395" t="str">
            <v>Non-Household Travel</v>
          </cell>
          <cell r="J395" t="str">
            <v>2017/18</v>
          </cell>
        </row>
        <row r="396">
          <cell r="A396" t="str">
            <v>05 GISBORNE</v>
          </cell>
          <cell r="B396">
            <v>11</v>
          </cell>
          <cell r="C396">
            <v>2023</v>
          </cell>
          <cell r="D396">
            <v>8</v>
          </cell>
          <cell r="E396">
            <v>22</v>
          </cell>
          <cell r="F396">
            <v>0.2732988549</v>
          </cell>
          <cell r="G396">
            <v>9.7599453277000006</v>
          </cell>
          <cell r="H396">
            <v>0.21493011510000001</v>
          </cell>
          <cell r="I396" t="str">
            <v>Non-Household Travel</v>
          </cell>
          <cell r="J396" t="str">
            <v>2022/23</v>
          </cell>
        </row>
        <row r="397">
          <cell r="A397" t="str">
            <v>05 GISBORNE</v>
          </cell>
          <cell r="B397">
            <v>11</v>
          </cell>
          <cell r="C397">
            <v>2028</v>
          </cell>
          <cell r="D397">
            <v>8</v>
          </cell>
          <cell r="E397">
            <v>22</v>
          </cell>
          <cell r="F397">
            <v>0.26927771389999999</v>
          </cell>
          <cell r="G397">
            <v>9.3766032620999997</v>
          </cell>
          <cell r="H397">
            <v>0.2070337374</v>
          </cell>
          <cell r="I397" t="str">
            <v>Non-Household Travel</v>
          </cell>
          <cell r="J397" t="str">
            <v>2027/28</v>
          </cell>
        </row>
        <row r="398">
          <cell r="A398" t="str">
            <v>05 GISBORNE</v>
          </cell>
          <cell r="B398">
            <v>11</v>
          </cell>
          <cell r="C398">
            <v>2033</v>
          </cell>
          <cell r="D398">
            <v>8</v>
          </cell>
          <cell r="E398">
            <v>22</v>
          </cell>
          <cell r="F398">
            <v>0.26242514230000002</v>
          </cell>
          <cell r="G398">
            <v>8.5991507024999994</v>
          </cell>
          <cell r="H398">
            <v>0.19328185480000001</v>
          </cell>
          <cell r="I398" t="str">
            <v>Non-Household Travel</v>
          </cell>
          <cell r="J398" t="str">
            <v>2032/33</v>
          </cell>
        </row>
        <row r="399">
          <cell r="A399" t="str">
            <v>05 GISBORNE</v>
          </cell>
          <cell r="B399">
            <v>11</v>
          </cell>
          <cell r="C399">
            <v>2038</v>
          </cell>
          <cell r="D399">
            <v>8</v>
          </cell>
          <cell r="E399">
            <v>22</v>
          </cell>
          <cell r="F399">
            <v>0.25848331730000002</v>
          </cell>
          <cell r="G399">
            <v>7.7160282578999997</v>
          </cell>
          <cell r="H399">
            <v>0.17931824909999999</v>
          </cell>
          <cell r="I399" t="str">
            <v>Non-Household Travel</v>
          </cell>
          <cell r="J399" t="str">
            <v>2037/38</v>
          </cell>
        </row>
        <row r="400">
          <cell r="A400" t="str">
            <v>05 GISBORNE</v>
          </cell>
          <cell r="B400">
            <v>11</v>
          </cell>
          <cell r="C400">
            <v>2043</v>
          </cell>
          <cell r="D400">
            <v>8</v>
          </cell>
          <cell r="E400">
            <v>22</v>
          </cell>
          <cell r="F400">
            <v>0.25616404529999998</v>
          </cell>
          <cell r="G400">
            <v>6.8818334649999997</v>
          </cell>
          <cell r="H400">
            <v>0.16648711899999999</v>
          </cell>
          <cell r="I400" t="str">
            <v>Non-Household Travel</v>
          </cell>
          <cell r="J400" t="str">
            <v>2042/43</v>
          </cell>
        </row>
        <row r="401">
          <cell r="A401" t="str">
            <v>06 HAWKE`S BAY</v>
          </cell>
          <cell r="B401">
            <v>0</v>
          </cell>
          <cell r="C401">
            <v>2013</v>
          </cell>
          <cell r="D401">
            <v>221</v>
          </cell>
          <cell r="E401">
            <v>754</v>
          </cell>
          <cell r="F401">
            <v>26.538300281000001</v>
          </cell>
          <cell r="G401">
            <v>22.691613215</v>
          </cell>
          <cell r="H401">
            <v>5.9462513095</v>
          </cell>
          <cell r="I401" t="str">
            <v>Pedestrian</v>
          </cell>
          <cell r="J401" t="str">
            <v>2012/13</v>
          </cell>
        </row>
        <row r="402">
          <cell r="A402" t="str">
            <v>06 HAWKE`S BAY</v>
          </cell>
          <cell r="B402">
            <v>0</v>
          </cell>
          <cell r="C402">
            <v>2018</v>
          </cell>
          <cell r="D402">
            <v>221</v>
          </cell>
          <cell r="E402">
            <v>754</v>
          </cell>
          <cell r="F402">
            <v>27.679859898</v>
          </cell>
          <cell r="G402">
            <v>23.418206013999999</v>
          </cell>
          <cell r="H402">
            <v>6.16575205</v>
          </cell>
          <cell r="I402" t="str">
            <v>Pedestrian</v>
          </cell>
          <cell r="J402" t="str">
            <v>2017/18</v>
          </cell>
        </row>
        <row r="403">
          <cell r="A403" t="str">
            <v>06 HAWKE`S BAY</v>
          </cell>
          <cell r="B403">
            <v>0</v>
          </cell>
          <cell r="C403">
            <v>2023</v>
          </cell>
          <cell r="D403">
            <v>221</v>
          </cell>
          <cell r="E403">
            <v>754</v>
          </cell>
          <cell r="F403">
            <v>28.610759256000001</v>
          </cell>
          <cell r="G403">
            <v>23.946917025000001</v>
          </cell>
          <cell r="H403">
            <v>6.3609058855000002</v>
          </cell>
          <cell r="I403" t="str">
            <v>Pedestrian</v>
          </cell>
          <cell r="J403" t="str">
            <v>2022/23</v>
          </cell>
        </row>
        <row r="404">
          <cell r="A404" t="str">
            <v>06 HAWKE`S BAY</v>
          </cell>
          <cell r="B404">
            <v>0</v>
          </cell>
          <cell r="C404">
            <v>2028</v>
          </cell>
          <cell r="D404">
            <v>221</v>
          </cell>
          <cell r="E404">
            <v>754</v>
          </cell>
          <cell r="F404">
            <v>29.104459340999998</v>
          </cell>
          <cell r="G404">
            <v>24.127110074000001</v>
          </cell>
          <cell r="H404">
            <v>6.4545455935999998</v>
          </cell>
          <cell r="I404" t="str">
            <v>Pedestrian</v>
          </cell>
          <cell r="J404" t="str">
            <v>2027/28</v>
          </cell>
        </row>
        <row r="405">
          <cell r="A405" t="str">
            <v>06 HAWKE`S BAY</v>
          </cell>
          <cell r="B405">
            <v>0</v>
          </cell>
          <cell r="C405">
            <v>2033</v>
          </cell>
          <cell r="D405">
            <v>221</v>
          </cell>
          <cell r="E405">
            <v>754</v>
          </cell>
          <cell r="F405">
            <v>29.067048437</v>
          </cell>
          <cell r="G405">
            <v>24.069405184000001</v>
          </cell>
          <cell r="H405">
            <v>6.4610936483000003</v>
          </cell>
          <cell r="I405" t="str">
            <v>Pedestrian</v>
          </cell>
          <cell r="J405" t="str">
            <v>2032/33</v>
          </cell>
        </row>
        <row r="406">
          <cell r="A406" t="str">
            <v>06 HAWKE`S BAY</v>
          </cell>
          <cell r="B406">
            <v>0</v>
          </cell>
          <cell r="C406">
            <v>2038</v>
          </cell>
          <cell r="D406">
            <v>221</v>
          </cell>
          <cell r="E406">
            <v>754</v>
          </cell>
          <cell r="F406">
            <v>28.995177586000001</v>
          </cell>
          <cell r="G406">
            <v>24.129550263999999</v>
          </cell>
          <cell r="H406">
            <v>6.4817361396999997</v>
          </cell>
          <cell r="I406" t="str">
            <v>Pedestrian</v>
          </cell>
          <cell r="J406" t="str">
            <v>2037/38</v>
          </cell>
        </row>
        <row r="407">
          <cell r="A407" t="str">
            <v>06 HAWKE`S BAY</v>
          </cell>
          <cell r="B407">
            <v>0</v>
          </cell>
          <cell r="C407">
            <v>2043</v>
          </cell>
          <cell r="D407">
            <v>221</v>
          </cell>
          <cell r="E407">
            <v>754</v>
          </cell>
          <cell r="F407">
            <v>28.758693649000001</v>
          </cell>
          <cell r="G407">
            <v>24.054112357000001</v>
          </cell>
          <cell r="H407">
            <v>6.4639851063</v>
          </cell>
          <cell r="I407" t="str">
            <v>Pedestrian</v>
          </cell>
          <cell r="J407" t="str">
            <v>2042/43</v>
          </cell>
        </row>
        <row r="408">
          <cell r="A408" t="str">
            <v>06 HAWKE`S BAY</v>
          </cell>
          <cell r="B408">
            <v>1</v>
          </cell>
          <cell r="C408">
            <v>2013</v>
          </cell>
          <cell r="D408">
            <v>30</v>
          </cell>
          <cell r="E408">
            <v>93</v>
          </cell>
          <cell r="F408">
            <v>3.1819840940000002</v>
          </cell>
          <cell r="G408">
            <v>9.5482363540000001</v>
          </cell>
          <cell r="H408">
            <v>0.88401106659999995</v>
          </cell>
          <cell r="I408" t="str">
            <v>Cyclist</v>
          </cell>
          <cell r="J408" t="str">
            <v>2012/13</v>
          </cell>
        </row>
        <row r="409">
          <cell r="A409" t="str">
            <v>06 HAWKE`S BAY</v>
          </cell>
          <cell r="B409">
            <v>1</v>
          </cell>
          <cell r="C409">
            <v>2018</v>
          </cell>
          <cell r="D409">
            <v>30</v>
          </cell>
          <cell r="E409">
            <v>93</v>
          </cell>
          <cell r="F409">
            <v>3.2781754430999999</v>
          </cell>
          <cell r="G409">
            <v>10.138616153999999</v>
          </cell>
          <cell r="H409">
            <v>0.93602627090000001</v>
          </cell>
          <cell r="I409" t="str">
            <v>Cyclist</v>
          </cell>
          <cell r="J409" t="str">
            <v>2017/18</v>
          </cell>
        </row>
        <row r="410">
          <cell r="A410" t="str">
            <v>06 HAWKE`S BAY</v>
          </cell>
          <cell r="B410">
            <v>1</v>
          </cell>
          <cell r="C410">
            <v>2023</v>
          </cell>
          <cell r="D410">
            <v>30</v>
          </cell>
          <cell r="E410">
            <v>93</v>
          </cell>
          <cell r="F410">
            <v>3.3921256815</v>
          </cell>
          <cell r="G410">
            <v>10.485251509999999</v>
          </cell>
          <cell r="H410">
            <v>0.96093119309999997</v>
          </cell>
          <cell r="I410" t="str">
            <v>Cyclist</v>
          </cell>
          <cell r="J410" t="str">
            <v>2022/23</v>
          </cell>
        </row>
        <row r="411">
          <cell r="A411" t="str">
            <v>06 HAWKE`S BAY</v>
          </cell>
          <cell r="B411">
            <v>1</v>
          </cell>
          <cell r="C411">
            <v>2028</v>
          </cell>
          <cell r="D411">
            <v>30</v>
          </cell>
          <cell r="E411">
            <v>93</v>
          </cell>
          <cell r="F411">
            <v>3.5141834976999999</v>
          </cell>
          <cell r="G411">
            <v>10.829339596000001</v>
          </cell>
          <cell r="H411">
            <v>0.99061673400000005</v>
          </cell>
          <cell r="I411" t="str">
            <v>Cyclist</v>
          </cell>
          <cell r="J411" t="str">
            <v>2027/28</v>
          </cell>
        </row>
        <row r="412">
          <cell r="A412" t="str">
            <v>06 HAWKE`S BAY</v>
          </cell>
          <cell r="B412">
            <v>1</v>
          </cell>
          <cell r="C412">
            <v>2033</v>
          </cell>
          <cell r="D412">
            <v>30</v>
          </cell>
          <cell r="E412">
            <v>93</v>
          </cell>
          <cell r="F412">
            <v>3.5387594181000002</v>
          </cell>
          <cell r="G412">
            <v>11.138281901999999</v>
          </cell>
          <cell r="H412">
            <v>1.0087119254000001</v>
          </cell>
          <cell r="I412" t="str">
            <v>Cyclist</v>
          </cell>
          <cell r="J412" t="str">
            <v>2032/33</v>
          </cell>
        </row>
        <row r="413">
          <cell r="A413" t="str">
            <v>06 HAWKE`S BAY</v>
          </cell>
          <cell r="B413">
            <v>1</v>
          </cell>
          <cell r="C413">
            <v>2038</v>
          </cell>
          <cell r="D413">
            <v>30</v>
          </cell>
          <cell r="E413">
            <v>93</v>
          </cell>
          <cell r="F413">
            <v>3.5701556992999999</v>
          </cell>
          <cell r="G413">
            <v>11.151492352</v>
          </cell>
          <cell r="H413">
            <v>1.0105265283</v>
          </cell>
          <cell r="I413" t="str">
            <v>Cyclist</v>
          </cell>
          <cell r="J413" t="str">
            <v>2037/38</v>
          </cell>
        </row>
        <row r="414">
          <cell r="A414" t="str">
            <v>06 HAWKE`S BAY</v>
          </cell>
          <cell r="B414">
            <v>1</v>
          </cell>
          <cell r="C414">
            <v>2043</v>
          </cell>
          <cell r="D414">
            <v>30</v>
          </cell>
          <cell r="E414">
            <v>93</v>
          </cell>
          <cell r="F414">
            <v>3.5823975057999999</v>
          </cell>
          <cell r="G414">
            <v>11.104819279000001</v>
          </cell>
          <cell r="H414">
            <v>1.0078962438000001</v>
          </cell>
          <cell r="I414" t="str">
            <v>Cyclist</v>
          </cell>
          <cell r="J414" t="str">
            <v>2042/43</v>
          </cell>
        </row>
        <row r="415">
          <cell r="A415" t="str">
            <v>06 HAWKE`S BAY</v>
          </cell>
          <cell r="B415">
            <v>2</v>
          </cell>
          <cell r="C415">
            <v>2013</v>
          </cell>
          <cell r="D415">
            <v>446</v>
          </cell>
          <cell r="E415">
            <v>3171</v>
          </cell>
          <cell r="F415">
            <v>111.16933473</v>
          </cell>
          <cell r="G415">
            <v>1001.7566771</v>
          </cell>
          <cell r="H415">
            <v>25.377986313000001</v>
          </cell>
          <cell r="I415" t="str">
            <v>Light Vehicle Driver</v>
          </cell>
          <cell r="J415" t="str">
            <v>2012/13</v>
          </cell>
        </row>
        <row r="416">
          <cell r="A416" t="str">
            <v>06 HAWKE`S BAY</v>
          </cell>
          <cell r="B416">
            <v>2</v>
          </cell>
          <cell r="C416">
            <v>2018</v>
          </cell>
          <cell r="D416">
            <v>446</v>
          </cell>
          <cell r="E416">
            <v>3171</v>
          </cell>
          <cell r="F416">
            <v>118.48084473</v>
          </cell>
          <cell r="G416">
            <v>1074.0285553000001</v>
          </cell>
          <cell r="H416">
            <v>27.136158859999998</v>
          </cell>
          <cell r="I416" t="str">
            <v>Light Vehicle Driver</v>
          </cell>
          <cell r="J416" t="str">
            <v>2017/18</v>
          </cell>
        </row>
        <row r="417">
          <cell r="A417" t="str">
            <v>06 HAWKE`S BAY</v>
          </cell>
          <cell r="B417">
            <v>2</v>
          </cell>
          <cell r="C417">
            <v>2023</v>
          </cell>
          <cell r="D417">
            <v>446</v>
          </cell>
          <cell r="E417">
            <v>3171</v>
          </cell>
          <cell r="F417">
            <v>123.72067284000001</v>
          </cell>
          <cell r="G417">
            <v>1118.7781339999999</v>
          </cell>
          <cell r="H417">
            <v>28.337640106999999</v>
          </cell>
          <cell r="I417" t="str">
            <v>Light Vehicle Driver</v>
          </cell>
          <cell r="J417" t="str">
            <v>2022/23</v>
          </cell>
        </row>
        <row r="418">
          <cell r="A418" t="str">
            <v>06 HAWKE`S BAY</v>
          </cell>
          <cell r="B418">
            <v>2</v>
          </cell>
          <cell r="C418">
            <v>2028</v>
          </cell>
          <cell r="D418">
            <v>446</v>
          </cell>
          <cell r="E418">
            <v>3171</v>
          </cell>
          <cell r="F418">
            <v>126.95338227000001</v>
          </cell>
          <cell r="G418">
            <v>1148.0499122000001</v>
          </cell>
          <cell r="H418">
            <v>29.156994981</v>
          </cell>
          <cell r="I418" t="str">
            <v>Light Vehicle Driver</v>
          </cell>
          <cell r="J418" t="str">
            <v>2027/28</v>
          </cell>
        </row>
        <row r="419">
          <cell r="A419" t="str">
            <v>06 HAWKE`S BAY</v>
          </cell>
          <cell r="B419">
            <v>2</v>
          </cell>
          <cell r="C419">
            <v>2033</v>
          </cell>
          <cell r="D419">
            <v>446</v>
          </cell>
          <cell r="E419">
            <v>3171</v>
          </cell>
          <cell r="F419">
            <v>128.90328147</v>
          </cell>
          <cell r="G419">
            <v>1167.1010573999999</v>
          </cell>
          <cell r="H419">
            <v>29.695405756</v>
          </cell>
          <cell r="I419" t="str">
            <v>Light Vehicle Driver</v>
          </cell>
          <cell r="J419" t="str">
            <v>2032/33</v>
          </cell>
        </row>
        <row r="420">
          <cell r="A420" t="str">
            <v>06 HAWKE`S BAY</v>
          </cell>
          <cell r="B420">
            <v>2</v>
          </cell>
          <cell r="C420">
            <v>2038</v>
          </cell>
          <cell r="D420">
            <v>446</v>
          </cell>
          <cell r="E420">
            <v>3171</v>
          </cell>
          <cell r="F420">
            <v>128.92571924999999</v>
          </cell>
          <cell r="G420">
            <v>1166.6433945000001</v>
          </cell>
          <cell r="H420">
            <v>29.761570368000001</v>
          </cell>
          <cell r="I420" t="str">
            <v>Light Vehicle Driver</v>
          </cell>
          <cell r="J420" t="str">
            <v>2037/38</v>
          </cell>
        </row>
        <row r="421">
          <cell r="A421" t="str">
            <v>06 HAWKE`S BAY</v>
          </cell>
          <cell r="B421">
            <v>2</v>
          </cell>
          <cell r="C421">
            <v>2043</v>
          </cell>
          <cell r="D421">
            <v>446</v>
          </cell>
          <cell r="E421">
            <v>3171</v>
          </cell>
          <cell r="F421">
            <v>128.36119982</v>
          </cell>
          <cell r="G421">
            <v>1160.6864674000001</v>
          </cell>
          <cell r="H421">
            <v>29.686618302999999</v>
          </cell>
          <cell r="I421" t="str">
            <v>Light Vehicle Driver</v>
          </cell>
          <cell r="J421" t="str">
            <v>2042/43</v>
          </cell>
        </row>
        <row r="422">
          <cell r="A422" t="str">
            <v>06 HAWKE`S BAY</v>
          </cell>
          <cell r="B422">
            <v>3</v>
          </cell>
          <cell r="C422">
            <v>2013</v>
          </cell>
          <cell r="D422">
            <v>300</v>
          </cell>
          <cell r="E422">
            <v>1579</v>
          </cell>
          <cell r="F422">
            <v>58.497679761999997</v>
          </cell>
          <cell r="G422">
            <v>607.82570181000006</v>
          </cell>
          <cell r="H422">
            <v>15.230731736999999</v>
          </cell>
          <cell r="I422" t="str">
            <v>Light Vehicle Passenger</v>
          </cell>
          <cell r="J422" t="str">
            <v>2012/13</v>
          </cell>
        </row>
        <row r="423">
          <cell r="A423" t="str">
            <v>06 HAWKE`S BAY</v>
          </cell>
          <cell r="B423">
            <v>3</v>
          </cell>
          <cell r="C423">
            <v>2018</v>
          </cell>
          <cell r="D423">
            <v>300</v>
          </cell>
          <cell r="E423">
            <v>1579</v>
          </cell>
          <cell r="F423">
            <v>59.436725383999999</v>
          </cell>
          <cell r="G423">
            <v>633.52389414000004</v>
          </cell>
          <cell r="H423">
            <v>15.741503323</v>
          </cell>
          <cell r="I423" t="str">
            <v>Light Vehicle Passenger</v>
          </cell>
          <cell r="J423" t="str">
            <v>2017/18</v>
          </cell>
        </row>
        <row r="424">
          <cell r="A424" t="str">
            <v>06 HAWKE`S BAY</v>
          </cell>
          <cell r="B424">
            <v>3</v>
          </cell>
          <cell r="C424">
            <v>2023</v>
          </cell>
          <cell r="D424">
            <v>300</v>
          </cell>
          <cell r="E424">
            <v>1579</v>
          </cell>
          <cell r="F424">
            <v>59.730429733000001</v>
          </cell>
          <cell r="G424">
            <v>649.72763724000004</v>
          </cell>
          <cell r="H424">
            <v>16.060158362999999</v>
          </cell>
          <cell r="I424" t="str">
            <v>Light Vehicle Passenger</v>
          </cell>
          <cell r="J424" t="str">
            <v>2022/23</v>
          </cell>
        </row>
        <row r="425">
          <cell r="A425" t="str">
            <v>06 HAWKE`S BAY</v>
          </cell>
          <cell r="B425">
            <v>3</v>
          </cell>
          <cell r="C425">
            <v>2028</v>
          </cell>
          <cell r="D425">
            <v>300</v>
          </cell>
          <cell r="E425">
            <v>1579</v>
          </cell>
          <cell r="F425">
            <v>59.462578329999999</v>
          </cell>
          <cell r="G425">
            <v>651.97721736000005</v>
          </cell>
          <cell r="H425">
            <v>16.102388857000001</v>
          </cell>
          <cell r="I425" t="str">
            <v>Light Vehicle Passenger</v>
          </cell>
          <cell r="J425" t="str">
            <v>2027/28</v>
          </cell>
        </row>
        <row r="426">
          <cell r="A426" t="str">
            <v>06 HAWKE`S BAY</v>
          </cell>
          <cell r="B426">
            <v>3</v>
          </cell>
          <cell r="C426">
            <v>2033</v>
          </cell>
          <cell r="D426">
            <v>300</v>
          </cell>
          <cell r="E426">
            <v>1579</v>
          </cell>
          <cell r="F426">
            <v>58.437571093000003</v>
          </cell>
          <cell r="G426">
            <v>641.75951333</v>
          </cell>
          <cell r="H426">
            <v>15.854169954</v>
          </cell>
          <cell r="I426" t="str">
            <v>Light Vehicle Passenger</v>
          </cell>
          <cell r="J426" t="str">
            <v>2032/33</v>
          </cell>
        </row>
        <row r="427">
          <cell r="A427" t="str">
            <v>06 HAWKE`S BAY</v>
          </cell>
          <cell r="B427">
            <v>3</v>
          </cell>
          <cell r="C427">
            <v>2038</v>
          </cell>
          <cell r="D427">
            <v>300</v>
          </cell>
          <cell r="E427">
            <v>1579</v>
          </cell>
          <cell r="F427">
            <v>57.541627235</v>
          </cell>
          <cell r="G427">
            <v>627.44158480999999</v>
          </cell>
          <cell r="H427">
            <v>15.504624084</v>
          </cell>
          <cell r="I427" t="str">
            <v>Light Vehicle Passenger</v>
          </cell>
          <cell r="J427" t="str">
            <v>2037/38</v>
          </cell>
        </row>
        <row r="428">
          <cell r="A428" t="str">
            <v>06 HAWKE`S BAY</v>
          </cell>
          <cell r="B428">
            <v>3</v>
          </cell>
          <cell r="C428">
            <v>2043</v>
          </cell>
          <cell r="D428">
            <v>300</v>
          </cell>
          <cell r="E428">
            <v>1579</v>
          </cell>
          <cell r="F428">
            <v>56.343318451000002</v>
          </cell>
          <cell r="G428">
            <v>609.97157515000004</v>
          </cell>
          <cell r="H428">
            <v>15.084283410999999</v>
          </cell>
          <cell r="I428" t="str">
            <v>Light Vehicle Passenger</v>
          </cell>
          <cell r="J428" t="str">
            <v>2042/43</v>
          </cell>
        </row>
        <row r="429">
          <cell r="A429" t="str">
            <v>06 HAWKE`S BAY</v>
          </cell>
          <cell r="B429">
            <v>4</v>
          </cell>
          <cell r="C429">
            <v>2013</v>
          </cell>
          <cell r="D429">
            <v>4</v>
          </cell>
          <cell r="E429">
            <v>8</v>
          </cell>
          <cell r="F429">
            <v>0.32519619989999998</v>
          </cell>
          <cell r="G429">
            <v>1.7589425135000001</v>
          </cell>
          <cell r="H429">
            <v>4.5837477299999999E-2</v>
          </cell>
          <cell r="J429" t="str">
            <v>2012/13</v>
          </cell>
        </row>
        <row r="430">
          <cell r="A430" t="str">
            <v>06 HAWKE`S BAY</v>
          </cell>
          <cell r="B430">
            <v>4</v>
          </cell>
          <cell r="C430">
            <v>2018</v>
          </cell>
          <cell r="D430">
            <v>4</v>
          </cell>
          <cell r="E430">
            <v>8</v>
          </cell>
          <cell r="F430">
            <v>0.33335792860000002</v>
          </cell>
          <cell r="G430">
            <v>1.7173685516999999</v>
          </cell>
          <cell r="H430">
            <v>4.7536448000000002E-2</v>
          </cell>
          <cell r="J430" t="str">
            <v>2017/18</v>
          </cell>
        </row>
        <row r="431">
          <cell r="A431" t="str">
            <v>06 HAWKE`S BAY</v>
          </cell>
          <cell r="B431">
            <v>4</v>
          </cell>
          <cell r="C431">
            <v>2023</v>
          </cell>
          <cell r="D431">
            <v>4</v>
          </cell>
          <cell r="E431">
            <v>8</v>
          </cell>
          <cell r="F431">
            <v>0.34725274080000001</v>
          </cell>
          <cell r="G431">
            <v>1.7012103219000001</v>
          </cell>
          <cell r="H431">
            <v>4.9769015100000001E-2</v>
          </cell>
          <cell r="J431" t="str">
            <v>2022/23</v>
          </cell>
        </row>
        <row r="432">
          <cell r="A432" t="str">
            <v>06 HAWKE`S BAY</v>
          </cell>
          <cell r="B432">
            <v>4</v>
          </cell>
          <cell r="C432">
            <v>2028</v>
          </cell>
          <cell r="D432">
            <v>4</v>
          </cell>
          <cell r="E432">
            <v>8</v>
          </cell>
          <cell r="F432">
            <v>0.37936030970000001</v>
          </cell>
          <cell r="G432">
            <v>1.7247248821000001</v>
          </cell>
          <cell r="H432">
            <v>5.5236669400000001E-2</v>
          </cell>
          <cell r="J432" t="str">
            <v>2027/28</v>
          </cell>
        </row>
        <row r="433">
          <cell r="A433" t="str">
            <v>06 HAWKE`S BAY</v>
          </cell>
          <cell r="B433">
            <v>4</v>
          </cell>
          <cell r="C433">
            <v>2033</v>
          </cell>
          <cell r="D433">
            <v>4</v>
          </cell>
          <cell r="E433">
            <v>8</v>
          </cell>
          <cell r="F433">
            <v>0.42477284279999999</v>
          </cell>
          <cell r="G433">
            <v>1.7962449283999999</v>
          </cell>
          <cell r="H433">
            <v>6.3653579399999993E-2</v>
          </cell>
          <cell r="J433" t="str">
            <v>2032/33</v>
          </cell>
        </row>
        <row r="434">
          <cell r="A434" t="str">
            <v>06 HAWKE`S BAY</v>
          </cell>
          <cell r="B434">
            <v>4</v>
          </cell>
          <cell r="C434">
            <v>2038</v>
          </cell>
          <cell r="D434">
            <v>4</v>
          </cell>
          <cell r="E434">
            <v>8</v>
          </cell>
          <cell r="F434">
            <v>0.45356712719999998</v>
          </cell>
          <cell r="G434">
            <v>1.8102472839999999</v>
          </cell>
          <cell r="H434">
            <v>7.0193516799999994E-2</v>
          </cell>
          <cell r="J434" t="str">
            <v>2037/38</v>
          </cell>
        </row>
        <row r="435">
          <cell r="A435" t="str">
            <v>06 HAWKE`S BAY</v>
          </cell>
          <cell r="B435">
            <v>4</v>
          </cell>
          <cell r="C435">
            <v>2043</v>
          </cell>
          <cell r="D435">
            <v>4</v>
          </cell>
          <cell r="E435">
            <v>8</v>
          </cell>
          <cell r="F435">
            <v>0.48085714280000003</v>
          </cell>
          <cell r="G435">
            <v>1.8223769205</v>
          </cell>
          <cell r="H435">
            <v>7.6434761200000007E-2</v>
          </cell>
          <cell r="J435" t="str">
            <v>2042/43</v>
          </cell>
        </row>
        <row r="436">
          <cell r="A436" t="str">
            <v>06 HAWKE`S BAY</v>
          </cell>
          <cell r="B436">
            <v>5</v>
          </cell>
          <cell r="C436">
            <v>2013</v>
          </cell>
          <cell r="D436">
            <v>6</v>
          </cell>
          <cell r="E436">
            <v>19</v>
          </cell>
          <cell r="F436">
            <v>0.65061969099999994</v>
          </cell>
          <cell r="G436">
            <v>3.0321841239</v>
          </cell>
          <cell r="H436">
            <v>0.11763194120000001</v>
          </cell>
          <cell r="I436" t="str">
            <v>Motorcyclist</v>
          </cell>
          <cell r="J436" t="str">
            <v>2012/13</v>
          </cell>
        </row>
        <row r="437">
          <cell r="A437" t="str">
            <v>06 HAWKE`S BAY</v>
          </cell>
          <cell r="B437">
            <v>5</v>
          </cell>
          <cell r="C437">
            <v>2018</v>
          </cell>
          <cell r="D437">
            <v>6</v>
          </cell>
          <cell r="E437">
            <v>19</v>
          </cell>
          <cell r="F437">
            <v>0.62378405049999996</v>
          </cell>
          <cell r="G437">
            <v>3.1914722688000001</v>
          </cell>
          <cell r="H437">
            <v>0.1138802044</v>
          </cell>
          <cell r="I437" t="str">
            <v>Motorcyclist</v>
          </cell>
          <cell r="J437" t="str">
            <v>2017/18</v>
          </cell>
        </row>
        <row r="438">
          <cell r="A438" t="str">
            <v>06 HAWKE`S BAY</v>
          </cell>
          <cell r="B438">
            <v>5</v>
          </cell>
          <cell r="C438">
            <v>2023</v>
          </cell>
          <cell r="D438">
            <v>6</v>
          </cell>
          <cell r="E438">
            <v>19</v>
          </cell>
          <cell r="F438">
            <v>0.59207820440000003</v>
          </cell>
          <cell r="G438">
            <v>3.2802338867</v>
          </cell>
          <cell r="H438">
            <v>0.1104504695</v>
          </cell>
          <cell r="I438" t="str">
            <v>Motorcyclist</v>
          </cell>
          <cell r="J438" t="str">
            <v>2022/23</v>
          </cell>
        </row>
        <row r="439">
          <cell r="A439" t="str">
            <v>06 HAWKE`S BAY</v>
          </cell>
          <cell r="B439">
            <v>5</v>
          </cell>
          <cell r="C439">
            <v>2028</v>
          </cell>
          <cell r="D439">
            <v>6</v>
          </cell>
          <cell r="E439">
            <v>19</v>
          </cell>
          <cell r="F439">
            <v>0.5681072103</v>
          </cell>
          <cell r="G439">
            <v>3.1331678662</v>
          </cell>
          <cell r="H439">
            <v>0.10644659920000001</v>
          </cell>
          <cell r="I439" t="str">
            <v>Motorcyclist</v>
          </cell>
          <cell r="J439" t="str">
            <v>2027/28</v>
          </cell>
        </row>
        <row r="440">
          <cell r="A440" t="str">
            <v>06 HAWKE`S BAY</v>
          </cell>
          <cell r="B440">
            <v>5</v>
          </cell>
          <cell r="C440">
            <v>2033</v>
          </cell>
          <cell r="D440">
            <v>6</v>
          </cell>
          <cell r="E440">
            <v>19</v>
          </cell>
          <cell r="F440">
            <v>0.53126534400000003</v>
          </cell>
          <cell r="G440">
            <v>2.9334277147000001</v>
          </cell>
          <cell r="H440">
            <v>9.8074537599999997E-2</v>
          </cell>
          <cell r="I440" t="str">
            <v>Motorcyclist</v>
          </cell>
          <cell r="J440" t="str">
            <v>2032/33</v>
          </cell>
        </row>
        <row r="441">
          <cell r="A441" t="str">
            <v>06 HAWKE`S BAY</v>
          </cell>
          <cell r="B441">
            <v>5</v>
          </cell>
          <cell r="C441">
            <v>2038</v>
          </cell>
          <cell r="D441">
            <v>6</v>
          </cell>
          <cell r="E441">
            <v>19</v>
          </cell>
          <cell r="F441">
            <v>0.49177647120000001</v>
          </cell>
          <cell r="G441">
            <v>2.8018503563000001</v>
          </cell>
          <cell r="H441">
            <v>9.24482108E-2</v>
          </cell>
          <cell r="I441" t="str">
            <v>Motorcyclist</v>
          </cell>
          <cell r="J441" t="str">
            <v>2037/38</v>
          </cell>
        </row>
        <row r="442">
          <cell r="A442" t="str">
            <v>06 HAWKE`S BAY</v>
          </cell>
          <cell r="B442">
            <v>5</v>
          </cell>
          <cell r="C442">
            <v>2043</v>
          </cell>
          <cell r="D442">
            <v>6</v>
          </cell>
          <cell r="E442">
            <v>19</v>
          </cell>
          <cell r="F442">
            <v>0.452160809</v>
          </cell>
          <cell r="G442">
            <v>2.6798811333999999</v>
          </cell>
          <cell r="H442">
            <v>8.6826869500000001E-2</v>
          </cell>
          <cell r="I442" t="str">
            <v>Motorcyclist</v>
          </cell>
          <cell r="J442" t="str">
            <v>2042/43</v>
          </cell>
        </row>
        <row r="443">
          <cell r="A443" t="str">
            <v>06 HAWKE`S BAY</v>
          </cell>
          <cell r="B443">
            <v>7</v>
          </cell>
          <cell r="C443">
            <v>2013</v>
          </cell>
          <cell r="D443">
            <v>50</v>
          </cell>
          <cell r="E443">
            <v>142</v>
          </cell>
          <cell r="F443">
            <v>4.5218645043999999</v>
          </cell>
          <cell r="G443">
            <v>39.591997026999998</v>
          </cell>
          <cell r="H443">
            <v>1.3660147812000001</v>
          </cell>
          <cell r="I443" t="str">
            <v>Local Bus</v>
          </cell>
          <cell r="J443" t="str">
            <v>2012/13</v>
          </cell>
        </row>
        <row r="444">
          <cell r="A444" t="str">
            <v>06 HAWKE`S BAY</v>
          </cell>
          <cell r="B444">
            <v>7</v>
          </cell>
          <cell r="C444">
            <v>2018</v>
          </cell>
          <cell r="D444">
            <v>50</v>
          </cell>
          <cell r="E444">
            <v>142</v>
          </cell>
          <cell r="F444">
            <v>4.4994219165000002</v>
          </cell>
          <cell r="G444">
            <v>38.361259404000002</v>
          </cell>
          <cell r="H444">
            <v>1.3665915040000001</v>
          </cell>
          <cell r="I444" t="str">
            <v>Local Bus</v>
          </cell>
          <cell r="J444" t="str">
            <v>2017/18</v>
          </cell>
        </row>
        <row r="445">
          <cell r="A445" t="str">
            <v>06 HAWKE`S BAY</v>
          </cell>
          <cell r="B445">
            <v>7</v>
          </cell>
          <cell r="C445">
            <v>2023</v>
          </cell>
          <cell r="D445">
            <v>50</v>
          </cell>
          <cell r="E445">
            <v>142</v>
          </cell>
          <cell r="F445">
            <v>4.4918476599000003</v>
          </cell>
          <cell r="G445">
            <v>37.386645309999999</v>
          </cell>
          <cell r="H445">
            <v>1.3706771651</v>
          </cell>
          <cell r="I445" t="str">
            <v>Local Bus</v>
          </cell>
          <cell r="J445" t="str">
            <v>2022/23</v>
          </cell>
        </row>
        <row r="446">
          <cell r="A446" t="str">
            <v>06 HAWKE`S BAY</v>
          </cell>
          <cell r="B446">
            <v>7</v>
          </cell>
          <cell r="C446">
            <v>2028</v>
          </cell>
          <cell r="D446">
            <v>50</v>
          </cell>
          <cell r="E446">
            <v>142</v>
          </cell>
          <cell r="F446">
            <v>4.4988621173999999</v>
          </cell>
          <cell r="G446">
            <v>36.841733109000003</v>
          </cell>
          <cell r="H446">
            <v>1.3754637256</v>
          </cell>
          <cell r="I446" t="str">
            <v>Local Bus</v>
          </cell>
          <cell r="J446" t="str">
            <v>2027/28</v>
          </cell>
        </row>
        <row r="447">
          <cell r="A447" t="str">
            <v>06 HAWKE`S BAY</v>
          </cell>
          <cell r="B447">
            <v>7</v>
          </cell>
          <cell r="C447">
            <v>2033</v>
          </cell>
          <cell r="D447">
            <v>50</v>
          </cell>
          <cell r="E447">
            <v>142</v>
          </cell>
          <cell r="F447">
            <v>4.3612924271000004</v>
          </cell>
          <cell r="G447">
            <v>35.118572356000001</v>
          </cell>
          <cell r="H447">
            <v>1.332158231</v>
          </cell>
          <cell r="I447" t="str">
            <v>Local Bus</v>
          </cell>
          <cell r="J447" t="str">
            <v>2032/33</v>
          </cell>
        </row>
        <row r="448">
          <cell r="A448" t="str">
            <v>06 HAWKE`S BAY</v>
          </cell>
          <cell r="B448">
            <v>7</v>
          </cell>
          <cell r="C448">
            <v>2038</v>
          </cell>
          <cell r="D448">
            <v>50</v>
          </cell>
          <cell r="E448">
            <v>142</v>
          </cell>
          <cell r="F448">
            <v>4.3277477956999997</v>
          </cell>
          <cell r="G448">
            <v>34.300981016000001</v>
          </cell>
          <cell r="H448">
            <v>1.3249188895999999</v>
          </cell>
          <cell r="I448" t="str">
            <v>Local Bus</v>
          </cell>
          <cell r="J448" t="str">
            <v>2037/38</v>
          </cell>
        </row>
        <row r="449">
          <cell r="A449" t="str">
            <v>06 HAWKE`S BAY</v>
          </cell>
          <cell r="B449">
            <v>7</v>
          </cell>
          <cell r="C449">
            <v>2043</v>
          </cell>
          <cell r="D449">
            <v>50</v>
          </cell>
          <cell r="E449">
            <v>142</v>
          </cell>
          <cell r="F449">
            <v>4.2737948616999999</v>
          </cell>
          <cell r="G449">
            <v>33.339615952000003</v>
          </cell>
          <cell r="H449">
            <v>1.3115310784</v>
          </cell>
          <cell r="I449" t="str">
            <v>Local Bus</v>
          </cell>
          <cell r="J449" t="str">
            <v>2042/43</v>
          </cell>
        </row>
        <row r="450">
          <cell r="A450" t="str">
            <v>06 HAWKE`S BAY</v>
          </cell>
          <cell r="B450">
            <v>9</v>
          </cell>
          <cell r="C450">
            <v>2013</v>
          </cell>
          <cell r="D450">
            <v>3</v>
          </cell>
          <cell r="E450">
            <v>10</v>
          </cell>
          <cell r="F450">
            <v>0.49138149730000003</v>
          </cell>
          <cell r="G450">
            <v>0</v>
          </cell>
          <cell r="H450">
            <v>0.15778150060000001</v>
          </cell>
          <cell r="I450" t="str">
            <v>Other Household Travel</v>
          </cell>
          <cell r="J450" t="str">
            <v>2012/13</v>
          </cell>
        </row>
        <row r="451">
          <cell r="A451" t="str">
            <v>06 HAWKE`S BAY</v>
          </cell>
          <cell r="B451">
            <v>9</v>
          </cell>
          <cell r="C451">
            <v>2018</v>
          </cell>
          <cell r="D451">
            <v>3</v>
          </cell>
          <cell r="E451">
            <v>10</v>
          </cell>
          <cell r="F451">
            <v>0.53110834730000001</v>
          </cell>
          <cell r="G451">
            <v>0</v>
          </cell>
          <cell r="H451">
            <v>0.16691459289999999</v>
          </cell>
          <cell r="I451" t="str">
            <v>Other Household Travel</v>
          </cell>
          <cell r="J451" t="str">
            <v>2017/18</v>
          </cell>
        </row>
        <row r="452">
          <cell r="A452" t="str">
            <v>06 HAWKE`S BAY</v>
          </cell>
          <cell r="B452">
            <v>9</v>
          </cell>
          <cell r="C452">
            <v>2023</v>
          </cell>
          <cell r="D452">
            <v>3</v>
          </cell>
          <cell r="E452">
            <v>10</v>
          </cell>
          <cell r="F452">
            <v>0.61975372139999996</v>
          </cell>
          <cell r="G452">
            <v>0</v>
          </cell>
          <cell r="H452">
            <v>0.19066931770000001</v>
          </cell>
          <cell r="I452" t="str">
            <v>Other Household Travel</v>
          </cell>
          <cell r="J452" t="str">
            <v>2022/23</v>
          </cell>
        </row>
        <row r="453">
          <cell r="A453" t="str">
            <v>06 HAWKE`S BAY</v>
          </cell>
          <cell r="B453">
            <v>9</v>
          </cell>
          <cell r="C453">
            <v>2028</v>
          </cell>
          <cell r="D453">
            <v>3</v>
          </cell>
          <cell r="E453">
            <v>10</v>
          </cell>
          <cell r="F453">
            <v>0.70721419919999995</v>
          </cell>
          <cell r="G453">
            <v>0</v>
          </cell>
          <cell r="H453">
            <v>0.21453051479999999</v>
          </cell>
          <cell r="I453" t="str">
            <v>Other Household Travel</v>
          </cell>
          <cell r="J453" t="str">
            <v>2027/28</v>
          </cell>
        </row>
        <row r="454">
          <cell r="A454" t="str">
            <v>06 HAWKE`S BAY</v>
          </cell>
          <cell r="B454">
            <v>9</v>
          </cell>
          <cell r="C454">
            <v>2033</v>
          </cell>
          <cell r="D454">
            <v>3</v>
          </cell>
          <cell r="E454">
            <v>10</v>
          </cell>
          <cell r="F454">
            <v>0.76754483949999996</v>
          </cell>
          <cell r="G454">
            <v>0</v>
          </cell>
          <cell r="H454">
            <v>0.2288374175</v>
          </cell>
          <cell r="I454" t="str">
            <v>Other Household Travel</v>
          </cell>
          <cell r="J454" t="str">
            <v>2032/33</v>
          </cell>
        </row>
        <row r="455">
          <cell r="A455" t="str">
            <v>06 HAWKE`S BAY</v>
          </cell>
          <cell r="B455">
            <v>9</v>
          </cell>
          <cell r="C455">
            <v>2038</v>
          </cell>
          <cell r="D455">
            <v>3</v>
          </cell>
          <cell r="E455">
            <v>10</v>
          </cell>
          <cell r="F455">
            <v>0.83529125140000005</v>
          </cell>
          <cell r="G455">
            <v>0</v>
          </cell>
          <cell r="H455">
            <v>0.2473337477</v>
          </cell>
          <cell r="I455" t="str">
            <v>Other Household Travel</v>
          </cell>
          <cell r="J455" t="str">
            <v>2037/38</v>
          </cell>
        </row>
        <row r="456">
          <cell r="A456" t="str">
            <v>06 HAWKE`S BAY</v>
          </cell>
          <cell r="B456">
            <v>9</v>
          </cell>
          <cell r="C456">
            <v>2043</v>
          </cell>
          <cell r="D456">
            <v>3</v>
          </cell>
          <cell r="E456">
            <v>10</v>
          </cell>
          <cell r="F456">
            <v>0.89961476399999996</v>
          </cell>
          <cell r="G456">
            <v>0</v>
          </cell>
          <cell r="H456">
            <v>0.26474625070000002</v>
          </cell>
          <cell r="I456" t="str">
            <v>Other Household Travel</v>
          </cell>
          <cell r="J456" t="str">
            <v>2042/43</v>
          </cell>
        </row>
        <row r="457">
          <cell r="A457" t="str">
            <v>06 HAWKE`S BAY</v>
          </cell>
          <cell r="B457">
            <v>10</v>
          </cell>
          <cell r="C457">
            <v>2013</v>
          </cell>
          <cell r="D457">
            <v>3</v>
          </cell>
          <cell r="E457">
            <v>5</v>
          </cell>
          <cell r="F457">
            <v>0.36260942909999999</v>
          </cell>
          <cell r="G457">
            <v>56.865163273</v>
          </cell>
          <cell r="H457">
            <v>0.96259589999999995</v>
          </cell>
          <cell r="I457" t="str">
            <v>Air/Non-Local PT</v>
          </cell>
          <cell r="J457" t="str">
            <v>2012/13</v>
          </cell>
        </row>
        <row r="458">
          <cell r="A458" t="str">
            <v>06 HAWKE`S BAY</v>
          </cell>
          <cell r="B458">
            <v>10</v>
          </cell>
          <cell r="C458">
            <v>2018</v>
          </cell>
          <cell r="D458">
            <v>3</v>
          </cell>
          <cell r="E458">
            <v>5</v>
          </cell>
          <cell r="F458">
            <v>0.40724406400000002</v>
          </cell>
          <cell r="G458">
            <v>63.508635699999999</v>
          </cell>
          <cell r="H458">
            <v>1.0774162499</v>
          </cell>
          <cell r="I458" t="str">
            <v>Air/Non-Local PT</v>
          </cell>
          <cell r="J458" t="str">
            <v>2017/18</v>
          </cell>
        </row>
        <row r="459">
          <cell r="A459" t="str">
            <v>06 HAWKE`S BAY</v>
          </cell>
          <cell r="B459">
            <v>10</v>
          </cell>
          <cell r="C459">
            <v>2023</v>
          </cell>
          <cell r="D459">
            <v>3</v>
          </cell>
          <cell r="E459">
            <v>5</v>
          </cell>
          <cell r="F459">
            <v>0.4270829692</v>
          </cell>
          <cell r="G459">
            <v>65.819938144000005</v>
          </cell>
          <cell r="H459">
            <v>1.1213505067</v>
          </cell>
          <cell r="I459" t="str">
            <v>Air/Non-Local PT</v>
          </cell>
          <cell r="J459" t="str">
            <v>2022/23</v>
          </cell>
        </row>
        <row r="460">
          <cell r="A460" t="str">
            <v>06 HAWKE`S BAY</v>
          </cell>
          <cell r="B460">
            <v>10</v>
          </cell>
          <cell r="C460">
            <v>2028</v>
          </cell>
          <cell r="D460">
            <v>3</v>
          </cell>
          <cell r="E460">
            <v>5</v>
          </cell>
          <cell r="F460">
            <v>0.4152039871</v>
          </cell>
          <cell r="G460">
            <v>62.72099712</v>
          </cell>
          <cell r="H460">
            <v>1.0759082550000001</v>
          </cell>
          <cell r="I460" t="str">
            <v>Air/Non-Local PT</v>
          </cell>
          <cell r="J460" t="str">
            <v>2027/28</v>
          </cell>
        </row>
        <row r="461">
          <cell r="A461" t="str">
            <v>06 HAWKE`S BAY</v>
          </cell>
          <cell r="B461">
            <v>10</v>
          </cell>
          <cell r="C461">
            <v>2033</v>
          </cell>
          <cell r="D461">
            <v>3</v>
          </cell>
          <cell r="E461">
            <v>5</v>
          </cell>
          <cell r="F461">
            <v>0.4032592022</v>
          </cell>
          <cell r="G461">
            <v>59.175429669000003</v>
          </cell>
          <cell r="H461">
            <v>1.0265110421000001</v>
          </cell>
          <cell r="I461" t="str">
            <v>Air/Non-Local PT</v>
          </cell>
          <cell r="J461" t="str">
            <v>2032/33</v>
          </cell>
        </row>
        <row r="462">
          <cell r="A462" t="str">
            <v>06 HAWKE`S BAY</v>
          </cell>
          <cell r="B462">
            <v>10</v>
          </cell>
          <cell r="C462">
            <v>2038</v>
          </cell>
          <cell r="D462">
            <v>3</v>
          </cell>
          <cell r="E462">
            <v>5</v>
          </cell>
          <cell r="F462">
            <v>0.39836075669999998</v>
          </cell>
          <cell r="G462">
            <v>58.712158320999997</v>
          </cell>
          <cell r="H462">
            <v>1.0161925516000001</v>
          </cell>
          <cell r="I462" t="str">
            <v>Air/Non-Local PT</v>
          </cell>
          <cell r="J462" t="str">
            <v>2037/38</v>
          </cell>
        </row>
        <row r="463">
          <cell r="A463" t="str">
            <v>06 HAWKE`S BAY</v>
          </cell>
          <cell r="B463">
            <v>10</v>
          </cell>
          <cell r="C463">
            <v>2043</v>
          </cell>
          <cell r="D463">
            <v>3</v>
          </cell>
          <cell r="E463">
            <v>5</v>
          </cell>
          <cell r="F463">
            <v>0.39058307419999999</v>
          </cell>
          <cell r="G463">
            <v>57.769298941000002</v>
          </cell>
          <cell r="H463">
            <v>0.99795236789999997</v>
          </cell>
          <cell r="I463" t="str">
            <v>Air/Non-Local PT</v>
          </cell>
          <cell r="J463" t="str">
            <v>2042/43</v>
          </cell>
        </row>
        <row r="464">
          <cell r="A464" t="str">
            <v>06 HAWKE`S BAY</v>
          </cell>
          <cell r="B464">
            <v>11</v>
          </cell>
          <cell r="C464">
            <v>2013</v>
          </cell>
          <cell r="D464">
            <v>8</v>
          </cell>
          <cell r="E464">
            <v>27</v>
          </cell>
          <cell r="F464">
            <v>0.84253347339999995</v>
          </cell>
          <cell r="G464">
            <v>31.621733808999998</v>
          </cell>
          <cell r="H464">
            <v>0.62196297879999995</v>
          </cell>
          <cell r="I464" t="str">
            <v>Non-Household Travel</v>
          </cell>
          <cell r="J464" t="str">
            <v>2012/13</v>
          </cell>
        </row>
        <row r="465">
          <cell r="A465" t="str">
            <v>06 HAWKE`S BAY</v>
          </cell>
          <cell r="B465">
            <v>11</v>
          </cell>
          <cell r="C465">
            <v>2018</v>
          </cell>
          <cell r="D465">
            <v>8</v>
          </cell>
          <cell r="E465">
            <v>27</v>
          </cell>
          <cell r="F465">
            <v>0.9532945746</v>
          </cell>
          <cell r="G465">
            <v>36.919926830999998</v>
          </cell>
          <cell r="H465">
            <v>0.72287574229999996</v>
          </cell>
          <cell r="I465" t="str">
            <v>Non-Household Travel</v>
          </cell>
          <cell r="J465" t="str">
            <v>2017/18</v>
          </cell>
        </row>
        <row r="466">
          <cell r="A466" t="str">
            <v>06 HAWKE`S BAY</v>
          </cell>
          <cell r="B466">
            <v>11</v>
          </cell>
          <cell r="C466">
            <v>2023</v>
          </cell>
          <cell r="D466">
            <v>8</v>
          </cell>
          <cell r="E466">
            <v>27</v>
          </cell>
          <cell r="F466">
            <v>1.0359565143</v>
          </cell>
          <cell r="G466">
            <v>39.901408740000001</v>
          </cell>
          <cell r="H466">
            <v>0.7868554311</v>
          </cell>
          <cell r="I466" t="str">
            <v>Non-Household Travel</v>
          </cell>
          <cell r="J466" t="str">
            <v>2022/23</v>
          </cell>
        </row>
        <row r="467">
          <cell r="A467" t="str">
            <v>06 HAWKE`S BAY</v>
          </cell>
          <cell r="B467">
            <v>11</v>
          </cell>
          <cell r="C467">
            <v>2028</v>
          </cell>
          <cell r="D467">
            <v>8</v>
          </cell>
          <cell r="E467">
            <v>27</v>
          </cell>
          <cell r="F467">
            <v>1.0549465431</v>
          </cell>
          <cell r="G467">
            <v>39.241486137000003</v>
          </cell>
          <cell r="H467">
            <v>0.78625564550000004</v>
          </cell>
          <cell r="I467" t="str">
            <v>Non-Household Travel</v>
          </cell>
          <cell r="J467" t="str">
            <v>2027/28</v>
          </cell>
        </row>
        <row r="468">
          <cell r="A468" t="str">
            <v>06 HAWKE`S BAY</v>
          </cell>
          <cell r="B468">
            <v>11</v>
          </cell>
          <cell r="C468">
            <v>2033</v>
          </cell>
          <cell r="D468">
            <v>8</v>
          </cell>
          <cell r="E468">
            <v>27</v>
          </cell>
          <cell r="F468">
            <v>1.052413007</v>
          </cell>
          <cell r="G468">
            <v>38.857774927999998</v>
          </cell>
          <cell r="H468">
            <v>0.78493185539999999</v>
          </cell>
          <cell r="I468" t="str">
            <v>Non-Household Travel</v>
          </cell>
          <cell r="J468" t="str">
            <v>2032/33</v>
          </cell>
        </row>
        <row r="469">
          <cell r="A469" t="str">
            <v>06 HAWKE`S BAY</v>
          </cell>
          <cell r="B469">
            <v>11</v>
          </cell>
          <cell r="C469">
            <v>2038</v>
          </cell>
          <cell r="D469">
            <v>8</v>
          </cell>
          <cell r="E469">
            <v>27</v>
          </cell>
          <cell r="F469">
            <v>1.0582786904999999</v>
          </cell>
          <cell r="G469">
            <v>39.240942146999998</v>
          </cell>
          <cell r="H469">
            <v>0.79643836509999999</v>
          </cell>
          <cell r="I469" t="str">
            <v>Non-Household Travel</v>
          </cell>
          <cell r="J469" t="str">
            <v>2037/38</v>
          </cell>
        </row>
        <row r="470">
          <cell r="A470" t="str">
            <v>06 HAWKE`S BAY</v>
          </cell>
          <cell r="B470">
            <v>11</v>
          </cell>
          <cell r="C470">
            <v>2043</v>
          </cell>
          <cell r="D470">
            <v>8</v>
          </cell>
          <cell r="E470">
            <v>27</v>
          </cell>
          <cell r="F470">
            <v>1.0587341873</v>
          </cell>
          <cell r="G470">
            <v>39.533119311</v>
          </cell>
          <cell r="H470">
            <v>0.80532963130000002</v>
          </cell>
          <cell r="I470" t="str">
            <v>Non-Household Travel</v>
          </cell>
          <cell r="J470" t="str">
            <v>2042/43</v>
          </cell>
        </row>
        <row r="471">
          <cell r="A471" t="str">
            <v>07 TARANAKI</v>
          </cell>
          <cell r="B471">
            <v>0</v>
          </cell>
          <cell r="C471">
            <v>2013</v>
          </cell>
          <cell r="D471">
            <v>314</v>
          </cell>
          <cell r="E471">
            <v>1091</v>
          </cell>
          <cell r="F471">
            <v>23.308571313000002</v>
          </cell>
          <cell r="G471">
            <v>16.820589198</v>
          </cell>
          <cell r="H471">
            <v>4.7547330373000003</v>
          </cell>
          <cell r="I471" t="str">
            <v>Pedestrian</v>
          </cell>
          <cell r="J471" t="str">
            <v>2012/13</v>
          </cell>
        </row>
        <row r="472">
          <cell r="A472" t="str">
            <v>07 TARANAKI</v>
          </cell>
          <cell r="B472">
            <v>0</v>
          </cell>
          <cell r="C472">
            <v>2018</v>
          </cell>
          <cell r="D472">
            <v>314</v>
          </cell>
          <cell r="E472">
            <v>1091</v>
          </cell>
          <cell r="F472">
            <v>24.428552687</v>
          </cell>
          <cell r="G472">
            <v>17.692860114999998</v>
          </cell>
          <cell r="H472">
            <v>4.8448275164999997</v>
          </cell>
          <cell r="I472" t="str">
            <v>Pedestrian</v>
          </cell>
          <cell r="J472" t="str">
            <v>2017/18</v>
          </cell>
        </row>
        <row r="473">
          <cell r="A473" t="str">
            <v>07 TARANAKI</v>
          </cell>
          <cell r="B473">
            <v>0</v>
          </cell>
          <cell r="C473">
            <v>2023</v>
          </cell>
          <cell r="D473">
            <v>314</v>
          </cell>
          <cell r="E473">
            <v>1091</v>
          </cell>
          <cell r="F473">
            <v>24.96163851</v>
          </cell>
          <cell r="G473">
            <v>18.161813358</v>
          </cell>
          <cell r="H473">
            <v>4.8476241167999996</v>
          </cell>
          <cell r="I473" t="str">
            <v>Pedestrian</v>
          </cell>
          <cell r="J473" t="str">
            <v>2022/23</v>
          </cell>
        </row>
        <row r="474">
          <cell r="A474" t="str">
            <v>07 TARANAKI</v>
          </cell>
          <cell r="B474">
            <v>0</v>
          </cell>
          <cell r="C474">
            <v>2028</v>
          </cell>
          <cell r="D474">
            <v>314</v>
          </cell>
          <cell r="E474">
            <v>1091</v>
          </cell>
          <cell r="F474">
            <v>25.145805365000001</v>
          </cell>
          <cell r="G474">
            <v>18.460673945</v>
          </cell>
          <cell r="H474">
            <v>4.8141978637999996</v>
          </cell>
          <cell r="I474" t="str">
            <v>Pedestrian</v>
          </cell>
          <cell r="J474" t="str">
            <v>2027/28</v>
          </cell>
        </row>
        <row r="475">
          <cell r="A475" t="str">
            <v>07 TARANAKI</v>
          </cell>
          <cell r="B475">
            <v>0</v>
          </cell>
          <cell r="C475">
            <v>2033</v>
          </cell>
          <cell r="D475">
            <v>314</v>
          </cell>
          <cell r="E475">
            <v>1091</v>
          </cell>
          <cell r="F475">
            <v>25.137351346999999</v>
          </cell>
          <cell r="G475">
            <v>18.583565827000001</v>
          </cell>
          <cell r="H475">
            <v>4.7676002443999996</v>
          </cell>
          <cell r="I475" t="str">
            <v>Pedestrian</v>
          </cell>
          <cell r="J475" t="str">
            <v>2032/33</v>
          </cell>
        </row>
        <row r="476">
          <cell r="A476" t="str">
            <v>07 TARANAKI</v>
          </cell>
          <cell r="B476">
            <v>0</v>
          </cell>
          <cell r="C476">
            <v>2038</v>
          </cell>
          <cell r="D476">
            <v>314</v>
          </cell>
          <cell r="E476">
            <v>1091</v>
          </cell>
          <cell r="F476">
            <v>25.024126322000001</v>
          </cell>
          <cell r="G476">
            <v>18.685750297999999</v>
          </cell>
          <cell r="H476">
            <v>4.7251269005000003</v>
          </cell>
          <cell r="I476" t="str">
            <v>Pedestrian</v>
          </cell>
          <cell r="J476" t="str">
            <v>2037/38</v>
          </cell>
        </row>
        <row r="477">
          <cell r="A477" t="str">
            <v>07 TARANAKI</v>
          </cell>
          <cell r="B477">
            <v>0</v>
          </cell>
          <cell r="C477">
            <v>2043</v>
          </cell>
          <cell r="D477">
            <v>314</v>
          </cell>
          <cell r="E477">
            <v>1091</v>
          </cell>
          <cell r="F477">
            <v>24.805968183000001</v>
          </cell>
          <cell r="G477">
            <v>18.718498239999999</v>
          </cell>
          <cell r="H477">
            <v>4.6699556394000004</v>
          </cell>
          <cell r="I477" t="str">
            <v>Pedestrian</v>
          </cell>
          <cell r="J477" t="str">
            <v>2042/43</v>
          </cell>
        </row>
        <row r="478">
          <cell r="A478" t="str">
            <v>07 TARANAKI</v>
          </cell>
          <cell r="B478">
            <v>1</v>
          </cell>
          <cell r="C478">
            <v>2013</v>
          </cell>
          <cell r="D478">
            <v>45</v>
          </cell>
          <cell r="E478">
            <v>133</v>
          </cell>
          <cell r="F478">
            <v>2.1611397319000001</v>
          </cell>
          <cell r="G478">
            <v>5.5737915155</v>
          </cell>
          <cell r="H478">
            <v>0.51341482110000003</v>
          </cell>
          <cell r="I478" t="str">
            <v>Cyclist</v>
          </cell>
          <cell r="J478" t="str">
            <v>2012/13</v>
          </cell>
        </row>
        <row r="479">
          <cell r="A479" t="str">
            <v>07 TARANAKI</v>
          </cell>
          <cell r="B479">
            <v>1</v>
          </cell>
          <cell r="C479">
            <v>2018</v>
          </cell>
          <cell r="D479">
            <v>45</v>
          </cell>
          <cell r="E479">
            <v>133</v>
          </cell>
          <cell r="F479">
            <v>2.1913231084999998</v>
          </cell>
          <cell r="G479">
            <v>5.7568896104</v>
          </cell>
          <cell r="H479">
            <v>0.53588330939999995</v>
          </cell>
          <cell r="I479" t="str">
            <v>Cyclist</v>
          </cell>
          <cell r="J479" t="str">
            <v>2017/18</v>
          </cell>
        </row>
        <row r="480">
          <cell r="A480" t="str">
            <v>07 TARANAKI</v>
          </cell>
          <cell r="B480">
            <v>1</v>
          </cell>
          <cell r="C480">
            <v>2023</v>
          </cell>
          <cell r="D480">
            <v>45</v>
          </cell>
          <cell r="E480">
            <v>133</v>
          </cell>
          <cell r="F480">
            <v>2.1918669836000002</v>
          </cell>
          <cell r="G480">
            <v>5.8132661280000004</v>
          </cell>
          <cell r="H480">
            <v>0.54417950569999995</v>
          </cell>
          <cell r="I480" t="str">
            <v>Cyclist</v>
          </cell>
          <cell r="J480" t="str">
            <v>2022/23</v>
          </cell>
        </row>
        <row r="481">
          <cell r="A481" t="str">
            <v>07 TARANAKI</v>
          </cell>
          <cell r="B481">
            <v>1</v>
          </cell>
          <cell r="C481">
            <v>2028</v>
          </cell>
          <cell r="D481">
            <v>45</v>
          </cell>
          <cell r="E481">
            <v>133</v>
          </cell>
          <cell r="F481">
            <v>2.1811750935999998</v>
          </cell>
          <cell r="G481">
            <v>5.6996068239</v>
          </cell>
          <cell r="H481">
            <v>0.53918220480000001</v>
          </cell>
          <cell r="I481" t="str">
            <v>Cyclist</v>
          </cell>
          <cell r="J481" t="str">
            <v>2027/28</v>
          </cell>
        </row>
        <row r="482">
          <cell r="A482" t="str">
            <v>07 TARANAKI</v>
          </cell>
          <cell r="B482">
            <v>1</v>
          </cell>
          <cell r="C482">
            <v>2033</v>
          </cell>
          <cell r="D482">
            <v>45</v>
          </cell>
          <cell r="E482">
            <v>133</v>
          </cell>
          <cell r="F482">
            <v>2.1765782403</v>
          </cell>
          <cell r="G482">
            <v>5.7519651597000001</v>
          </cell>
          <cell r="H482">
            <v>0.54710030129999998</v>
          </cell>
          <cell r="I482" t="str">
            <v>Cyclist</v>
          </cell>
          <cell r="J482" t="str">
            <v>2032/33</v>
          </cell>
        </row>
        <row r="483">
          <cell r="A483" t="str">
            <v>07 TARANAKI</v>
          </cell>
          <cell r="B483">
            <v>1</v>
          </cell>
          <cell r="C483">
            <v>2038</v>
          </cell>
          <cell r="D483">
            <v>45</v>
          </cell>
          <cell r="E483">
            <v>133</v>
          </cell>
          <cell r="F483">
            <v>2.1376069092000001</v>
          </cell>
          <cell r="G483">
            <v>5.9056402023999999</v>
          </cell>
          <cell r="H483">
            <v>0.55999709220000005</v>
          </cell>
          <cell r="I483" t="str">
            <v>Cyclist</v>
          </cell>
          <cell r="J483" t="str">
            <v>2037/38</v>
          </cell>
        </row>
        <row r="484">
          <cell r="A484" t="str">
            <v>07 TARANAKI</v>
          </cell>
          <cell r="B484">
            <v>1</v>
          </cell>
          <cell r="C484">
            <v>2043</v>
          </cell>
          <cell r="D484">
            <v>45</v>
          </cell>
          <cell r="E484">
            <v>133</v>
          </cell>
          <cell r="F484">
            <v>2.0943327346</v>
          </cell>
          <cell r="G484">
            <v>6.0717625328000002</v>
          </cell>
          <cell r="H484">
            <v>0.57333967190000001</v>
          </cell>
          <cell r="I484" t="str">
            <v>Cyclist</v>
          </cell>
          <cell r="J484" t="str">
            <v>2042/43</v>
          </cell>
        </row>
        <row r="485">
          <cell r="A485" t="str">
            <v>07 TARANAKI</v>
          </cell>
          <cell r="B485">
            <v>2</v>
          </cell>
          <cell r="C485">
            <v>2013</v>
          </cell>
          <cell r="D485">
            <v>575</v>
          </cell>
          <cell r="E485">
            <v>4143</v>
          </cell>
          <cell r="F485">
            <v>90.801950900999998</v>
          </cell>
          <cell r="G485">
            <v>933.36875414999997</v>
          </cell>
          <cell r="H485">
            <v>21.205429401</v>
          </cell>
          <cell r="I485" t="str">
            <v>Light Vehicle Driver</v>
          </cell>
          <cell r="J485" t="str">
            <v>2012/13</v>
          </cell>
        </row>
        <row r="486">
          <cell r="A486" t="str">
            <v>07 TARANAKI</v>
          </cell>
          <cell r="B486">
            <v>2</v>
          </cell>
          <cell r="C486">
            <v>2018</v>
          </cell>
          <cell r="D486">
            <v>575</v>
          </cell>
          <cell r="E486">
            <v>4143</v>
          </cell>
          <cell r="F486">
            <v>97.579419178999999</v>
          </cell>
          <cell r="G486">
            <v>1016.0998587</v>
          </cell>
          <cell r="H486">
            <v>22.978617472</v>
          </cell>
          <cell r="I486" t="str">
            <v>Light Vehicle Driver</v>
          </cell>
          <cell r="J486" t="str">
            <v>2017/18</v>
          </cell>
        </row>
        <row r="487">
          <cell r="A487" t="str">
            <v>07 TARANAKI</v>
          </cell>
          <cell r="B487">
            <v>2</v>
          </cell>
          <cell r="C487">
            <v>2023</v>
          </cell>
          <cell r="D487">
            <v>575</v>
          </cell>
          <cell r="E487">
            <v>4143</v>
          </cell>
          <cell r="F487">
            <v>102.58171752</v>
          </cell>
          <cell r="G487">
            <v>1075.0754944</v>
          </cell>
          <cell r="H487">
            <v>24.269862109999998</v>
          </cell>
          <cell r="I487" t="str">
            <v>Light Vehicle Driver</v>
          </cell>
          <cell r="J487" t="str">
            <v>2022/23</v>
          </cell>
        </row>
        <row r="488">
          <cell r="A488" t="str">
            <v>07 TARANAKI</v>
          </cell>
          <cell r="B488">
            <v>2</v>
          </cell>
          <cell r="C488">
            <v>2028</v>
          </cell>
          <cell r="D488">
            <v>575</v>
          </cell>
          <cell r="E488">
            <v>4143</v>
          </cell>
          <cell r="F488">
            <v>105.43772668</v>
          </cell>
          <cell r="G488">
            <v>1097.911617</v>
          </cell>
          <cell r="H488">
            <v>24.896221031</v>
          </cell>
          <cell r="I488" t="str">
            <v>Light Vehicle Driver</v>
          </cell>
          <cell r="J488" t="str">
            <v>2027/28</v>
          </cell>
        </row>
        <row r="489">
          <cell r="A489" t="str">
            <v>07 TARANAKI</v>
          </cell>
          <cell r="B489">
            <v>2</v>
          </cell>
          <cell r="C489">
            <v>2033</v>
          </cell>
          <cell r="D489">
            <v>575</v>
          </cell>
          <cell r="E489">
            <v>4143</v>
          </cell>
          <cell r="F489">
            <v>106.48039591</v>
          </cell>
          <cell r="G489">
            <v>1102.4804220999999</v>
          </cell>
          <cell r="H489">
            <v>25.116881281000001</v>
          </cell>
          <cell r="I489" t="str">
            <v>Light Vehicle Driver</v>
          </cell>
          <cell r="J489" t="str">
            <v>2032/33</v>
          </cell>
        </row>
        <row r="490">
          <cell r="A490" t="str">
            <v>07 TARANAKI</v>
          </cell>
          <cell r="B490">
            <v>2</v>
          </cell>
          <cell r="C490">
            <v>2038</v>
          </cell>
          <cell r="D490">
            <v>575</v>
          </cell>
          <cell r="E490">
            <v>4143</v>
          </cell>
          <cell r="F490">
            <v>107.54551639</v>
          </cell>
          <cell r="G490">
            <v>1119.7332316</v>
          </cell>
          <cell r="H490">
            <v>25.485904085000001</v>
          </cell>
          <cell r="I490" t="str">
            <v>Light Vehicle Driver</v>
          </cell>
          <cell r="J490" t="str">
            <v>2037/38</v>
          </cell>
        </row>
        <row r="491">
          <cell r="A491" t="str">
            <v>07 TARANAKI</v>
          </cell>
          <cell r="B491">
            <v>2</v>
          </cell>
          <cell r="C491">
            <v>2043</v>
          </cell>
          <cell r="D491">
            <v>575</v>
          </cell>
          <cell r="E491">
            <v>4143</v>
          </cell>
          <cell r="F491">
            <v>108.179361</v>
          </cell>
          <cell r="G491">
            <v>1133.2985885999999</v>
          </cell>
          <cell r="H491">
            <v>25.762159809</v>
          </cell>
          <cell r="I491" t="str">
            <v>Light Vehicle Driver</v>
          </cell>
          <cell r="J491" t="str">
            <v>2042/43</v>
          </cell>
        </row>
        <row r="492">
          <cell r="A492" t="str">
            <v>07 TARANAKI</v>
          </cell>
          <cell r="B492">
            <v>3</v>
          </cell>
          <cell r="C492">
            <v>2013</v>
          </cell>
          <cell r="D492">
            <v>446</v>
          </cell>
          <cell r="E492">
            <v>2212</v>
          </cell>
          <cell r="F492">
            <v>45.48406773</v>
          </cell>
          <cell r="G492">
            <v>656.25872372000003</v>
          </cell>
          <cell r="H492">
            <v>13.125178352000001</v>
          </cell>
          <cell r="I492" t="str">
            <v>Light Vehicle Passenger</v>
          </cell>
          <cell r="J492" t="str">
            <v>2012/13</v>
          </cell>
        </row>
        <row r="493">
          <cell r="A493" t="str">
            <v>07 TARANAKI</v>
          </cell>
          <cell r="B493">
            <v>3</v>
          </cell>
          <cell r="C493">
            <v>2018</v>
          </cell>
          <cell r="D493">
            <v>446</v>
          </cell>
          <cell r="E493">
            <v>2212</v>
          </cell>
          <cell r="F493">
            <v>46.032677818000003</v>
          </cell>
          <cell r="G493">
            <v>659.98628889999998</v>
          </cell>
          <cell r="H493">
            <v>13.224899907999999</v>
          </cell>
          <cell r="I493" t="str">
            <v>Light Vehicle Passenger</v>
          </cell>
          <cell r="J493" t="str">
            <v>2017/18</v>
          </cell>
        </row>
        <row r="494">
          <cell r="A494" t="str">
            <v>07 TARANAKI</v>
          </cell>
          <cell r="B494">
            <v>3</v>
          </cell>
          <cell r="C494">
            <v>2023</v>
          </cell>
          <cell r="D494">
            <v>446</v>
          </cell>
          <cell r="E494">
            <v>2212</v>
          </cell>
          <cell r="F494">
            <v>45.911958089000002</v>
          </cell>
          <cell r="G494">
            <v>652.95767995000006</v>
          </cell>
          <cell r="H494">
            <v>13.125696669</v>
          </cell>
          <cell r="I494" t="str">
            <v>Light Vehicle Passenger</v>
          </cell>
          <cell r="J494" t="str">
            <v>2022/23</v>
          </cell>
        </row>
        <row r="495">
          <cell r="A495" t="str">
            <v>07 TARANAKI</v>
          </cell>
          <cell r="B495">
            <v>3</v>
          </cell>
          <cell r="C495">
            <v>2028</v>
          </cell>
          <cell r="D495">
            <v>446</v>
          </cell>
          <cell r="E495">
            <v>2212</v>
          </cell>
          <cell r="F495">
            <v>45.614941270999999</v>
          </cell>
          <cell r="G495">
            <v>644.54715467000005</v>
          </cell>
          <cell r="H495">
            <v>13.003220754999999</v>
          </cell>
          <cell r="I495" t="str">
            <v>Light Vehicle Passenger</v>
          </cell>
          <cell r="J495" t="str">
            <v>2027/28</v>
          </cell>
        </row>
        <row r="496">
          <cell r="A496" t="str">
            <v>07 TARANAKI</v>
          </cell>
          <cell r="B496">
            <v>3</v>
          </cell>
          <cell r="C496">
            <v>2033</v>
          </cell>
          <cell r="D496">
            <v>446</v>
          </cell>
          <cell r="E496">
            <v>2212</v>
          </cell>
          <cell r="F496">
            <v>45.424986099000002</v>
          </cell>
          <cell r="G496">
            <v>639.51516071000003</v>
          </cell>
          <cell r="H496">
            <v>12.923563667</v>
          </cell>
          <cell r="I496" t="str">
            <v>Light Vehicle Passenger</v>
          </cell>
          <cell r="J496" t="str">
            <v>2032/33</v>
          </cell>
        </row>
        <row r="497">
          <cell r="A497" t="str">
            <v>07 TARANAKI</v>
          </cell>
          <cell r="B497">
            <v>3</v>
          </cell>
          <cell r="C497">
            <v>2038</v>
          </cell>
          <cell r="D497">
            <v>446</v>
          </cell>
          <cell r="E497">
            <v>2212</v>
          </cell>
          <cell r="F497">
            <v>45.101060617999998</v>
          </cell>
          <cell r="G497">
            <v>629.40956846999995</v>
          </cell>
          <cell r="H497">
            <v>12.756094574</v>
          </cell>
          <cell r="I497" t="str">
            <v>Light Vehicle Passenger</v>
          </cell>
          <cell r="J497" t="str">
            <v>2037/38</v>
          </cell>
        </row>
        <row r="498">
          <cell r="A498" t="str">
            <v>07 TARANAKI</v>
          </cell>
          <cell r="B498">
            <v>3</v>
          </cell>
          <cell r="C498">
            <v>2043</v>
          </cell>
          <cell r="D498">
            <v>446</v>
          </cell>
          <cell r="E498">
            <v>2212</v>
          </cell>
          <cell r="F498">
            <v>44.563696704000002</v>
          </cell>
          <cell r="G498">
            <v>616.93854875</v>
          </cell>
          <cell r="H498">
            <v>12.534678293000001</v>
          </cell>
          <cell r="I498" t="str">
            <v>Light Vehicle Passenger</v>
          </cell>
          <cell r="J498" t="str">
            <v>2042/43</v>
          </cell>
        </row>
        <row r="499">
          <cell r="A499" t="str">
            <v>07 TARANAKI</v>
          </cell>
          <cell r="B499">
            <v>4</v>
          </cell>
          <cell r="C499">
            <v>2013</v>
          </cell>
          <cell r="D499">
            <v>10</v>
          </cell>
          <cell r="E499">
            <v>18</v>
          </cell>
          <cell r="F499">
            <v>0.56194422089999996</v>
          </cell>
          <cell r="G499">
            <v>1.1335038904000001</v>
          </cell>
          <cell r="H499">
            <v>0.10005985589999999</v>
          </cell>
          <cell r="J499" t="str">
            <v>2012/13</v>
          </cell>
        </row>
        <row r="500">
          <cell r="A500" t="str">
            <v>07 TARANAKI</v>
          </cell>
          <cell r="B500">
            <v>4</v>
          </cell>
          <cell r="C500">
            <v>2018</v>
          </cell>
          <cell r="D500">
            <v>10</v>
          </cell>
          <cell r="E500">
            <v>18</v>
          </cell>
          <cell r="F500">
            <v>0.68077201769999995</v>
          </cell>
          <cell r="G500">
            <v>1.3774725749000001</v>
          </cell>
          <cell r="H500">
            <v>0.1220870419</v>
          </cell>
          <cell r="J500" t="str">
            <v>2017/18</v>
          </cell>
        </row>
        <row r="501">
          <cell r="A501" t="str">
            <v>07 TARANAKI</v>
          </cell>
          <cell r="B501">
            <v>4</v>
          </cell>
          <cell r="C501">
            <v>2023</v>
          </cell>
          <cell r="D501">
            <v>10</v>
          </cell>
          <cell r="E501">
            <v>18</v>
          </cell>
          <cell r="F501">
            <v>0.74640816600000004</v>
          </cell>
          <cell r="G501">
            <v>1.5229465226000001</v>
          </cell>
          <cell r="H501">
            <v>0.134237786</v>
          </cell>
          <cell r="J501" t="str">
            <v>2022/23</v>
          </cell>
        </row>
        <row r="502">
          <cell r="A502" t="str">
            <v>07 TARANAKI</v>
          </cell>
          <cell r="B502">
            <v>4</v>
          </cell>
          <cell r="C502">
            <v>2028</v>
          </cell>
          <cell r="D502">
            <v>10</v>
          </cell>
          <cell r="E502">
            <v>18</v>
          </cell>
          <cell r="F502">
            <v>0.80749891750000002</v>
          </cell>
          <cell r="G502">
            <v>1.6576578834</v>
          </cell>
          <cell r="H502">
            <v>0.14559617459999999</v>
          </cell>
          <cell r="J502" t="str">
            <v>2027/28</v>
          </cell>
        </row>
        <row r="503">
          <cell r="A503" t="str">
            <v>07 TARANAKI</v>
          </cell>
          <cell r="B503">
            <v>4</v>
          </cell>
          <cell r="C503">
            <v>2033</v>
          </cell>
          <cell r="D503">
            <v>10</v>
          </cell>
          <cell r="E503">
            <v>18</v>
          </cell>
          <cell r="F503">
            <v>0.82242841519999998</v>
          </cell>
          <cell r="G503">
            <v>1.6994461579</v>
          </cell>
          <cell r="H503">
            <v>0.14927107070000001</v>
          </cell>
          <cell r="J503" t="str">
            <v>2032/33</v>
          </cell>
        </row>
        <row r="504">
          <cell r="A504" t="str">
            <v>07 TARANAKI</v>
          </cell>
          <cell r="B504">
            <v>4</v>
          </cell>
          <cell r="C504">
            <v>2038</v>
          </cell>
          <cell r="D504">
            <v>10</v>
          </cell>
          <cell r="E504">
            <v>18</v>
          </cell>
          <cell r="F504">
            <v>0.82829720579999999</v>
          </cell>
          <cell r="G504">
            <v>1.7276466235000001</v>
          </cell>
          <cell r="H504">
            <v>0.15031044330000001</v>
          </cell>
          <cell r="J504" t="str">
            <v>2037/38</v>
          </cell>
        </row>
        <row r="505">
          <cell r="A505" t="str">
            <v>07 TARANAKI</v>
          </cell>
          <cell r="B505">
            <v>4</v>
          </cell>
          <cell r="C505">
            <v>2043</v>
          </cell>
          <cell r="D505">
            <v>10</v>
          </cell>
          <cell r="E505">
            <v>18</v>
          </cell>
          <cell r="F505">
            <v>0.82641757390000004</v>
          </cell>
          <cell r="G505">
            <v>1.7404999216999999</v>
          </cell>
          <cell r="H505">
            <v>0.1499562931</v>
          </cell>
          <cell r="J505" t="str">
            <v>2042/43</v>
          </cell>
        </row>
        <row r="506">
          <cell r="A506" t="str">
            <v>07 TARANAKI</v>
          </cell>
          <cell r="B506">
            <v>5</v>
          </cell>
          <cell r="C506">
            <v>2013</v>
          </cell>
          <cell r="D506">
            <v>14</v>
          </cell>
          <cell r="E506">
            <v>51</v>
          </cell>
          <cell r="F506">
            <v>1.091812341</v>
          </cell>
          <cell r="G506">
            <v>7.0100687938000004</v>
          </cell>
          <cell r="H506">
            <v>0.25001806910000002</v>
          </cell>
          <cell r="I506" t="str">
            <v>Motorcyclist</v>
          </cell>
          <cell r="J506" t="str">
            <v>2012/13</v>
          </cell>
        </row>
        <row r="507">
          <cell r="A507" t="str">
            <v>07 TARANAKI</v>
          </cell>
          <cell r="B507">
            <v>5</v>
          </cell>
          <cell r="C507">
            <v>2018</v>
          </cell>
          <cell r="D507">
            <v>14</v>
          </cell>
          <cell r="E507">
            <v>51</v>
          </cell>
          <cell r="F507">
            <v>1.1613104882</v>
          </cell>
          <cell r="G507">
            <v>7.3616165814999999</v>
          </cell>
          <cell r="H507">
            <v>0.26235057969999998</v>
          </cell>
          <cell r="I507" t="str">
            <v>Motorcyclist</v>
          </cell>
          <cell r="J507" t="str">
            <v>2017/18</v>
          </cell>
        </row>
        <row r="508">
          <cell r="A508" t="str">
            <v>07 TARANAKI</v>
          </cell>
          <cell r="B508">
            <v>5</v>
          </cell>
          <cell r="C508">
            <v>2023</v>
          </cell>
          <cell r="D508">
            <v>14</v>
          </cell>
          <cell r="E508">
            <v>51</v>
          </cell>
          <cell r="F508">
            <v>1.1650970164000001</v>
          </cell>
          <cell r="G508">
            <v>7.5482259983000004</v>
          </cell>
          <cell r="H508">
            <v>0.26896151899999998</v>
          </cell>
          <cell r="I508" t="str">
            <v>Motorcyclist</v>
          </cell>
          <cell r="J508" t="str">
            <v>2022/23</v>
          </cell>
        </row>
        <row r="509">
          <cell r="A509" t="str">
            <v>07 TARANAKI</v>
          </cell>
          <cell r="B509">
            <v>5</v>
          </cell>
          <cell r="C509">
            <v>2028</v>
          </cell>
          <cell r="D509">
            <v>14</v>
          </cell>
          <cell r="E509">
            <v>51</v>
          </cell>
          <cell r="F509">
            <v>1.0978777792000001</v>
          </cell>
          <cell r="G509">
            <v>7.5912994403000003</v>
          </cell>
          <cell r="H509">
            <v>0.26732330100000001</v>
          </cell>
          <cell r="I509" t="str">
            <v>Motorcyclist</v>
          </cell>
          <cell r="J509" t="str">
            <v>2027/28</v>
          </cell>
        </row>
        <row r="510">
          <cell r="A510" t="str">
            <v>07 TARANAKI</v>
          </cell>
          <cell r="B510">
            <v>5</v>
          </cell>
          <cell r="C510">
            <v>2033</v>
          </cell>
          <cell r="D510">
            <v>14</v>
          </cell>
          <cell r="E510">
            <v>51</v>
          </cell>
          <cell r="F510">
            <v>1.0427687430999999</v>
          </cell>
          <cell r="G510">
            <v>7.3651743781999999</v>
          </cell>
          <cell r="H510">
            <v>0.26230508330000002</v>
          </cell>
          <cell r="I510" t="str">
            <v>Motorcyclist</v>
          </cell>
          <cell r="J510" t="str">
            <v>2032/33</v>
          </cell>
        </row>
        <row r="511">
          <cell r="A511" t="str">
            <v>07 TARANAKI</v>
          </cell>
          <cell r="B511">
            <v>5</v>
          </cell>
          <cell r="C511">
            <v>2038</v>
          </cell>
          <cell r="D511">
            <v>14</v>
          </cell>
          <cell r="E511">
            <v>51</v>
          </cell>
          <cell r="F511">
            <v>1.0278800849</v>
          </cell>
          <cell r="G511">
            <v>7.1202191655</v>
          </cell>
          <cell r="H511">
            <v>0.25890436659999999</v>
          </cell>
          <cell r="I511" t="str">
            <v>Motorcyclist</v>
          </cell>
          <cell r="J511" t="str">
            <v>2037/38</v>
          </cell>
        </row>
        <row r="512">
          <cell r="A512" t="str">
            <v>07 TARANAKI</v>
          </cell>
          <cell r="B512">
            <v>5</v>
          </cell>
          <cell r="C512">
            <v>2043</v>
          </cell>
          <cell r="D512">
            <v>14</v>
          </cell>
          <cell r="E512">
            <v>51</v>
          </cell>
          <cell r="F512">
            <v>1.0076347406999999</v>
          </cell>
          <cell r="G512">
            <v>6.8540262323999999</v>
          </cell>
          <cell r="H512">
            <v>0.25501917489999998</v>
          </cell>
          <cell r="I512" t="str">
            <v>Motorcyclist</v>
          </cell>
          <cell r="J512" t="str">
            <v>2042/43</v>
          </cell>
        </row>
        <row r="513">
          <cell r="A513" t="str">
            <v>07 TARANAKI</v>
          </cell>
          <cell r="B513">
            <v>6</v>
          </cell>
          <cell r="C513">
            <v>2013</v>
          </cell>
          <cell r="D513">
            <v>1</v>
          </cell>
          <cell r="E513">
            <v>2</v>
          </cell>
          <cell r="F513">
            <v>5.3266318100000001E-2</v>
          </cell>
          <cell r="G513">
            <v>0.36455468079999997</v>
          </cell>
          <cell r="H513">
            <v>8.8777196999999999E-3</v>
          </cell>
          <cell r="I513" t="str">
            <v>Local Train</v>
          </cell>
          <cell r="J513" t="str">
            <v>2012/13</v>
          </cell>
        </row>
        <row r="514">
          <cell r="A514" t="str">
            <v>07 TARANAKI</v>
          </cell>
          <cell r="B514">
            <v>6</v>
          </cell>
          <cell r="C514">
            <v>2018</v>
          </cell>
          <cell r="D514">
            <v>1</v>
          </cell>
          <cell r="E514">
            <v>2</v>
          </cell>
          <cell r="F514">
            <v>5.1742098600000001E-2</v>
          </cell>
          <cell r="G514">
            <v>0.35412292249999999</v>
          </cell>
          <cell r="H514">
            <v>8.6236830999999996E-3</v>
          </cell>
          <cell r="I514" t="str">
            <v>Local Train</v>
          </cell>
          <cell r="J514" t="str">
            <v>2017/18</v>
          </cell>
        </row>
        <row r="515">
          <cell r="A515" t="str">
            <v>07 TARANAKI</v>
          </cell>
          <cell r="B515">
            <v>6</v>
          </cell>
          <cell r="C515">
            <v>2023</v>
          </cell>
          <cell r="D515">
            <v>1</v>
          </cell>
          <cell r="E515">
            <v>2</v>
          </cell>
          <cell r="F515">
            <v>4.6649097700000003E-2</v>
          </cell>
          <cell r="G515">
            <v>0.31926642459999999</v>
          </cell>
          <cell r="H515">
            <v>7.7748495999999997E-3</v>
          </cell>
          <cell r="I515" t="str">
            <v>Local Train</v>
          </cell>
          <cell r="J515" t="str">
            <v>2022/23</v>
          </cell>
        </row>
        <row r="516">
          <cell r="A516" t="str">
            <v>07 TARANAKI</v>
          </cell>
          <cell r="B516">
            <v>6</v>
          </cell>
          <cell r="C516">
            <v>2028</v>
          </cell>
          <cell r="D516">
            <v>1</v>
          </cell>
          <cell r="E516">
            <v>2</v>
          </cell>
          <cell r="F516">
            <v>4.3200567699999998E-2</v>
          </cell>
          <cell r="G516">
            <v>0.2956646852</v>
          </cell>
          <cell r="H516">
            <v>7.2000946E-3</v>
          </cell>
          <cell r="I516" t="str">
            <v>Local Train</v>
          </cell>
          <cell r="J516" t="str">
            <v>2027/28</v>
          </cell>
        </row>
        <row r="517">
          <cell r="A517" t="str">
            <v>07 TARANAKI</v>
          </cell>
          <cell r="B517">
            <v>6</v>
          </cell>
          <cell r="C517">
            <v>2033</v>
          </cell>
          <cell r="D517">
            <v>1</v>
          </cell>
          <cell r="E517">
            <v>2</v>
          </cell>
          <cell r="F517">
            <v>4.5008697E-2</v>
          </cell>
          <cell r="G517">
            <v>0.30803952200000001</v>
          </cell>
          <cell r="H517">
            <v>7.5014495E-3</v>
          </cell>
          <cell r="I517" t="str">
            <v>Local Train</v>
          </cell>
          <cell r="J517" t="str">
            <v>2032/33</v>
          </cell>
        </row>
        <row r="518">
          <cell r="A518" t="str">
            <v>07 TARANAKI</v>
          </cell>
          <cell r="B518">
            <v>6</v>
          </cell>
          <cell r="C518">
            <v>2038</v>
          </cell>
          <cell r="D518">
            <v>1</v>
          </cell>
          <cell r="E518">
            <v>2</v>
          </cell>
          <cell r="F518">
            <v>5.0112339499999999E-2</v>
          </cell>
          <cell r="G518">
            <v>0.34296885119999998</v>
          </cell>
          <cell r="H518">
            <v>8.3520565999999994E-3</v>
          </cell>
          <cell r="I518" t="str">
            <v>Local Train</v>
          </cell>
          <cell r="J518" t="str">
            <v>2037/38</v>
          </cell>
        </row>
        <row r="519">
          <cell r="A519" t="str">
            <v>07 TARANAKI</v>
          </cell>
          <cell r="B519">
            <v>6</v>
          </cell>
          <cell r="C519">
            <v>2043</v>
          </cell>
          <cell r="D519">
            <v>1</v>
          </cell>
          <cell r="E519">
            <v>2</v>
          </cell>
          <cell r="F519">
            <v>5.4499178799999999E-2</v>
          </cell>
          <cell r="G519">
            <v>0.3729923798</v>
          </cell>
          <cell r="H519">
            <v>9.0831964999999997E-3</v>
          </cell>
          <cell r="I519" t="str">
            <v>Local Train</v>
          </cell>
          <cell r="J519" t="str">
            <v>2042/43</v>
          </cell>
        </row>
        <row r="520">
          <cell r="A520" t="str">
            <v>07 TARANAKI</v>
          </cell>
          <cell r="B520">
            <v>7</v>
          </cell>
          <cell r="C520">
            <v>2013</v>
          </cell>
          <cell r="D520">
            <v>22</v>
          </cell>
          <cell r="E520">
            <v>54</v>
          </cell>
          <cell r="F520">
            <v>1.2787514622</v>
          </cell>
          <cell r="G520">
            <v>14.084735078</v>
          </cell>
          <cell r="H520">
            <v>0.4632962336</v>
          </cell>
          <cell r="I520" t="str">
            <v>Local Bus</v>
          </cell>
          <cell r="J520" t="str">
            <v>2012/13</v>
          </cell>
        </row>
        <row r="521">
          <cell r="A521" t="str">
            <v>07 TARANAKI</v>
          </cell>
          <cell r="B521">
            <v>7</v>
          </cell>
          <cell r="C521">
            <v>2018</v>
          </cell>
          <cell r="D521">
            <v>22</v>
          </cell>
          <cell r="E521">
            <v>54</v>
          </cell>
          <cell r="F521">
            <v>1.3193405162</v>
          </cell>
          <cell r="G521">
            <v>15.253779988</v>
          </cell>
          <cell r="H521">
            <v>0.47511396519999999</v>
          </cell>
          <cell r="I521" t="str">
            <v>Local Bus</v>
          </cell>
          <cell r="J521" t="str">
            <v>2017/18</v>
          </cell>
        </row>
        <row r="522">
          <cell r="A522" t="str">
            <v>07 TARANAKI</v>
          </cell>
          <cell r="B522">
            <v>7</v>
          </cell>
          <cell r="C522">
            <v>2023</v>
          </cell>
          <cell r="D522">
            <v>22</v>
          </cell>
          <cell r="E522">
            <v>54</v>
          </cell>
          <cell r="F522">
            <v>1.3350223726999999</v>
          </cell>
          <cell r="G522">
            <v>16.078152168999999</v>
          </cell>
          <cell r="H522">
            <v>0.48012833739999999</v>
          </cell>
          <cell r="I522" t="str">
            <v>Local Bus</v>
          </cell>
          <cell r="J522" t="str">
            <v>2022/23</v>
          </cell>
        </row>
        <row r="523">
          <cell r="A523" t="str">
            <v>07 TARANAKI</v>
          </cell>
          <cell r="B523">
            <v>7</v>
          </cell>
          <cell r="C523">
            <v>2028</v>
          </cell>
          <cell r="D523">
            <v>22</v>
          </cell>
          <cell r="E523">
            <v>54</v>
          </cell>
          <cell r="F523">
            <v>1.30795017</v>
          </cell>
          <cell r="G523">
            <v>15.948698133000001</v>
          </cell>
          <cell r="H523">
            <v>0.46893181540000001</v>
          </cell>
          <cell r="I523" t="str">
            <v>Local Bus</v>
          </cell>
          <cell r="J523" t="str">
            <v>2027/28</v>
          </cell>
        </row>
        <row r="524">
          <cell r="A524" t="str">
            <v>07 TARANAKI</v>
          </cell>
          <cell r="B524">
            <v>7</v>
          </cell>
          <cell r="C524">
            <v>2033</v>
          </cell>
          <cell r="D524">
            <v>22</v>
          </cell>
          <cell r="E524">
            <v>54</v>
          </cell>
          <cell r="F524">
            <v>1.2622677299</v>
          </cell>
          <cell r="G524">
            <v>15.591665045999999</v>
          </cell>
          <cell r="H524">
            <v>0.4522052439</v>
          </cell>
          <cell r="I524" t="str">
            <v>Local Bus</v>
          </cell>
          <cell r="J524" t="str">
            <v>2032/33</v>
          </cell>
        </row>
        <row r="525">
          <cell r="A525" t="str">
            <v>07 TARANAKI</v>
          </cell>
          <cell r="B525">
            <v>7</v>
          </cell>
          <cell r="C525">
            <v>2038</v>
          </cell>
          <cell r="D525">
            <v>22</v>
          </cell>
          <cell r="E525">
            <v>54</v>
          </cell>
          <cell r="F525">
            <v>1.2700775642</v>
          </cell>
          <cell r="G525">
            <v>16.466354347999999</v>
          </cell>
          <cell r="H525">
            <v>0.46010152160000001</v>
          </cell>
          <cell r="I525" t="str">
            <v>Local Bus</v>
          </cell>
          <cell r="J525" t="str">
            <v>2037/38</v>
          </cell>
        </row>
        <row r="526">
          <cell r="A526" t="str">
            <v>07 TARANAKI</v>
          </cell>
          <cell r="B526">
            <v>7</v>
          </cell>
          <cell r="C526">
            <v>2043</v>
          </cell>
          <cell r="D526">
            <v>22</v>
          </cell>
          <cell r="E526">
            <v>54</v>
          </cell>
          <cell r="F526">
            <v>1.2750341216000001</v>
          </cell>
          <cell r="G526">
            <v>17.371395704000001</v>
          </cell>
          <cell r="H526">
            <v>0.4677306188</v>
          </cell>
          <cell r="I526" t="str">
            <v>Local Bus</v>
          </cell>
          <cell r="J526" t="str">
            <v>2042/43</v>
          </cell>
        </row>
        <row r="527">
          <cell r="A527" t="str">
            <v>07 TARANAKI</v>
          </cell>
          <cell r="B527">
            <v>9</v>
          </cell>
          <cell r="C527">
            <v>2013</v>
          </cell>
          <cell r="D527">
            <v>4</v>
          </cell>
          <cell r="E527">
            <v>11</v>
          </cell>
          <cell r="F527">
            <v>0.17475937220000001</v>
          </cell>
          <cell r="G527">
            <v>0</v>
          </cell>
          <cell r="H527">
            <v>5.6354069499999999E-2</v>
          </cell>
          <cell r="I527" t="str">
            <v>Other Household Travel</v>
          </cell>
          <cell r="J527" t="str">
            <v>2012/13</v>
          </cell>
        </row>
        <row r="528">
          <cell r="A528" t="str">
            <v>07 TARANAKI</v>
          </cell>
          <cell r="B528">
            <v>9</v>
          </cell>
          <cell r="C528">
            <v>2018</v>
          </cell>
          <cell r="D528">
            <v>4</v>
          </cell>
          <cell r="E528">
            <v>11</v>
          </cell>
          <cell r="F528">
            <v>0.1855548575</v>
          </cell>
          <cell r="G528">
            <v>0</v>
          </cell>
          <cell r="H528">
            <v>5.9523355E-2</v>
          </cell>
          <cell r="I528" t="str">
            <v>Other Household Travel</v>
          </cell>
          <cell r="J528" t="str">
            <v>2017/18</v>
          </cell>
        </row>
        <row r="529">
          <cell r="A529" t="str">
            <v>07 TARANAKI</v>
          </cell>
          <cell r="B529">
            <v>9</v>
          </cell>
          <cell r="C529">
            <v>2023</v>
          </cell>
          <cell r="D529">
            <v>4</v>
          </cell>
          <cell r="E529">
            <v>11</v>
          </cell>
          <cell r="F529">
            <v>0.19455219400000001</v>
          </cell>
          <cell r="G529">
            <v>0</v>
          </cell>
          <cell r="H529">
            <v>6.3111735599999996E-2</v>
          </cell>
          <cell r="I529" t="str">
            <v>Other Household Travel</v>
          </cell>
          <cell r="J529" t="str">
            <v>2022/23</v>
          </cell>
        </row>
        <row r="530">
          <cell r="A530" t="str">
            <v>07 TARANAKI</v>
          </cell>
          <cell r="B530">
            <v>9</v>
          </cell>
          <cell r="C530">
            <v>2028</v>
          </cell>
          <cell r="D530">
            <v>4</v>
          </cell>
          <cell r="E530">
            <v>11</v>
          </cell>
          <cell r="F530">
            <v>0.2075285298</v>
          </cell>
          <cell r="G530">
            <v>0</v>
          </cell>
          <cell r="H530">
            <v>7.1191905900000005E-2</v>
          </cell>
          <cell r="I530" t="str">
            <v>Other Household Travel</v>
          </cell>
          <cell r="J530" t="str">
            <v>2027/28</v>
          </cell>
        </row>
        <row r="531">
          <cell r="A531" t="str">
            <v>07 TARANAKI</v>
          </cell>
          <cell r="B531">
            <v>9</v>
          </cell>
          <cell r="C531">
            <v>2033</v>
          </cell>
          <cell r="D531">
            <v>4</v>
          </cell>
          <cell r="E531">
            <v>11</v>
          </cell>
          <cell r="F531">
            <v>0.2328889422</v>
          </cell>
          <cell r="G531">
            <v>0</v>
          </cell>
          <cell r="H531">
            <v>8.5240224899999995E-2</v>
          </cell>
          <cell r="I531" t="str">
            <v>Other Household Travel</v>
          </cell>
          <cell r="J531" t="str">
            <v>2032/33</v>
          </cell>
        </row>
        <row r="532">
          <cell r="A532" t="str">
            <v>07 TARANAKI</v>
          </cell>
          <cell r="B532">
            <v>9</v>
          </cell>
          <cell r="C532">
            <v>2038</v>
          </cell>
          <cell r="D532">
            <v>4</v>
          </cell>
          <cell r="E532">
            <v>11</v>
          </cell>
          <cell r="F532">
            <v>0.25271862049999999</v>
          </cell>
          <cell r="G532">
            <v>0</v>
          </cell>
          <cell r="H532">
            <v>9.5482620899999995E-2</v>
          </cell>
          <cell r="I532" t="str">
            <v>Other Household Travel</v>
          </cell>
          <cell r="J532" t="str">
            <v>2037/38</v>
          </cell>
        </row>
        <row r="533">
          <cell r="A533" t="str">
            <v>07 TARANAKI</v>
          </cell>
          <cell r="B533">
            <v>9</v>
          </cell>
          <cell r="C533">
            <v>2043</v>
          </cell>
          <cell r="D533">
            <v>4</v>
          </cell>
          <cell r="E533">
            <v>11</v>
          </cell>
          <cell r="F533">
            <v>0.26568745049999998</v>
          </cell>
          <cell r="G533">
            <v>0</v>
          </cell>
          <cell r="H533">
            <v>0.1019528064</v>
          </cell>
          <cell r="I533" t="str">
            <v>Other Household Travel</v>
          </cell>
          <cell r="J533" t="str">
            <v>2042/43</v>
          </cell>
        </row>
        <row r="534">
          <cell r="A534" t="str">
            <v>07 TARANAKI</v>
          </cell>
          <cell r="B534">
            <v>10</v>
          </cell>
          <cell r="C534">
            <v>2013</v>
          </cell>
          <cell r="D534">
            <v>7</v>
          </cell>
          <cell r="E534">
            <v>9</v>
          </cell>
          <cell r="F534">
            <v>0.31946750800000001</v>
          </cell>
          <cell r="G534">
            <v>11.123016451</v>
          </cell>
          <cell r="H534">
            <v>0.97687121219999995</v>
          </cell>
          <cell r="I534" t="str">
            <v>Air/Non-Local PT</v>
          </cell>
          <cell r="J534" t="str">
            <v>2012/13</v>
          </cell>
        </row>
        <row r="535">
          <cell r="A535" t="str">
            <v>07 TARANAKI</v>
          </cell>
          <cell r="B535">
            <v>10</v>
          </cell>
          <cell r="C535">
            <v>2018</v>
          </cell>
          <cell r="D535">
            <v>7</v>
          </cell>
          <cell r="E535">
            <v>9</v>
          </cell>
          <cell r="F535">
            <v>0.27794156050000002</v>
          </cell>
          <cell r="G535">
            <v>12.142658781</v>
          </cell>
          <cell r="H535">
            <v>0.85199087060000001</v>
          </cell>
          <cell r="I535" t="str">
            <v>Air/Non-Local PT</v>
          </cell>
          <cell r="J535" t="str">
            <v>2017/18</v>
          </cell>
        </row>
        <row r="536">
          <cell r="A536" t="str">
            <v>07 TARANAKI</v>
          </cell>
          <cell r="B536">
            <v>10</v>
          </cell>
          <cell r="C536">
            <v>2023</v>
          </cell>
          <cell r="D536">
            <v>7</v>
          </cell>
          <cell r="E536">
            <v>9</v>
          </cell>
          <cell r="F536">
            <v>0.2508483299</v>
          </cell>
          <cell r="G536">
            <v>14.212996303000001</v>
          </cell>
          <cell r="H536">
            <v>0.77473971419999998</v>
          </cell>
          <cell r="I536" t="str">
            <v>Air/Non-Local PT</v>
          </cell>
          <cell r="J536" t="str">
            <v>2022/23</v>
          </cell>
        </row>
        <row r="537">
          <cell r="A537" t="str">
            <v>07 TARANAKI</v>
          </cell>
          <cell r="B537">
            <v>10</v>
          </cell>
          <cell r="C537">
            <v>2028</v>
          </cell>
          <cell r="D537">
            <v>7</v>
          </cell>
          <cell r="E537">
            <v>9</v>
          </cell>
          <cell r="F537">
            <v>0.23475136629999999</v>
          </cell>
          <cell r="G537">
            <v>16.252692070999998</v>
          </cell>
          <cell r="H537">
            <v>0.72844207959999996</v>
          </cell>
          <cell r="I537" t="str">
            <v>Air/Non-Local PT</v>
          </cell>
          <cell r="J537" t="str">
            <v>2027/28</v>
          </cell>
        </row>
        <row r="538">
          <cell r="A538" t="str">
            <v>07 TARANAKI</v>
          </cell>
          <cell r="B538">
            <v>10</v>
          </cell>
          <cell r="C538">
            <v>2033</v>
          </cell>
          <cell r="D538">
            <v>7</v>
          </cell>
          <cell r="E538">
            <v>9</v>
          </cell>
          <cell r="F538">
            <v>0.2235480373</v>
          </cell>
          <cell r="G538">
            <v>17.512653454999999</v>
          </cell>
          <cell r="H538">
            <v>0.68900357729999995</v>
          </cell>
          <cell r="I538" t="str">
            <v>Air/Non-Local PT</v>
          </cell>
          <cell r="J538" t="str">
            <v>2032/33</v>
          </cell>
        </row>
        <row r="539">
          <cell r="A539" t="str">
            <v>07 TARANAKI</v>
          </cell>
          <cell r="B539">
            <v>10</v>
          </cell>
          <cell r="C539">
            <v>2038</v>
          </cell>
          <cell r="D539">
            <v>7</v>
          </cell>
          <cell r="E539">
            <v>9</v>
          </cell>
          <cell r="F539">
            <v>0.21520183870000001</v>
          </cell>
          <cell r="G539">
            <v>18.914875592000001</v>
          </cell>
          <cell r="H539">
            <v>0.65429796539999996</v>
          </cell>
          <cell r="I539" t="str">
            <v>Air/Non-Local PT</v>
          </cell>
          <cell r="J539" t="str">
            <v>2037/38</v>
          </cell>
        </row>
        <row r="540">
          <cell r="A540" t="str">
            <v>07 TARANAKI</v>
          </cell>
          <cell r="B540">
            <v>10</v>
          </cell>
          <cell r="C540">
            <v>2043</v>
          </cell>
          <cell r="D540">
            <v>7</v>
          </cell>
          <cell r="E540">
            <v>9</v>
          </cell>
          <cell r="F540">
            <v>0.2058025869</v>
          </cell>
          <cell r="G540">
            <v>20.111284098999999</v>
          </cell>
          <cell r="H540">
            <v>0.61901382270000005</v>
          </cell>
          <cell r="I540" t="str">
            <v>Air/Non-Local PT</v>
          </cell>
          <cell r="J540" t="str">
            <v>2042/43</v>
          </cell>
        </row>
        <row r="541">
          <cell r="A541" t="str">
            <v>07 TARANAKI</v>
          </cell>
          <cell r="B541">
            <v>11</v>
          </cell>
          <cell r="C541">
            <v>2013</v>
          </cell>
          <cell r="D541">
            <v>28</v>
          </cell>
          <cell r="E541">
            <v>118</v>
          </cell>
          <cell r="F541">
            <v>3.0516698092999999</v>
          </cell>
          <cell r="G541">
            <v>51.301529111999997</v>
          </cell>
          <cell r="H541">
            <v>1.1153896443</v>
          </cell>
          <cell r="I541" t="str">
            <v>Non-Household Travel</v>
          </cell>
          <cell r="J541" t="str">
            <v>2012/13</v>
          </cell>
        </row>
        <row r="542">
          <cell r="A542" t="str">
            <v>07 TARANAKI</v>
          </cell>
          <cell r="B542">
            <v>11</v>
          </cell>
          <cell r="C542">
            <v>2018</v>
          </cell>
          <cell r="D542">
            <v>28</v>
          </cell>
          <cell r="E542">
            <v>118</v>
          </cell>
          <cell r="F542">
            <v>3.3802598205000001</v>
          </cell>
          <cell r="G542">
            <v>56.394094404000001</v>
          </cell>
          <cell r="H542">
            <v>1.2484914064999999</v>
          </cell>
          <cell r="I542" t="str">
            <v>Non-Household Travel</v>
          </cell>
          <cell r="J542" t="str">
            <v>2017/18</v>
          </cell>
        </row>
        <row r="543">
          <cell r="A543" t="str">
            <v>07 TARANAKI</v>
          </cell>
          <cell r="B543">
            <v>11</v>
          </cell>
          <cell r="C543">
            <v>2023</v>
          </cell>
          <cell r="D543">
            <v>28</v>
          </cell>
          <cell r="E543">
            <v>118</v>
          </cell>
          <cell r="F543">
            <v>3.6530115433999999</v>
          </cell>
          <cell r="G543">
            <v>60.343290213000003</v>
          </cell>
          <cell r="H543">
            <v>1.3570601631999999</v>
          </cell>
          <cell r="I543" t="str">
            <v>Non-Household Travel</v>
          </cell>
          <cell r="J543" t="str">
            <v>2022/23</v>
          </cell>
        </row>
        <row r="544">
          <cell r="A544" t="str">
            <v>07 TARANAKI</v>
          </cell>
          <cell r="B544">
            <v>11</v>
          </cell>
          <cell r="C544">
            <v>2028</v>
          </cell>
          <cell r="D544">
            <v>28</v>
          </cell>
          <cell r="E544">
            <v>118</v>
          </cell>
          <cell r="F544">
            <v>3.7959288562000002</v>
          </cell>
          <cell r="G544">
            <v>61.577856062000002</v>
          </cell>
          <cell r="H544">
            <v>1.4077730800999999</v>
          </cell>
          <cell r="I544" t="str">
            <v>Non-Household Travel</v>
          </cell>
          <cell r="J544" t="str">
            <v>2027/28</v>
          </cell>
        </row>
        <row r="545">
          <cell r="A545" t="str">
            <v>07 TARANAKI</v>
          </cell>
          <cell r="B545">
            <v>11</v>
          </cell>
          <cell r="C545">
            <v>2033</v>
          </cell>
          <cell r="D545">
            <v>28</v>
          </cell>
          <cell r="E545">
            <v>118</v>
          </cell>
          <cell r="F545">
            <v>3.8796311480000001</v>
          </cell>
          <cell r="G545">
            <v>62.185613332000003</v>
          </cell>
          <cell r="H545">
            <v>1.4298859749999999</v>
          </cell>
          <cell r="I545" t="str">
            <v>Non-Household Travel</v>
          </cell>
          <cell r="J545" t="str">
            <v>2032/33</v>
          </cell>
        </row>
        <row r="546">
          <cell r="A546" t="str">
            <v>07 TARANAKI</v>
          </cell>
          <cell r="B546">
            <v>11</v>
          </cell>
          <cell r="C546">
            <v>2038</v>
          </cell>
          <cell r="D546">
            <v>28</v>
          </cell>
          <cell r="E546">
            <v>118</v>
          </cell>
          <cell r="F546">
            <v>3.9289352841</v>
          </cell>
          <cell r="G546">
            <v>62.121855150999998</v>
          </cell>
          <cell r="H546">
            <v>1.4268608594000001</v>
          </cell>
          <cell r="I546" t="str">
            <v>Non-Household Travel</v>
          </cell>
          <cell r="J546" t="str">
            <v>2037/38</v>
          </cell>
        </row>
        <row r="547">
          <cell r="A547" t="str">
            <v>07 TARANAKI</v>
          </cell>
          <cell r="B547">
            <v>11</v>
          </cell>
          <cell r="C547">
            <v>2043</v>
          </cell>
          <cell r="D547">
            <v>28</v>
          </cell>
          <cell r="E547">
            <v>118</v>
          </cell>
          <cell r="F547">
            <v>3.9670760852</v>
          </cell>
          <cell r="G547">
            <v>61.68571524</v>
          </cell>
          <cell r="H547">
            <v>1.4160113235</v>
          </cell>
          <cell r="I547" t="str">
            <v>Non-Household Travel</v>
          </cell>
          <cell r="J547" t="str">
            <v>2042/43</v>
          </cell>
        </row>
        <row r="548">
          <cell r="A548" t="str">
            <v>08 MANAWATU-WANGANUI</v>
          </cell>
          <cell r="B548">
            <v>0</v>
          </cell>
          <cell r="C548">
            <v>2013</v>
          </cell>
          <cell r="D548">
            <v>214</v>
          </cell>
          <cell r="E548">
            <v>797</v>
          </cell>
          <cell r="F548">
            <v>39.544031846000003</v>
          </cell>
          <cell r="G548">
            <v>32.265609755</v>
          </cell>
          <cell r="H548">
            <v>8.3408449691000008</v>
          </cell>
          <cell r="I548" t="str">
            <v>Pedestrian</v>
          </cell>
          <cell r="J548" t="str">
            <v>2012/13</v>
          </cell>
        </row>
        <row r="549">
          <cell r="A549" t="str">
            <v>08 MANAWATU-WANGANUI</v>
          </cell>
          <cell r="B549">
            <v>0</v>
          </cell>
          <cell r="C549">
            <v>2018</v>
          </cell>
          <cell r="D549">
            <v>214</v>
          </cell>
          <cell r="E549">
            <v>797</v>
          </cell>
          <cell r="F549">
            <v>38.747288760000004</v>
          </cell>
          <cell r="G549">
            <v>32.257016430999997</v>
          </cell>
          <cell r="H549">
            <v>8.1995005451999994</v>
          </cell>
          <cell r="I549" t="str">
            <v>Pedestrian</v>
          </cell>
          <cell r="J549" t="str">
            <v>2017/18</v>
          </cell>
        </row>
        <row r="550">
          <cell r="A550" t="str">
            <v>08 MANAWATU-WANGANUI</v>
          </cell>
          <cell r="B550">
            <v>0</v>
          </cell>
          <cell r="C550">
            <v>2023</v>
          </cell>
          <cell r="D550">
            <v>214</v>
          </cell>
          <cell r="E550">
            <v>797</v>
          </cell>
          <cell r="F550">
            <v>37.613829013999997</v>
          </cell>
          <cell r="G550">
            <v>31.715956725000002</v>
          </cell>
          <cell r="H550">
            <v>7.9520479962000001</v>
          </cell>
          <cell r="I550" t="str">
            <v>Pedestrian</v>
          </cell>
          <cell r="J550" t="str">
            <v>2022/23</v>
          </cell>
        </row>
        <row r="551">
          <cell r="A551" t="str">
            <v>08 MANAWATU-WANGANUI</v>
          </cell>
          <cell r="B551">
            <v>0</v>
          </cell>
          <cell r="C551">
            <v>2028</v>
          </cell>
          <cell r="D551">
            <v>214</v>
          </cell>
          <cell r="E551">
            <v>797</v>
          </cell>
          <cell r="F551">
            <v>36.087513074999997</v>
          </cell>
          <cell r="G551">
            <v>30.917619644999998</v>
          </cell>
          <cell r="H551">
            <v>7.6600913107000004</v>
          </cell>
          <cell r="I551" t="str">
            <v>Pedestrian</v>
          </cell>
          <cell r="J551" t="str">
            <v>2027/28</v>
          </cell>
        </row>
        <row r="552">
          <cell r="A552" t="str">
            <v>08 MANAWATU-WANGANUI</v>
          </cell>
          <cell r="B552">
            <v>0</v>
          </cell>
          <cell r="C552">
            <v>2033</v>
          </cell>
          <cell r="D552">
            <v>214</v>
          </cell>
          <cell r="E552">
            <v>797</v>
          </cell>
          <cell r="F552">
            <v>34.792072251999997</v>
          </cell>
          <cell r="G552">
            <v>29.996205966000002</v>
          </cell>
          <cell r="H552">
            <v>7.3427811850999998</v>
          </cell>
          <cell r="I552" t="str">
            <v>Pedestrian</v>
          </cell>
          <cell r="J552" t="str">
            <v>2032/33</v>
          </cell>
        </row>
        <row r="553">
          <cell r="A553" t="str">
            <v>08 MANAWATU-WANGANUI</v>
          </cell>
          <cell r="B553">
            <v>0</v>
          </cell>
          <cell r="C553">
            <v>2038</v>
          </cell>
          <cell r="D553">
            <v>214</v>
          </cell>
          <cell r="E553">
            <v>797</v>
          </cell>
          <cell r="F553">
            <v>33.663252628999999</v>
          </cell>
          <cell r="G553">
            <v>29.078439356000001</v>
          </cell>
          <cell r="H553">
            <v>6.9983546418999998</v>
          </cell>
          <cell r="I553" t="str">
            <v>Pedestrian</v>
          </cell>
          <cell r="J553" t="str">
            <v>2037/38</v>
          </cell>
        </row>
        <row r="554">
          <cell r="A554" t="str">
            <v>08 MANAWATU-WANGANUI</v>
          </cell>
          <cell r="B554">
            <v>0</v>
          </cell>
          <cell r="C554">
            <v>2043</v>
          </cell>
          <cell r="D554">
            <v>214</v>
          </cell>
          <cell r="E554">
            <v>797</v>
          </cell>
          <cell r="F554">
            <v>32.498796087000002</v>
          </cell>
          <cell r="G554">
            <v>28.108525367999999</v>
          </cell>
          <cell r="H554">
            <v>6.6453339281000003</v>
          </cell>
          <cell r="I554" t="str">
            <v>Pedestrian</v>
          </cell>
          <cell r="J554" t="str">
            <v>2042/43</v>
          </cell>
        </row>
        <row r="555">
          <cell r="A555" t="str">
            <v>08 MANAWATU-WANGANUI</v>
          </cell>
          <cell r="B555">
            <v>1</v>
          </cell>
          <cell r="C555">
            <v>2013</v>
          </cell>
          <cell r="D555">
            <v>33</v>
          </cell>
          <cell r="E555">
            <v>96</v>
          </cell>
          <cell r="F555">
            <v>4.6745036201000003</v>
          </cell>
          <cell r="G555">
            <v>20.722330986999999</v>
          </cell>
          <cell r="H555">
            <v>1.7566260256999999</v>
          </cell>
          <cell r="I555" t="str">
            <v>Cyclist</v>
          </cell>
          <cell r="J555" t="str">
            <v>2012/13</v>
          </cell>
        </row>
        <row r="556">
          <cell r="A556" t="str">
            <v>08 MANAWATU-WANGANUI</v>
          </cell>
          <cell r="B556">
            <v>1</v>
          </cell>
          <cell r="C556">
            <v>2018</v>
          </cell>
          <cell r="D556">
            <v>33</v>
          </cell>
          <cell r="E556">
            <v>96</v>
          </cell>
          <cell r="F556">
            <v>4.8924618022999997</v>
          </cell>
          <cell r="G556">
            <v>23.088944231999999</v>
          </cell>
          <cell r="H556">
            <v>1.9183887787</v>
          </cell>
          <cell r="I556" t="str">
            <v>Cyclist</v>
          </cell>
          <cell r="J556" t="str">
            <v>2017/18</v>
          </cell>
        </row>
        <row r="557">
          <cell r="A557" t="str">
            <v>08 MANAWATU-WANGANUI</v>
          </cell>
          <cell r="B557">
            <v>1</v>
          </cell>
          <cell r="C557">
            <v>2023</v>
          </cell>
          <cell r="D557">
            <v>33</v>
          </cell>
          <cell r="E557">
            <v>96</v>
          </cell>
          <cell r="F557">
            <v>5.0785923155999999</v>
          </cell>
          <cell r="G557">
            <v>24.655979531</v>
          </cell>
          <cell r="H557">
            <v>2.0372377434</v>
          </cell>
          <cell r="I557" t="str">
            <v>Cyclist</v>
          </cell>
          <cell r="J557" t="str">
            <v>2022/23</v>
          </cell>
        </row>
        <row r="558">
          <cell r="A558" t="str">
            <v>08 MANAWATU-WANGANUI</v>
          </cell>
          <cell r="B558">
            <v>1</v>
          </cell>
          <cell r="C558">
            <v>2028</v>
          </cell>
          <cell r="D558">
            <v>33</v>
          </cell>
          <cell r="E558">
            <v>96</v>
          </cell>
          <cell r="F558">
            <v>5.2129145006000002</v>
          </cell>
          <cell r="G558">
            <v>24.982433145000002</v>
          </cell>
          <cell r="H558">
            <v>2.0829749575999998</v>
          </cell>
          <cell r="I558" t="str">
            <v>Cyclist</v>
          </cell>
          <cell r="J558" t="str">
            <v>2027/28</v>
          </cell>
        </row>
        <row r="559">
          <cell r="A559" t="str">
            <v>08 MANAWATU-WANGANUI</v>
          </cell>
          <cell r="B559">
            <v>1</v>
          </cell>
          <cell r="C559">
            <v>2033</v>
          </cell>
          <cell r="D559">
            <v>33</v>
          </cell>
          <cell r="E559">
            <v>96</v>
          </cell>
          <cell r="F559">
            <v>5.3691444793000001</v>
          </cell>
          <cell r="G559">
            <v>25.192419341000001</v>
          </cell>
          <cell r="H559">
            <v>2.115150087</v>
          </cell>
          <cell r="I559" t="str">
            <v>Cyclist</v>
          </cell>
          <cell r="J559" t="str">
            <v>2032/33</v>
          </cell>
        </row>
        <row r="560">
          <cell r="A560" t="str">
            <v>08 MANAWATU-WANGANUI</v>
          </cell>
          <cell r="B560">
            <v>1</v>
          </cell>
          <cell r="C560">
            <v>2038</v>
          </cell>
          <cell r="D560">
            <v>33</v>
          </cell>
          <cell r="E560">
            <v>96</v>
          </cell>
          <cell r="F560">
            <v>5.3169612224999998</v>
          </cell>
          <cell r="G560">
            <v>25.398751116</v>
          </cell>
          <cell r="H560">
            <v>2.1032904944999999</v>
          </cell>
          <cell r="I560" t="str">
            <v>Cyclist</v>
          </cell>
          <cell r="J560" t="str">
            <v>2037/38</v>
          </cell>
        </row>
        <row r="561">
          <cell r="A561" t="str">
            <v>08 MANAWATU-WANGANUI</v>
          </cell>
          <cell r="B561">
            <v>1</v>
          </cell>
          <cell r="C561">
            <v>2043</v>
          </cell>
          <cell r="D561">
            <v>33</v>
          </cell>
          <cell r="E561">
            <v>96</v>
          </cell>
          <cell r="F561">
            <v>5.2270414566000003</v>
          </cell>
          <cell r="G561">
            <v>25.519875636999998</v>
          </cell>
          <cell r="H561">
            <v>2.0782260834000001</v>
          </cell>
          <cell r="I561" t="str">
            <v>Cyclist</v>
          </cell>
          <cell r="J561" t="str">
            <v>2042/43</v>
          </cell>
        </row>
        <row r="562">
          <cell r="A562" t="str">
            <v>08 MANAWATU-WANGANUI</v>
          </cell>
          <cell r="B562">
            <v>2</v>
          </cell>
          <cell r="C562">
            <v>2013</v>
          </cell>
          <cell r="D562">
            <v>588</v>
          </cell>
          <cell r="E562">
            <v>4259</v>
          </cell>
          <cell r="F562">
            <v>178.69640117</v>
          </cell>
          <cell r="G562">
            <v>1782.4745101999999</v>
          </cell>
          <cell r="H562">
            <v>42.09204356</v>
          </cell>
          <cell r="I562" t="str">
            <v>Light Vehicle Driver</v>
          </cell>
          <cell r="J562" t="str">
            <v>2012/13</v>
          </cell>
        </row>
        <row r="563">
          <cell r="A563" t="str">
            <v>08 MANAWATU-WANGANUI</v>
          </cell>
          <cell r="B563">
            <v>2</v>
          </cell>
          <cell r="C563">
            <v>2018</v>
          </cell>
          <cell r="D563">
            <v>588</v>
          </cell>
          <cell r="E563">
            <v>4259</v>
          </cell>
          <cell r="F563">
            <v>190.53984130000001</v>
          </cell>
          <cell r="G563">
            <v>1921.6056977999999</v>
          </cell>
          <cell r="H563">
            <v>45.311149942</v>
          </cell>
          <cell r="I563" t="str">
            <v>Light Vehicle Driver</v>
          </cell>
          <cell r="J563" t="str">
            <v>2017/18</v>
          </cell>
        </row>
        <row r="564">
          <cell r="A564" t="str">
            <v>08 MANAWATU-WANGANUI</v>
          </cell>
          <cell r="B564">
            <v>2</v>
          </cell>
          <cell r="C564">
            <v>2023</v>
          </cell>
          <cell r="D564">
            <v>588</v>
          </cell>
          <cell r="E564">
            <v>4259</v>
          </cell>
          <cell r="F564">
            <v>196.60968793999999</v>
          </cell>
          <cell r="G564">
            <v>2008.5325579</v>
          </cell>
          <cell r="H564">
            <v>47.137630287999997</v>
          </cell>
          <cell r="I564" t="str">
            <v>Light Vehicle Driver</v>
          </cell>
          <cell r="J564" t="str">
            <v>2022/23</v>
          </cell>
        </row>
        <row r="565">
          <cell r="A565" t="str">
            <v>08 MANAWATU-WANGANUI</v>
          </cell>
          <cell r="B565">
            <v>2</v>
          </cell>
          <cell r="C565">
            <v>2028</v>
          </cell>
          <cell r="D565">
            <v>588</v>
          </cell>
          <cell r="E565">
            <v>4259</v>
          </cell>
          <cell r="F565">
            <v>198.41565265</v>
          </cell>
          <cell r="G565">
            <v>2051.1508617999998</v>
          </cell>
          <cell r="H565">
            <v>47.849284208999997</v>
          </cell>
          <cell r="I565" t="str">
            <v>Light Vehicle Driver</v>
          </cell>
          <cell r="J565" t="str">
            <v>2027/28</v>
          </cell>
        </row>
        <row r="566">
          <cell r="A566" t="str">
            <v>08 MANAWATU-WANGANUI</v>
          </cell>
          <cell r="B566">
            <v>2</v>
          </cell>
          <cell r="C566">
            <v>2033</v>
          </cell>
          <cell r="D566">
            <v>588</v>
          </cell>
          <cell r="E566">
            <v>4259</v>
          </cell>
          <cell r="F566">
            <v>200.58084801999999</v>
          </cell>
          <cell r="G566">
            <v>2080.9406641999999</v>
          </cell>
          <cell r="H566">
            <v>48.443217124</v>
          </cell>
          <cell r="I566" t="str">
            <v>Light Vehicle Driver</v>
          </cell>
          <cell r="J566" t="str">
            <v>2032/33</v>
          </cell>
        </row>
        <row r="567">
          <cell r="A567" t="str">
            <v>08 MANAWATU-WANGANUI</v>
          </cell>
          <cell r="B567">
            <v>2</v>
          </cell>
          <cell r="C567">
            <v>2038</v>
          </cell>
          <cell r="D567">
            <v>588</v>
          </cell>
          <cell r="E567">
            <v>4259</v>
          </cell>
          <cell r="F567">
            <v>200.55342327</v>
          </cell>
          <cell r="G567">
            <v>2087.7514050999998</v>
          </cell>
          <cell r="H567">
            <v>48.487029622999998</v>
          </cell>
          <cell r="I567" t="str">
            <v>Light Vehicle Driver</v>
          </cell>
          <cell r="J567" t="str">
            <v>2037/38</v>
          </cell>
        </row>
        <row r="568">
          <cell r="A568" t="str">
            <v>08 MANAWATU-WANGANUI</v>
          </cell>
          <cell r="B568">
            <v>2</v>
          </cell>
          <cell r="C568">
            <v>2043</v>
          </cell>
          <cell r="D568">
            <v>588</v>
          </cell>
          <cell r="E568">
            <v>4259</v>
          </cell>
          <cell r="F568">
            <v>199.60305457999999</v>
          </cell>
          <cell r="G568">
            <v>2085.8321083000001</v>
          </cell>
          <cell r="H568">
            <v>48.307120400000002</v>
          </cell>
          <cell r="I568" t="str">
            <v>Light Vehicle Driver</v>
          </cell>
          <cell r="J568" t="str">
            <v>2042/43</v>
          </cell>
        </row>
        <row r="569">
          <cell r="A569" t="str">
            <v>08 MANAWATU-WANGANUI</v>
          </cell>
          <cell r="B569">
            <v>3</v>
          </cell>
          <cell r="C569">
            <v>2013</v>
          </cell>
          <cell r="D569">
            <v>425</v>
          </cell>
          <cell r="E569">
            <v>2071</v>
          </cell>
          <cell r="F569">
            <v>84.046137802999993</v>
          </cell>
          <cell r="G569">
            <v>885.65568203999999</v>
          </cell>
          <cell r="H569">
            <v>20.286542670999999</v>
          </cell>
          <cell r="I569" t="str">
            <v>Light Vehicle Passenger</v>
          </cell>
          <cell r="J569" t="str">
            <v>2012/13</v>
          </cell>
        </row>
        <row r="570">
          <cell r="A570" t="str">
            <v>08 MANAWATU-WANGANUI</v>
          </cell>
          <cell r="B570">
            <v>3</v>
          </cell>
          <cell r="C570">
            <v>2018</v>
          </cell>
          <cell r="D570">
            <v>425</v>
          </cell>
          <cell r="E570">
            <v>2071</v>
          </cell>
          <cell r="F570">
            <v>83.487040914999994</v>
          </cell>
          <cell r="G570">
            <v>904.80493391000005</v>
          </cell>
          <cell r="H570">
            <v>20.514725923</v>
          </cell>
          <cell r="I570" t="str">
            <v>Light Vehicle Passenger</v>
          </cell>
          <cell r="J570" t="str">
            <v>2017/18</v>
          </cell>
        </row>
        <row r="571">
          <cell r="A571" t="str">
            <v>08 MANAWATU-WANGANUI</v>
          </cell>
          <cell r="B571">
            <v>3</v>
          </cell>
          <cell r="C571">
            <v>2023</v>
          </cell>
          <cell r="D571">
            <v>425</v>
          </cell>
          <cell r="E571">
            <v>2071</v>
          </cell>
          <cell r="F571">
            <v>82.487814665000002</v>
          </cell>
          <cell r="G571">
            <v>910.37082107000003</v>
          </cell>
          <cell r="H571">
            <v>20.510028004999999</v>
          </cell>
          <cell r="I571" t="str">
            <v>Light Vehicle Passenger</v>
          </cell>
          <cell r="J571" t="str">
            <v>2022/23</v>
          </cell>
        </row>
        <row r="572">
          <cell r="A572" t="str">
            <v>08 MANAWATU-WANGANUI</v>
          </cell>
          <cell r="B572">
            <v>3</v>
          </cell>
          <cell r="C572">
            <v>2028</v>
          </cell>
          <cell r="D572">
            <v>425</v>
          </cell>
          <cell r="E572">
            <v>2071</v>
          </cell>
          <cell r="F572">
            <v>81.159871222000007</v>
          </cell>
          <cell r="G572">
            <v>905.54878393000001</v>
          </cell>
          <cell r="H572">
            <v>20.321673954000001</v>
          </cell>
          <cell r="I572" t="str">
            <v>Light Vehicle Passenger</v>
          </cell>
          <cell r="J572" t="str">
            <v>2027/28</v>
          </cell>
        </row>
        <row r="573">
          <cell r="A573" t="str">
            <v>08 MANAWATU-WANGANUI</v>
          </cell>
          <cell r="B573">
            <v>3</v>
          </cell>
          <cell r="C573">
            <v>2033</v>
          </cell>
          <cell r="D573">
            <v>425</v>
          </cell>
          <cell r="E573">
            <v>2071</v>
          </cell>
          <cell r="F573">
            <v>80.491277304999997</v>
          </cell>
          <cell r="G573">
            <v>910.10950706999995</v>
          </cell>
          <cell r="H573">
            <v>20.352410842000001</v>
          </cell>
          <cell r="I573" t="str">
            <v>Light Vehicle Passenger</v>
          </cell>
          <cell r="J573" t="str">
            <v>2032/33</v>
          </cell>
        </row>
        <row r="574">
          <cell r="A574" t="str">
            <v>08 MANAWATU-WANGANUI</v>
          </cell>
          <cell r="B574">
            <v>3</v>
          </cell>
          <cell r="C574">
            <v>2038</v>
          </cell>
          <cell r="D574">
            <v>425</v>
          </cell>
          <cell r="E574">
            <v>2071</v>
          </cell>
          <cell r="F574">
            <v>79.106475465000003</v>
          </cell>
          <cell r="G574">
            <v>911.53890762000003</v>
          </cell>
          <cell r="H574">
            <v>20.313275279999999</v>
          </cell>
          <cell r="I574" t="str">
            <v>Light Vehicle Passenger</v>
          </cell>
          <cell r="J574" t="str">
            <v>2037/38</v>
          </cell>
        </row>
        <row r="575">
          <cell r="A575" t="str">
            <v>08 MANAWATU-WANGANUI</v>
          </cell>
          <cell r="B575">
            <v>3</v>
          </cell>
          <cell r="C575">
            <v>2043</v>
          </cell>
          <cell r="D575">
            <v>425</v>
          </cell>
          <cell r="E575">
            <v>2071</v>
          </cell>
          <cell r="F575">
            <v>77.338407837000005</v>
          </cell>
          <cell r="G575">
            <v>910.54565156000001</v>
          </cell>
          <cell r="H575">
            <v>20.197447498999999</v>
          </cell>
          <cell r="I575" t="str">
            <v>Light Vehicle Passenger</v>
          </cell>
          <cell r="J575" t="str">
            <v>2042/43</v>
          </cell>
        </row>
        <row r="576">
          <cell r="A576" t="str">
            <v>08 MANAWATU-WANGANUI</v>
          </cell>
          <cell r="B576">
            <v>4</v>
          </cell>
          <cell r="C576">
            <v>2013</v>
          </cell>
          <cell r="D576">
            <v>16</v>
          </cell>
          <cell r="E576">
            <v>32</v>
          </cell>
          <cell r="F576">
            <v>0.99874441920000001</v>
          </cell>
          <cell r="G576">
            <v>5.6344181790999999</v>
          </cell>
          <cell r="H576">
            <v>0.26821620219999998</v>
          </cell>
          <cell r="J576" t="str">
            <v>2012/13</v>
          </cell>
        </row>
        <row r="577">
          <cell r="A577" t="str">
            <v>08 MANAWATU-WANGANUI</v>
          </cell>
          <cell r="B577">
            <v>4</v>
          </cell>
          <cell r="C577">
            <v>2018</v>
          </cell>
          <cell r="D577">
            <v>16</v>
          </cell>
          <cell r="E577">
            <v>32</v>
          </cell>
          <cell r="F577">
            <v>1.1002310403</v>
          </cell>
          <cell r="G577">
            <v>6.7762108150999998</v>
          </cell>
          <cell r="H577">
            <v>0.31846578850000001</v>
          </cell>
          <cell r="J577" t="str">
            <v>2017/18</v>
          </cell>
        </row>
        <row r="578">
          <cell r="A578" t="str">
            <v>08 MANAWATU-WANGANUI</v>
          </cell>
          <cell r="B578">
            <v>4</v>
          </cell>
          <cell r="C578">
            <v>2023</v>
          </cell>
          <cell r="D578">
            <v>16</v>
          </cell>
          <cell r="E578">
            <v>32</v>
          </cell>
          <cell r="F578">
            <v>1.1421527327000001</v>
          </cell>
          <cell r="G578">
            <v>7.5072467897999999</v>
          </cell>
          <cell r="H578">
            <v>0.34870497290000002</v>
          </cell>
          <cell r="J578" t="str">
            <v>2022/23</v>
          </cell>
        </row>
        <row r="579">
          <cell r="A579" t="str">
            <v>08 MANAWATU-WANGANUI</v>
          </cell>
          <cell r="B579">
            <v>4</v>
          </cell>
          <cell r="C579">
            <v>2028</v>
          </cell>
          <cell r="D579">
            <v>16</v>
          </cell>
          <cell r="E579">
            <v>32</v>
          </cell>
          <cell r="F579">
            <v>1.1269840790000001</v>
          </cell>
          <cell r="G579">
            <v>7.7162094202000002</v>
          </cell>
          <cell r="H579">
            <v>0.35477330210000002</v>
          </cell>
          <cell r="J579" t="str">
            <v>2027/28</v>
          </cell>
        </row>
        <row r="580">
          <cell r="A580" t="str">
            <v>08 MANAWATU-WANGANUI</v>
          </cell>
          <cell r="B580">
            <v>4</v>
          </cell>
          <cell r="C580">
            <v>2033</v>
          </cell>
          <cell r="D580">
            <v>16</v>
          </cell>
          <cell r="E580">
            <v>32</v>
          </cell>
          <cell r="F580">
            <v>1.1027621072</v>
          </cell>
          <cell r="G580">
            <v>7.8582624336000002</v>
          </cell>
          <cell r="H580">
            <v>0.35878399989999998</v>
          </cell>
          <cell r="J580" t="str">
            <v>2032/33</v>
          </cell>
        </row>
        <row r="581">
          <cell r="A581" t="str">
            <v>08 MANAWATU-WANGANUI</v>
          </cell>
          <cell r="B581">
            <v>4</v>
          </cell>
          <cell r="C581">
            <v>2038</v>
          </cell>
          <cell r="D581">
            <v>16</v>
          </cell>
          <cell r="E581">
            <v>32</v>
          </cell>
          <cell r="F581">
            <v>1.1330636912000001</v>
          </cell>
          <cell r="G581">
            <v>8.4667641685999993</v>
          </cell>
          <cell r="H581">
            <v>0.38383747039999999</v>
          </cell>
          <cell r="J581" t="str">
            <v>2037/38</v>
          </cell>
        </row>
        <row r="582">
          <cell r="A582" t="str">
            <v>08 MANAWATU-WANGANUI</v>
          </cell>
          <cell r="B582">
            <v>4</v>
          </cell>
          <cell r="C582">
            <v>2043</v>
          </cell>
          <cell r="D582">
            <v>16</v>
          </cell>
          <cell r="E582">
            <v>32</v>
          </cell>
          <cell r="F582">
            <v>1.1637068523</v>
          </cell>
          <cell r="G582">
            <v>9.1007542028999993</v>
          </cell>
          <cell r="H582">
            <v>0.4101707584</v>
          </cell>
          <cell r="J582" t="str">
            <v>2042/43</v>
          </cell>
        </row>
        <row r="583">
          <cell r="A583" t="str">
            <v>08 MANAWATU-WANGANUI</v>
          </cell>
          <cell r="B583">
            <v>5</v>
          </cell>
          <cell r="C583">
            <v>2013</v>
          </cell>
          <cell r="D583">
            <v>5</v>
          </cell>
          <cell r="E583">
            <v>19</v>
          </cell>
          <cell r="F583">
            <v>0.79000583589999995</v>
          </cell>
          <cell r="G583">
            <v>3.8744282972000001</v>
          </cell>
          <cell r="H583">
            <v>0.1643149203</v>
          </cell>
          <cell r="I583" t="str">
            <v>Motorcyclist</v>
          </cell>
          <cell r="J583" t="str">
            <v>2012/13</v>
          </cell>
        </row>
        <row r="584">
          <cell r="A584" t="str">
            <v>08 MANAWATU-WANGANUI</v>
          </cell>
          <cell r="B584">
            <v>5</v>
          </cell>
          <cell r="C584">
            <v>2018</v>
          </cell>
          <cell r="D584">
            <v>5</v>
          </cell>
          <cell r="E584">
            <v>19</v>
          </cell>
          <cell r="F584">
            <v>0.73454540800000001</v>
          </cell>
          <cell r="G584">
            <v>4.2395155517000003</v>
          </cell>
          <cell r="H584">
            <v>0.1591607978</v>
          </cell>
          <cell r="I584" t="str">
            <v>Motorcyclist</v>
          </cell>
          <cell r="J584" t="str">
            <v>2017/18</v>
          </cell>
        </row>
        <row r="585">
          <cell r="A585" t="str">
            <v>08 MANAWATU-WANGANUI</v>
          </cell>
          <cell r="B585">
            <v>5</v>
          </cell>
          <cell r="C585">
            <v>2023</v>
          </cell>
          <cell r="D585">
            <v>5</v>
          </cell>
          <cell r="E585">
            <v>19</v>
          </cell>
          <cell r="F585">
            <v>0.6667682882</v>
          </cell>
          <cell r="G585">
            <v>4.3969972676999998</v>
          </cell>
          <cell r="H585">
            <v>0.14996344240000001</v>
          </cell>
          <cell r="I585" t="str">
            <v>Motorcyclist</v>
          </cell>
          <cell r="J585" t="str">
            <v>2022/23</v>
          </cell>
        </row>
        <row r="586">
          <cell r="A586" t="str">
            <v>08 MANAWATU-WANGANUI</v>
          </cell>
          <cell r="B586">
            <v>5</v>
          </cell>
          <cell r="C586">
            <v>2028</v>
          </cell>
          <cell r="D586">
            <v>5</v>
          </cell>
          <cell r="E586">
            <v>19</v>
          </cell>
          <cell r="F586">
            <v>0.58009078510000001</v>
          </cell>
          <cell r="G586">
            <v>4.2585667136999996</v>
          </cell>
          <cell r="H586">
            <v>0.1347986903</v>
          </cell>
          <cell r="I586" t="str">
            <v>Motorcyclist</v>
          </cell>
          <cell r="J586" t="str">
            <v>2027/28</v>
          </cell>
        </row>
        <row r="587">
          <cell r="A587" t="str">
            <v>08 MANAWATU-WANGANUI</v>
          </cell>
          <cell r="B587">
            <v>5</v>
          </cell>
          <cell r="C587">
            <v>2033</v>
          </cell>
          <cell r="D587">
            <v>5</v>
          </cell>
          <cell r="E587">
            <v>19</v>
          </cell>
          <cell r="F587">
            <v>0.53325662139999996</v>
          </cell>
          <cell r="G587">
            <v>4.1046427563999996</v>
          </cell>
          <cell r="H587">
            <v>0.12598146960000001</v>
          </cell>
          <cell r="I587" t="str">
            <v>Motorcyclist</v>
          </cell>
          <cell r="J587" t="str">
            <v>2032/33</v>
          </cell>
        </row>
        <row r="588">
          <cell r="A588" t="str">
            <v>08 MANAWATU-WANGANUI</v>
          </cell>
          <cell r="B588">
            <v>5</v>
          </cell>
          <cell r="C588">
            <v>2038</v>
          </cell>
          <cell r="D588">
            <v>5</v>
          </cell>
          <cell r="E588">
            <v>19</v>
          </cell>
          <cell r="F588">
            <v>0.51785307859999996</v>
          </cell>
          <cell r="G588">
            <v>4.0563195208999998</v>
          </cell>
          <cell r="H588">
            <v>0.1233227044</v>
          </cell>
          <cell r="I588" t="str">
            <v>Motorcyclist</v>
          </cell>
          <cell r="J588" t="str">
            <v>2037/38</v>
          </cell>
        </row>
        <row r="589">
          <cell r="A589" t="str">
            <v>08 MANAWATU-WANGANUI</v>
          </cell>
          <cell r="B589">
            <v>5</v>
          </cell>
          <cell r="C589">
            <v>2043</v>
          </cell>
          <cell r="D589">
            <v>5</v>
          </cell>
          <cell r="E589">
            <v>19</v>
          </cell>
          <cell r="F589">
            <v>0.4950732799</v>
          </cell>
          <cell r="G589">
            <v>3.9798361119000001</v>
          </cell>
          <cell r="H589">
            <v>0.11917660319999999</v>
          </cell>
          <cell r="I589" t="str">
            <v>Motorcyclist</v>
          </cell>
          <cell r="J589" t="str">
            <v>2042/43</v>
          </cell>
        </row>
        <row r="590">
          <cell r="A590" t="str">
            <v>08 MANAWATU-WANGANUI</v>
          </cell>
          <cell r="B590">
            <v>7</v>
          </cell>
          <cell r="C590">
            <v>2013</v>
          </cell>
          <cell r="D590">
            <v>41</v>
          </cell>
          <cell r="E590">
            <v>90</v>
          </cell>
          <cell r="F590">
            <v>5.2110099151</v>
          </cell>
          <cell r="G590">
            <v>39.768452936000003</v>
          </cell>
          <cell r="H590">
            <v>1.7349616699999999</v>
          </cell>
          <cell r="I590" t="str">
            <v>Local Bus</v>
          </cell>
          <cell r="J590" t="str">
            <v>2012/13</v>
          </cell>
        </row>
        <row r="591">
          <cell r="A591" t="str">
            <v>08 MANAWATU-WANGANUI</v>
          </cell>
          <cell r="B591">
            <v>7</v>
          </cell>
          <cell r="C591">
            <v>2018</v>
          </cell>
          <cell r="D591">
            <v>41</v>
          </cell>
          <cell r="E591">
            <v>90</v>
          </cell>
          <cell r="F591">
            <v>4.7739474266000004</v>
          </cell>
          <cell r="G591">
            <v>35.234082682999997</v>
          </cell>
          <cell r="H591">
            <v>1.5835990363000001</v>
          </cell>
          <cell r="I591" t="str">
            <v>Local Bus</v>
          </cell>
          <cell r="J591" t="str">
            <v>2017/18</v>
          </cell>
        </row>
        <row r="592">
          <cell r="A592" t="str">
            <v>08 MANAWATU-WANGANUI</v>
          </cell>
          <cell r="B592">
            <v>7</v>
          </cell>
          <cell r="C592">
            <v>2023</v>
          </cell>
          <cell r="D592">
            <v>41</v>
          </cell>
          <cell r="E592">
            <v>90</v>
          </cell>
          <cell r="F592">
            <v>4.4287568471999998</v>
          </cell>
          <cell r="G592">
            <v>31.898156853</v>
          </cell>
          <cell r="H592">
            <v>1.4561177073</v>
          </cell>
          <cell r="I592" t="str">
            <v>Local Bus</v>
          </cell>
          <cell r="J592" t="str">
            <v>2022/23</v>
          </cell>
        </row>
        <row r="593">
          <cell r="A593" t="str">
            <v>08 MANAWATU-WANGANUI</v>
          </cell>
          <cell r="B593">
            <v>7</v>
          </cell>
          <cell r="C593">
            <v>2028</v>
          </cell>
          <cell r="D593">
            <v>41</v>
          </cell>
          <cell r="E593">
            <v>90</v>
          </cell>
          <cell r="F593">
            <v>4.2398654522000001</v>
          </cell>
          <cell r="G593">
            <v>29.490945885999999</v>
          </cell>
          <cell r="H593">
            <v>1.3691870958000001</v>
          </cell>
          <cell r="I593" t="str">
            <v>Local Bus</v>
          </cell>
          <cell r="J593" t="str">
            <v>2027/28</v>
          </cell>
        </row>
        <row r="594">
          <cell r="A594" t="str">
            <v>08 MANAWATU-WANGANUI</v>
          </cell>
          <cell r="B594">
            <v>7</v>
          </cell>
          <cell r="C594">
            <v>2033</v>
          </cell>
          <cell r="D594">
            <v>41</v>
          </cell>
          <cell r="E594">
            <v>90</v>
          </cell>
          <cell r="F594">
            <v>4.0807161754000001</v>
          </cell>
          <cell r="G594">
            <v>27.18549161</v>
          </cell>
          <cell r="H594">
            <v>1.2990372483999999</v>
          </cell>
          <cell r="I594" t="str">
            <v>Local Bus</v>
          </cell>
          <cell r="J594" t="str">
            <v>2032/33</v>
          </cell>
        </row>
        <row r="595">
          <cell r="A595" t="str">
            <v>08 MANAWATU-WANGANUI</v>
          </cell>
          <cell r="B595">
            <v>7</v>
          </cell>
          <cell r="C595">
            <v>2038</v>
          </cell>
          <cell r="D595">
            <v>41</v>
          </cell>
          <cell r="E595">
            <v>90</v>
          </cell>
          <cell r="F595">
            <v>3.9708109778999998</v>
          </cell>
          <cell r="G595">
            <v>25.286290874999999</v>
          </cell>
          <cell r="H595">
            <v>1.2330758687000001</v>
          </cell>
          <cell r="I595" t="str">
            <v>Local Bus</v>
          </cell>
          <cell r="J595" t="str">
            <v>2037/38</v>
          </cell>
        </row>
        <row r="596">
          <cell r="A596" t="str">
            <v>08 MANAWATU-WANGANUI</v>
          </cell>
          <cell r="B596">
            <v>7</v>
          </cell>
          <cell r="C596">
            <v>2043</v>
          </cell>
          <cell r="D596">
            <v>41</v>
          </cell>
          <cell r="E596">
            <v>90</v>
          </cell>
          <cell r="F596">
            <v>3.8413456586999999</v>
          </cell>
          <cell r="G596">
            <v>23.364764091000001</v>
          </cell>
          <cell r="H596">
            <v>1.163084252</v>
          </cell>
          <cell r="I596" t="str">
            <v>Local Bus</v>
          </cell>
          <cell r="J596" t="str">
            <v>2042/43</v>
          </cell>
        </row>
        <row r="597">
          <cell r="A597" t="str">
            <v>08 MANAWATU-WANGANUI</v>
          </cell>
          <cell r="B597">
            <v>8</v>
          </cell>
          <cell r="C597">
            <v>2013</v>
          </cell>
          <cell r="D597">
            <v>2</v>
          </cell>
          <cell r="E597">
            <v>4</v>
          </cell>
          <cell r="F597">
            <v>0.1068619116</v>
          </cell>
          <cell r="G597">
            <v>0</v>
          </cell>
          <cell r="H597">
            <v>1.3357739E-2</v>
          </cell>
          <cell r="I597" t="str">
            <v>Local Ferry</v>
          </cell>
          <cell r="J597" t="str">
            <v>2012/13</v>
          </cell>
        </row>
        <row r="598">
          <cell r="A598" t="str">
            <v>08 MANAWATU-WANGANUI</v>
          </cell>
          <cell r="B598">
            <v>8</v>
          </cell>
          <cell r="C598">
            <v>2018</v>
          </cell>
          <cell r="D598">
            <v>2</v>
          </cell>
          <cell r="E598">
            <v>4</v>
          </cell>
          <cell r="F598">
            <v>0.1189573463</v>
          </cell>
          <cell r="G598">
            <v>0</v>
          </cell>
          <cell r="H598">
            <v>1.48696683E-2</v>
          </cell>
          <cell r="I598" t="str">
            <v>Local Ferry</v>
          </cell>
          <cell r="J598" t="str">
            <v>2017/18</v>
          </cell>
        </row>
        <row r="599">
          <cell r="A599" t="str">
            <v>08 MANAWATU-WANGANUI</v>
          </cell>
          <cell r="B599">
            <v>8</v>
          </cell>
          <cell r="C599">
            <v>2023</v>
          </cell>
          <cell r="D599">
            <v>2</v>
          </cell>
          <cell r="E599">
            <v>4</v>
          </cell>
          <cell r="F599">
            <v>0.1273773996</v>
          </cell>
          <cell r="G599">
            <v>0</v>
          </cell>
          <cell r="H599">
            <v>1.5922174899999999E-2</v>
          </cell>
          <cell r="I599" t="str">
            <v>Local Ferry</v>
          </cell>
          <cell r="J599" t="str">
            <v>2022/23</v>
          </cell>
        </row>
        <row r="600">
          <cell r="A600" t="str">
            <v>08 MANAWATU-WANGANUI</v>
          </cell>
          <cell r="B600">
            <v>8</v>
          </cell>
          <cell r="C600">
            <v>2028</v>
          </cell>
          <cell r="D600">
            <v>2</v>
          </cell>
          <cell r="E600">
            <v>4</v>
          </cell>
          <cell r="F600">
            <v>0.13635575059999999</v>
          </cell>
          <cell r="G600">
            <v>0</v>
          </cell>
          <cell r="H600">
            <v>1.70444688E-2</v>
          </cell>
          <cell r="I600" t="str">
            <v>Local Ferry</v>
          </cell>
          <cell r="J600" t="str">
            <v>2027/28</v>
          </cell>
        </row>
        <row r="601">
          <cell r="A601" t="str">
            <v>08 MANAWATU-WANGANUI</v>
          </cell>
          <cell r="B601">
            <v>8</v>
          </cell>
          <cell r="C601">
            <v>2033</v>
          </cell>
          <cell r="D601">
            <v>2</v>
          </cell>
          <cell r="E601">
            <v>4</v>
          </cell>
          <cell r="F601">
            <v>0.1353941471</v>
          </cell>
          <cell r="G601">
            <v>0</v>
          </cell>
          <cell r="H601">
            <v>1.6924268400000001E-2</v>
          </cell>
          <cell r="I601" t="str">
            <v>Local Ferry</v>
          </cell>
          <cell r="J601" t="str">
            <v>2032/33</v>
          </cell>
        </row>
        <row r="602">
          <cell r="A602" t="str">
            <v>08 MANAWATU-WANGANUI</v>
          </cell>
          <cell r="B602">
            <v>8</v>
          </cell>
          <cell r="C602">
            <v>2038</v>
          </cell>
          <cell r="D602">
            <v>2</v>
          </cell>
          <cell r="E602">
            <v>4</v>
          </cell>
          <cell r="F602">
            <v>0.12848109129999999</v>
          </cell>
          <cell r="G602">
            <v>0</v>
          </cell>
          <cell r="H602">
            <v>1.6060136400000001E-2</v>
          </cell>
          <cell r="I602" t="str">
            <v>Local Ferry</v>
          </cell>
          <cell r="J602" t="str">
            <v>2037/38</v>
          </cell>
        </row>
        <row r="603">
          <cell r="A603" t="str">
            <v>08 MANAWATU-WANGANUI</v>
          </cell>
          <cell r="B603">
            <v>8</v>
          </cell>
          <cell r="C603">
            <v>2043</v>
          </cell>
          <cell r="D603">
            <v>2</v>
          </cell>
          <cell r="E603">
            <v>4</v>
          </cell>
          <cell r="F603">
            <v>0.1208823715</v>
          </cell>
          <cell r="G603">
            <v>0</v>
          </cell>
          <cell r="H603">
            <v>1.5110296400000001E-2</v>
          </cell>
          <cell r="I603" t="str">
            <v>Local Ferry</v>
          </cell>
          <cell r="J603" t="str">
            <v>2042/43</v>
          </cell>
        </row>
        <row r="604">
          <cell r="A604" t="str">
            <v>08 MANAWATU-WANGANUI</v>
          </cell>
          <cell r="B604">
            <v>9</v>
          </cell>
          <cell r="C604">
            <v>2013</v>
          </cell>
          <cell r="D604">
            <v>2</v>
          </cell>
          <cell r="E604">
            <v>5</v>
          </cell>
          <cell r="F604">
            <v>0.24513607779999999</v>
          </cell>
          <cell r="G604">
            <v>0</v>
          </cell>
          <cell r="H604">
            <v>3.9735238899999997E-2</v>
          </cell>
          <cell r="I604" t="str">
            <v>Other Household Travel</v>
          </cell>
          <cell r="J604" t="str">
            <v>2012/13</v>
          </cell>
        </row>
        <row r="605">
          <cell r="A605" t="str">
            <v>08 MANAWATU-WANGANUI</v>
          </cell>
          <cell r="B605">
            <v>9</v>
          </cell>
          <cell r="C605">
            <v>2018</v>
          </cell>
          <cell r="D605">
            <v>2</v>
          </cell>
          <cell r="E605">
            <v>5</v>
          </cell>
          <cell r="F605">
            <v>0.2320282907</v>
          </cell>
          <cell r="G605">
            <v>0</v>
          </cell>
          <cell r="H605">
            <v>3.7986567899999997E-2</v>
          </cell>
          <cell r="I605" t="str">
            <v>Other Household Travel</v>
          </cell>
          <cell r="J605" t="str">
            <v>2017/18</v>
          </cell>
        </row>
        <row r="606">
          <cell r="A606" t="str">
            <v>08 MANAWATU-WANGANUI</v>
          </cell>
          <cell r="B606">
            <v>9</v>
          </cell>
          <cell r="C606">
            <v>2023</v>
          </cell>
          <cell r="D606">
            <v>2</v>
          </cell>
          <cell r="E606">
            <v>5</v>
          </cell>
          <cell r="F606">
            <v>0.21108542899999999</v>
          </cell>
          <cell r="G606">
            <v>0</v>
          </cell>
          <cell r="H606">
            <v>3.4506506800000003E-2</v>
          </cell>
          <cell r="I606" t="str">
            <v>Other Household Travel</v>
          </cell>
          <cell r="J606" t="str">
            <v>2022/23</v>
          </cell>
        </row>
        <row r="607">
          <cell r="A607" t="str">
            <v>08 MANAWATU-WANGANUI</v>
          </cell>
          <cell r="B607">
            <v>9</v>
          </cell>
          <cell r="C607">
            <v>2028</v>
          </cell>
          <cell r="D607">
            <v>2</v>
          </cell>
          <cell r="E607">
            <v>5</v>
          </cell>
          <cell r="F607">
            <v>0.18051617110000001</v>
          </cell>
          <cell r="G607">
            <v>0</v>
          </cell>
          <cell r="H607">
            <v>2.8876597399999999E-2</v>
          </cell>
          <cell r="I607" t="str">
            <v>Other Household Travel</v>
          </cell>
          <cell r="J607" t="str">
            <v>2027/28</v>
          </cell>
        </row>
        <row r="608">
          <cell r="A608" t="str">
            <v>08 MANAWATU-WANGANUI</v>
          </cell>
          <cell r="B608">
            <v>9</v>
          </cell>
          <cell r="C608">
            <v>2033</v>
          </cell>
          <cell r="D608">
            <v>2</v>
          </cell>
          <cell r="E608">
            <v>5</v>
          </cell>
          <cell r="F608">
            <v>0.16179723600000001</v>
          </cell>
          <cell r="G608">
            <v>0</v>
          </cell>
          <cell r="H608">
            <v>2.5273315000000001E-2</v>
          </cell>
          <cell r="I608" t="str">
            <v>Other Household Travel</v>
          </cell>
          <cell r="J608" t="str">
            <v>2032/33</v>
          </cell>
        </row>
        <row r="609">
          <cell r="A609" t="str">
            <v>08 MANAWATU-WANGANUI</v>
          </cell>
          <cell r="B609">
            <v>9</v>
          </cell>
          <cell r="C609">
            <v>2038</v>
          </cell>
          <cell r="D609">
            <v>2</v>
          </cell>
          <cell r="E609">
            <v>5</v>
          </cell>
          <cell r="F609">
            <v>0.1440297556</v>
          </cell>
          <cell r="G609">
            <v>0</v>
          </cell>
          <cell r="H609">
            <v>2.2216921899999999E-2</v>
          </cell>
          <cell r="I609" t="str">
            <v>Other Household Travel</v>
          </cell>
          <cell r="J609" t="str">
            <v>2037/38</v>
          </cell>
        </row>
        <row r="610">
          <cell r="A610" t="str">
            <v>08 MANAWATU-WANGANUI</v>
          </cell>
          <cell r="B610">
            <v>9</v>
          </cell>
          <cell r="C610">
            <v>2043</v>
          </cell>
          <cell r="D610">
            <v>2</v>
          </cell>
          <cell r="E610">
            <v>5</v>
          </cell>
          <cell r="F610">
            <v>0.12634801330000001</v>
          </cell>
          <cell r="G610">
            <v>0</v>
          </cell>
          <cell r="H610">
            <v>1.9206237399999999E-2</v>
          </cell>
          <cell r="I610" t="str">
            <v>Other Household Travel</v>
          </cell>
          <cell r="J610" t="str">
            <v>2042/43</v>
          </cell>
        </row>
        <row r="611">
          <cell r="A611" t="str">
            <v>08 MANAWATU-WANGANUI</v>
          </cell>
          <cell r="B611">
            <v>10</v>
          </cell>
          <cell r="C611">
            <v>2013</v>
          </cell>
          <cell r="D611">
            <v>7</v>
          </cell>
          <cell r="E611">
            <v>9</v>
          </cell>
          <cell r="F611">
            <v>0.39226351739999998</v>
          </cell>
          <cell r="G611">
            <v>21.972430028000002</v>
          </cell>
          <cell r="H611">
            <v>0.73590853769999998</v>
          </cell>
          <cell r="I611" t="str">
            <v>Air/Non-Local PT</v>
          </cell>
          <cell r="J611" t="str">
            <v>2012/13</v>
          </cell>
        </row>
        <row r="612">
          <cell r="A612" t="str">
            <v>08 MANAWATU-WANGANUI</v>
          </cell>
          <cell r="B612">
            <v>10</v>
          </cell>
          <cell r="C612">
            <v>2018</v>
          </cell>
          <cell r="D612">
            <v>7</v>
          </cell>
          <cell r="E612">
            <v>9</v>
          </cell>
          <cell r="F612">
            <v>0.46737332279999999</v>
          </cell>
          <cell r="G612">
            <v>23.895876309999998</v>
          </cell>
          <cell r="H612">
            <v>0.84055858319999999</v>
          </cell>
          <cell r="I612" t="str">
            <v>Air/Non-Local PT</v>
          </cell>
          <cell r="J612" t="str">
            <v>2017/18</v>
          </cell>
        </row>
        <row r="613">
          <cell r="A613" t="str">
            <v>08 MANAWATU-WANGANUI</v>
          </cell>
          <cell r="B613">
            <v>10</v>
          </cell>
          <cell r="C613">
            <v>2023</v>
          </cell>
          <cell r="D613">
            <v>7</v>
          </cell>
          <cell r="E613">
            <v>9</v>
          </cell>
          <cell r="F613">
            <v>0.53458344199999996</v>
          </cell>
          <cell r="G613">
            <v>26.120301912999999</v>
          </cell>
          <cell r="H613">
            <v>0.94907879989999999</v>
          </cell>
          <cell r="I613" t="str">
            <v>Air/Non-Local PT</v>
          </cell>
          <cell r="J613" t="str">
            <v>2022/23</v>
          </cell>
        </row>
        <row r="614">
          <cell r="A614" t="str">
            <v>08 MANAWATU-WANGANUI</v>
          </cell>
          <cell r="B614">
            <v>10</v>
          </cell>
          <cell r="C614">
            <v>2028</v>
          </cell>
          <cell r="D614">
            <v>7</v>
          </cell>
          <cell r="E614">
            <v>9</v>
          </cell>
          <cell r="F614">
            <v>0.59070714349999998</v>
          </cell>
          <cell r="G614">
            <v>29.305214829000001</v>
          </cell>
          <cell r="H614">
            <v>1.06817574</v>
          </cell>
          <cell r="I614" t="str">
            <v>Air/Non-Local PT</v>
          </cell>
          <cell r="J614" t="str">
            <v>2027/28</v>
          </cell>
        </row>
        <row r="615">
          <cell r="A615" t="str">
            <v>08 MANAWATU-WANGANUI</v>
          </cell>
          <cell r="B615">
            <v>10</v>
          </cell>
          <cell r="C615">
            <v>2033</v>
          </cell>
          <cell r="D615">
            <v>7</v>
          </cell>
          <cell r="E615">
            <v>9</v>
          </cell>
          <cell r="F615">
            <v>0.63327165990000001</v>
          </cell>
          <cell r="G615">
            <v>30.707861578999999</v>
          </cell>
          <cell r="H615">
            <v>1.1505015577</v>
          </cell>
          <cell r="I615" t="str">
            <v>Air/Non-Local PT</v>
          </cell>
          <cell r="J615" t="str">
            <v>2032/33</v>
          </cell>
        </row>
        <row r="616">
          <cell r="A616" t="str">
            <v>08 MANAWATU-WANGANUI</v>
          </cell>
          <cell r="B616">
            <v>10</v>
          </cell>
          <cell r="C616">
            <v>2038</v>
          </cell>
          <cell r="D616">
            <v>7</v>
          </cell>
          <cell r="E616">
            <v>9</v>
          </cell>
          <cell r="F616">
            <v>0.65873817509999999</v>
          </cell>
          <cell r="G616">
            <v>29.454950674999999</v>
          </cell>
          <cell r="H616">
            <v>1.1653781237</v>
          </cell>
          <cell r="I616" t="str">
            <v>Air/Non-Local PT</v>
          </cell>
          <cell r="J616" t="str">
            <v>2037/38</v>
          </cell>
        </row>
        <row r="617">
          <cell r="A617" t="str">
            <v>08 MANAWATU-WANGANUI</v>
          </cell>
          <cell r="B617">
            <v>10</v>
          </cell>
          <cell r="C617">
            <v>2043</v>
          </cell>
          <cell r="D617">
            <v>7</v>
          </cell>
          <cell r="E617">
            <v>9</v>
          </cell>
          <cell r="F617">
            <v>0.68290503739999997</v>
          </cell>
          <cell r="G617">
            <v>27.963068224000001</v>
          </cell>
          <cell r="H617">
            <v>1.1740709421</v>
          </cell>
          <cell r="I617" t="str">
            <v>Air/Non-Local PT</v>
          </cell>
          <cell r="J617" t="str">
            <v>2042/43</v>
          </cell>
        </row>
        <row r="618">
          <cell r="A618" t="str">
            <v>08 MANAWATU-WANGANUI</v>
          </cell>
          <cell r="B618">
            <v>11</v>
          </cell>
          <cell r="C618">
            <v>2013</v>
          </cell>
          <cell r="D618">
            <v>12</v>
          </cell>
          <cell r="E618">
            <v>37</v>
          </cell>
          <cell r="F618">
            <v>1.6982787315000001</v>
          </cell>
          <cell r="G618">
            <v>38.826541556000002</v>
          </cell>
          <cell r="H618">
            <v>0.76899050189999996</v>
          </cell>
          <cell r="I618" t="str">
            <v>Non-Household Travel</v>
          </cell>
          <cell r="J618" t="str">
            <v>2012/13</v>
          </cell>
        </row>
        <row r="619">
          <cell r="A619" t="str">
            <v>08 MANAWATU-WANGANUI</v>
          </cell>
          <cell r="B619">
            <v>11</v>
          </cell>
          <cell r="C619">
            <v>2018</v>
          </cell>
          <cell r="D619">
            <v>12</v>
          </cell>
          <cell r="E619">
            <v>37</v>
          </cell>
          <cell r="F619">
            <v>1.7100380187999999</v>
          </cell>
          <cell r="G619">
            <v>38.317939297000002</v>
          </cell>
          <cell r="H619">
            <v>0.77409499520000002</v>
          </cell>
          <cell r="I619" t="str">
            <v>Non-Household Travel</v>
          </cell>
          <cell r="J619" t="str">
            <v>2017/18</v>
          </cell>
        </row>
        <row r="620">
          <cell r="A620" t="str">
            <v>08 MANAWATU-WANGANUI</v>
          </cell>
          <cell r="B620">
            <v>11</v>
          </cell>
          <cell r="C620">
            <v>2023</v>
          </cell>
          <cell r="D620">
            <v>12</v>
          </cell>
          <cell r="E620">
            <v>37</v>
          </cell>
          <cell r="F620">
            <v>1.7410704418</v>
          </cell>
          <cell r="G620">
            <v>38.847172538999999</v>
          </cell>
          <cell r="H620">
            <v>0.79229801030000002</v>
          </cell>
          <cell r="I620" t="str">
            <v>Non-Household Travel</v>
          </cell>
          <cell r="J620" t="str">
            <v>2022/23</v>
          </cell>
        </row>
        <row r="621">
          <cell r="A621" t="str">
            <v>08 MANAWATU-WANGANUI</v>
          </cell>
          <cell r="B621">
            <v>11</v>
          </cell>
          <cell r="C621">
            <v>2028</v>
          </cell>
          <cell r="D621">
            <v>12</v>
          </cell>
          <cell r="E621">
            <v>37</v>
          </cell>
          <cell r="F621">
            <v>1.745574011</v>
          </cell>
          <cell r="G621">
            <v>39.685924512</v>
          </cell>
          <cell r="H621">
            <v>0.80731223289999998</v>
          </cell>
          <cell r="I621" t="str">
            <v>Non-Household Travel</v>
          </cell>
          <cell r="J621" t="str">
            <v>2027/28</v>
          </cell>
        </row>
        <row r="622">
          <cell r="A622" t="str">
            <v>08 MANAWATU-WANGANUI</v>
          </cell>
          <cell r="B622">
            <v>11</v>
          </cell>
          <cell r="C622">
            <v>2033</v>
          </cell>
          <cell r="D622">
            <v>12</v>
          </cell>
          <cell r="E622">
            <v>37</v>
          </cell>
          <cell r="F622">
            <v>1.7025709908</v>
          </cell>
          <cell r="G622">
            <v>40.475270266000003</v>
          </cell>
          <cell r="H622">
            <v>0.81263067739999995</v>
          </cell>
          <cell r="I622" t="str">
            <v>Non-Household Travel</v>
          </cell>
          <cell r="J622" t="str">
            <v>2032/33</v>
          </cell>
        </row>
        <row r="623">
          <cell r="A623" t="str">
            <v>08 MANAWATU-WANGANUI</v>
          </cell>
          <cell r="B623">
            <v>11</v>
          </cell>
          <cell r="C623">
            <v>2038</v>
          </cell>
          <cell r="D623">
            <v>12</v>
          </cell>
          <cell r="E623">
            <v>37</v>
          </cell>
          <cell r="F623">
            <v>1.6250692285999999</v>
          </cell>
          <cell r="G623">
            <v>39.844816631999997</v>
          </cell>
          <cell r="H623">
            <v>0.79333652249999997</v>
          </cell>
          <cell r="I623" t="str">
            <v>Non-Household Travel</v>
          </cell>
          <cell r="J623" t="str">
            <v>2037/38</v>
          </cell>
        </row>
        <row r="624">
          <cell r="A624" t="str">
            <v>08 MANAWATU-WANGANUI</v>
          </cell>
          <cell r="B624">
            <v>11</v>
          </cell>
          <cell r="C624">
            <v>2043</v>
          </cell>
          <cell r="D624">
            <v>12</v>
          </cell>
          <cell r="E624">
            <v>37</v>
          </cell>
          <cell r="F624">
            <v>1.5393803465</v>
          </cell>
          <cell r="G624">
            <v>39.059377109000003</v>
          </cell>
          <cell r="H624">
            <v>0.77069699110000001</v>
          </cell>
          <cell r="I624" t="str">
            <v>Non-Household Travel</v>
          </cell>
          <cell r="J624" t="str">
            <v>2042/43</v>
          </cell>
        </row>
        <row r="625">
          <cell r="A625" t="str">
            <v>09 WELLINGTON</v>
          </cell>
          <cell r="B625">
            <v>0</v>
          </cell>
          <cell r="C625">
            <v>2013</v>
          </cell>
          <cell r="D625">
            <v>941</v>
          </cell>
          <cell r="E625">
            <v>4221</v>
          </cell>
          <cell r="F625">
            <v>182.29561206</v>
          </cell>
          <cell r="G625">
            <v>126.13499251</v>
          </cell>
          <cell r="H625">
            <v>32.985647405999998</v>
          </cell>
          <cell r="I625" t="str">
            <v>Pedestrian</v>
          </cell>
          <cell r="J625" t="str">
            <v>2012/13</v>
          </cell>
        </row>
        <row r="626">
          <cell r="A626" t="str">
            <v>09 WELLINGTON</v>
          </cell>
          <cell r="B626">
            <v>0</v>
          </cell>
          <cell r="C626">
            <v>2018</v>
          </cell>
          <cell r="D626">
            <v>941</v>
          </cell>
          <cell r="E626">
            <v>4221</v>
          </cell>
          <cell r="F626">
            <v>192.43410817</v>
          </cell>
          <cell r="G626">
            <v>133.83003762999999</v>
          </cell>
          <cell r="H626">
            <v>34.981312981000002</v>
          </cell>
          <cell r="I626" t="str">
            <v>Pedestrian</v>
          </cell>
          <cell r="J626" t="str">
            <v>2017/18</v>
          </cell>
        </row>
        <row r="627">
          <cell r="A627" t="str">
            <v>09 WELLINGTON</v>
          </cell>
          <cell r="B627">
            <v>0</v>
          </cell>
          <cell r="C627">
            <v>2023</v>
          </cell>
          <cell r="D627">
            <v>941</v>
          </cell>
          <cell r="E627">
            <v>4221</v>
          </cell>
          <cell r="F627">
            <v>197.99484332</v>
          </cell>
          <cell r="G627">
            <v>137.97801552000001</v>
          </cell>
          <cell r="H627">
            <v>36.025419456000002</v>
          </cell>
          <cell r="I627" t="str">
            <v>Pedestrian</v>
          </cell>
          <cell r="J627" t="str">
            <v>2022/23</v>
          </cell>
        </row>
        <row r="628">
          <cell r="A628" t="str">
            <v>09 WELLINGTON</v>
          </cell>
          <cell r="B628">
            <v>0</v>
          </cell>
          <cell r="C628">
            <v>2028</v>
          </cell>
          <cell r="D628">
            <v>941</v>
          </cell>
          <cell r="E628">
            <v>4221</v>
          </cell>
          <cell r="F628">
            <v>201.98673004</v>
          </cell>
          <cell r="G628">
            <v>141.28098703000001</v>
          </cell>
          <cell r="H628">
            <v>36.861184223000002</v>
          </cell>
          <cell r="I628" t="str">
            <v>Pedestrian</v>
          </cell>
          <cell r="J628" t="str">
            <v>2027/28</v>
          </cell>
        </row>
        <row r="629">
          <cell r="A629" t="str">
            <v>09 WELLINGTON</v>
          </cell>
          <cell r="B629">
            <v>0</v>
          </cell>
          <cell r="C629">
            <v>2033</v>
          </cell>
          <cell r="D629">
            <v>941</v>
          </cell>
          <cell r="E629">
            <v>4221</v>
          </cell>
          <cell r="F629">
            <v>204.87334146000001</v>
          </cell>
          <cell r="G629">
            <v>143.92966451000001</v>
          </cell>
          <cell r="H629">
            <v>37.455850380000001</v>
          </cell>
          <cell r="I629" t="str">
            <v>Pedestrian</v>
          </cell>
          <cell r="J629" t="str">
            <v>2032/33</v>
          </cell>
        </row>
        <row r="630">
          <cell r="A630" t="str">
            <v>09 WELLINGTON</v>
          </cell>
          <cell r="B630">
            <v>0</v>
          </cell>
          <cell r="C630">
            <v>2038</v>
          </cell>
          <cell r="D630">
            <v>941</v>
          </cell>
          <cell r="E630">
            <v>4221</v>
          </cell>
          <cell r="F630">
            <v>207.79767039000001</v>
          </cell>
          <cell r="G630">
            <v>147.08846663</v>
          </cell>
          <cell r="H630">
            <v>38.047694481999997</v>
          </cell>
          <cell r="I630" t="str">
            <v>Pedestrian</v>
          </cell>
          <cell r="J630" t="str">
            <v>2037/38</v>
          </cell>
        </row>
        <row r="631">
          <cell r="A631" t="str">
            <v>09 WELLINGTON</v>
          </cell>
          <cell r="B631">
            <v>0</v>
          </cell>
          <cell r="C631">
            <v>2043</v>
          </cell>
          <cell r="D631">
            <v>941</v>
          </cell>
          <cell r="E631">
            <v>4221</v>
          </cell>
          <cell r="F631">
            <v>210.04155366000001</v>
          </cell>
          <cell r="G631">
            <v>149.91478167</v>
          </cell>
          <cell r="H631">
            <v>38.543518427999999</v>
          </cell>
          <cell r="I631" t="str">
            <v>Pedestrian</v>
          </cell>
          <cell r="J631" t="str">
            <v>2042/43</v>
          </cell>
        </row>
        <row r="632">
          <cell r="A632" t="str">
            <v>09 WELLINGTON</v>
          </cell>
          <cell r="B632">
            <v>1</v>
          </cell>
          <cell r="C632">
            <v>2013</v>
          </cell>
          <cell r="D632">
            <v>54</v>
          </cell>
          <cell r="E632">
            <v>164</v>
          </cell>
          <cell r="F632">
            <v>8.1327913301999999</v>
          </cell>
          <cell r="G632">
            <v>52.092312808000003</v>
          </cell>
          <cell r="H632">
            <v>3.6978261002999999</v>
          </cell>
          <cell r="I632" t="str">
            <v>Cyclist</v>
          </cell>
          <cell r="J632" t="str">
            <v>2012/13</v>
          </cell>
        </row>
        <row r="633">
          <cell r="A633" t="str">
            <v>09 WELLINGTON</v>
          </cell>
          <cell r="B633">
            <v>1</v>
          </cell>
          <cell r="C633">
            <v>2018</v>
          </cell>
          <cell r="D633">
            <v>54</v>
          </cell>
          <cell r="E633">
            <v>164</v>
          </cell>
          <cell r="F633">
            <v>8.2883092386000001</v>
          </cell>
          <cell r="G633">
            <v>55.193920392000003</v>
          </cell>
          <cell r="H633">
            <v>3.9096174661999998</v>
          </cell>
          <cell r="I633" t="str">
            <v>Cyclist</v>
          </cell>
          <cell r="J633" t="str">
            <v>2017/18</v>
          </cell>
        </row>
        <row r="634">
          <cell r="A634" t="str">
            <v>09 WELLINGTON</v>
          </cell>
          <cell r="B634">
            <v>1</v>
          </cell>
          <cell r="C634">
            <v>2023</v>
          </cell>
          <cell r="D634">
            <v>54</v>
          </cell>
          <cell r="E634">
            <v>164</v>
          </cell>
          <cell r="F634">
            <v>8.2917630324000005</v>
          </cell>
          <cell r="G634">
            <v>56.672170543999997</v>
          </cell>
          <cell r="H634">
            <v>4.0013970351000001</v>
          </cell>
          <cell r="I634" t="str">
            <v>Cyclist</v>
          </cell>
          <cell r="J634" t="str">
            <v>2022/23</v>
          </cell>
        </row>
        <row r="635">
          <cell r="A635" t="str">
            <v>09 WELLINGTON</v>
          </cell>
          <cell r="B635">
            <v>1</v>
          </cell>
          <cell r="C635">
            <v>2028</v>
          </cell>
          <cell r="D635">
            <v>54</v>
          </cell>
          <cell r="E635">
            <v>164</v>
          </cell>
          <cell r="F635">
            <v>8.2119591862999997</v>
          </cell>
          <cell r="G635">
            <v>57.670971889</v>
          </cell>
          <cell r="H635">
            <v>4.0522416650000004</v>
          </cell>
          <cell r="I635" t="str">
            <v>Cyclist</v>
          </cell>
          <cell r="J635" t="str">
            <v>2027/28</v>
          </cell>
        </row>
        <row r="636">
          <cell r="A636" t="str">
            <v>09 WELLINGTON</v>
          </cell>
          <cell r="B636">
            <v>1</v>
          </cell>
          <cell r="C636">
            <v>2033</v>
          </cell>
          <cell r="D636">
            <v>54</v>
          </cell>
          <cell r="E636">
            <v>164</v>
          </cell>
          <cell r="F636">
            <v>8.2309131369999999</v>
          </cell>
          <cell r="G636">
            <v>60.974773286999998</v>
          </cell>
          <cell r="H636">
            <v>4.2443589782000002</v>
          </cell>
          <cell r="I636" t="str">
            <v>Cyclist</v>
          </cell>
          <cell r="J636" t="str">
            <v>2032/33</v>
          </cell>
        </row>
        <row r="637">
          <cell r="A637" t="str">
            <v>09 WELLINGTON</v>
          </cell>
          <cell r="B637">
            <v>1</v>
          </cell>
          <cell r="C637">
            <v>2038</v>
          </cell>
          <cell r="D637">
            <v>54</v>
          </cell>
          <cell r="E637">
            <v>164</v>
          </cell>
          <cell r="F637">
            <v>8.3901853035999991</v>
          </cell>
          <cell r="G637">
            <v>65.907009590000001</v>
          </cell>
          <cell r="H637">
            <v>4.5493868989999999</v>
          </cell>
          <cell r="I637" t="str">
            <v>Cyclist</v>
          </cell>
          <cell r="J637" t="str">
            <v>2037/38</v>
          </cell>
        </row>
        <row r="638">
          <cell r="A638" t="str">
            <v>09 WELLINGTON</v>
          </cell>
          <cell r="B638">
            <v>1</v>
          </cell>
          <cell r="C638">
            <v>2043</v>
          </cell>
          <cell r="D638">
            <v>54</v>
          </cell>
          <cell r="E638">
            <v>164</v>
          </cell>
          <cell r="F638">
            <v>8.5378098106000007</v>
          </cell>
          <cell r="G638">
            <v>70.809958576</v>
          </cell>
          <cell r="H638">
            <v>4.8517259715999996</v>
          </cell>
          <cell r="I638" t="str">
            <v>Cyclist</v>
          </cell>
          <cell r="J638" t="str">
            <v>2042/43</v>
          </cell>
        </row>
        <row r="639">
          <cell r="A639" t="str">
            <v>09 WELLINGTON</v>
          </cell>
          <cell r="B639">
            <v>2</v>
          </cell>
          <cell r="C639">
            <v>2013</v>
          </cell>
          <cell r="D639">
            <v>1130</v>
          </cell>
          <cell r="E639">
            <v>8488</v>
          </cell>
          <cell r="F639">
            <v>377.93589692</v>
          </cell>
          <cell r="G639">
            <v>3481.4296611999998</v>
          </cell>
          <cell r="H639">
            <v>92.129697210000003</v>
          </cell>
          <cell r="I639" t="str">
            <v>Light Vehicle Driver</v>
          </cell>
          <cell r="J639" t="str">
            <v>2012/13</v>
          </cell>
        </row>
        <row r="640">
          <cell r="A640" t="str">
            <v>09 WELLINGTON</v>
          </cell>
          <cell r="B640">
            <v>2</v>
          </cell>
          <cell r="C640">
            <v>2018</v>
          </cell>
          <cell r="D640">
            <v>1130</v>
          </cell>
          <cell r="E640">
            <v>8488</v>
          </cell>
          <cell r="F640">
            <v>397.86137673000002</v>
          </cell>
          <cell r="G640">
            <v>3683.0713480999998</v>
          </cell>
          <cell r="H640">
            <v>97.505941156999995</v>
          </cell>
          <cell r="I640" t="str">
            <v>Light Vehicle Driver</v>
          </cell>
          <cell r="J640" t="str">
            <v>2017/18</v>
          </cell>
        </row>
        <row r="641">
          <cell r="A641" t="str">
            <v>09 WELLINGTON</v>
          </cell>
          <cell r="B641">
            <v>2</v>
          </cell>
          <cell r="C641">
            <v>2023</v>
          </cell>
          <cell r="D641">
            <v>1130</v>
          </cell>
          <cell r="E641">
            <v>8488</v>
          </cell>
          <cell r="F641">
            <v>411.53846742000002</v>
          </cell>
          <cell r="G641">
            <v>3817.6447951</v>
          </cell>
          <cell r="H641">
            <v>101.17330484</v>
          </cell>
          <cell r="I641" t="str">
            <v>Light Vehicle Driver</v>
          </cell>
          <cell r="J641" t="str">
            <v>2022/23</v>
          </cell>
        </row>
        <row r="642">
          <cell r="A642" t="str">
            <v>09 WELLINGTON</v>
          </cell>
          <cell r="B642">
            <v>2</v>
          </cell>
          <cell r="C642">
            <v>2028</v>
          </cell>
          <cell r="D642">
            <v>1130</v>
          </cell>
          <cell r="E642">
            <v>8488</v>
          </cell>
          <cell r="F642">
            <v>421.59419184000001</v>
          </cell>
          <cell r="G642">
            <v>3915.2399673999998</v>
          </cell>
          <cell r="H642">
            <v>103.76791298000001</v>
          </cell>
          <cell r="I642" t="str">
            <v>Light Vehicle Driver</v>
          </cell>
          <cell r="J642" t="str">
            <v>2027/28</v>
          </cell>
        </row>
        <row r="643">
          <cell r="A643" t="str">
            <v>09 WELLINGTON</v>
          </cell>
          <cell r="B643">
            <v>2</v>
          </cell>
          <cell r="C643">
            <v>2033</v>
          </cell>
          <cell r="D643">
            <v>1130</v>
          </cell>
          <cell r="E643">
            <v>8488</v>
          </cell>
          <cell r="F643">
            <v>429.40100139999998</v>
          </cell>
          <cell r="G643">
            <v>4010.0146537999999</v>
          </cell>
          <cell r="H643">
            <v>106.00385025999999</v>
          </cell>
          <cell r="I643" t="str">
            <v>Light Vehicle Driver</v>
          </cell>
          <cell r="J643" t="str">
            <v>2032/33</v>
          </cell>
        </row>
        <row r="644">
          <cell r="A644" t="str">
            <v>09 WELLINGTON</v>
          </cell>
          <cell r="B644">
            <v>2</v>
          </cell>
          <cell r="C644">
            <v>2038</v>
          </cell>
          <cell r="D644">
            <v>1130</v>
          </cell>
          <cell r="E644">
            <v>8488</v>
          </cell>
          <cell r="F644">
            <v>433.9361902</v>
          </cell>
          <cell r="G644">
            <v>4075.1895859000001</v>
          </cell>
          <cell r="H644">
            <v>107.5404362</v>
          </cell>
          <cell r="I644" t="str">
            <v>Light Vehicle Driver</v>
          </cell>
          <cell r="J644" t="str">
            <v>2037/38</v>
          </cell>
        </row>
        <row r="645">
          <cell r="A645" t="str">
            <v>09 WELLINGTON</v>
          </cell>
          <cell r="B645">
            <v>2</v>
          </cell>
          <cell r="C645">
            <v>2043</v>
          </cell>
          <cell r="D645">
            <v>1130</v>
          </cell>
          <cell r="E645">
            <v>8488</v>
          </cell>
          <cell r="F645">
            <v>436.91000087999998</v>
          </cell>
          <cell r="G645">
            <v>4128.0291792999997</v>
          </cell>
          <cell r="H645">
            <v>108.74587572</v>
          </cell>
          <cell r="I645" t="str">
            <v>Light Vehicle Driver</v>
          </cell>
          <cell r="J645" t="str">
            <v>2042/43</v>
          </cell>
        </row>
        <row r="646">
          <cell r="A646" t="str">
            <v>09 WELLINGTON</v>
          </cell>
          <cell r="B646">
            <v>3</v>
          </cell>
          <cell r="C646">
            <v>2013</v>
          </cell>
          <cell r="D646">
            <v>936</v>
          </cell>
          <cell r="E646">
            <v>4461</v>
          </cell>
          <cell r="F646">
            <v>183.55442563</v>
          </cell>
          <cell r="G646">
            <v>2005.8850408000001</v>
          </cell>
          <cell r="H646">
            <v>48.966354531</v>
          </cell>
          <cell r="I646" t="str">
            <v>Light Vehicle Passenger</v>
          </cell>
          <cell r="J646" t="str">
            <v>2012/13</v>
          </cell>
        </row>
        <row r="647">
          <cell r="A647" t="str">
            <v>09 WELLINGTON</v>
          </cell>
          <cell r="B647">
            <v>3</v>
          </cell>
          <cell r="C647">
            <v>2018</v>
          </cell>
          <cell r="D647">
            <v>936</v>
          </cell>
          <cell r="E647">
            <v>4461</v>
          </cell>
          <cell r="F647">
            <v>186.81886415</v>
          </cell>
          <cell r="G647">
            <v>2017.4024456</v>
          </cell>
          <cell r="H647">
            <v>49.615628262999998</v>
          </cell>
          <cell r="I647" t="str">
            <v>Light Vehicle Passenger</v>
          </cell>
          <cell r="J647" t="str">
            <v>2017/18</v>
          </cell>
        </row>
        <row r="648">
          <cell r="A648" t="str">
            <v>09 WELLINGTON</v>
          </cell>
          <cell r="B648">
            <v>3</v>
          </cell>
          <cell r="C648">
            <v>2023</v>
          </cell>
          <cell r="D648">
            <v>936</v>
          </cell>
          <cell r="E648">
            <v>4461</v>
          </cell>
          <cell r="F648">
            <v>188.20377342</v>
          </cell>
          <cell r="G648">
            <v>2007.9494519</v>
          </cell>
          <cell r="H648">
            <v>49.684395881999997</v>
          </cell>
          <cell r="I648" t="str">
            <v>Light Vehicle Passenger</v>
          </cell>
          <cell r="J648" t="str">
            <v>2022/23</v>
          </cell>
        </row>
        <row r="649">
          <cell r="A649" t="str">
            <v>09 WELLINGTON</v>
          </cell>
          <cell r="B649">
            <v>3</v>
          </cell>
          <cell r="C649">
            <v>2028</v>
          </cell>
          <cell r="D649">
            <v>936</v>
          </cell>
          <cell r="E649">
            <v>4461</v>
          </cell>
          <cell r="F649">
            <v>188.10378731</v>
          </cell>
          <cell r="G649">
            <v>1987.3763220000001</v>
          </cell>
          <cell r="H649">
            <v>49.460850520000001</v>
          </cell>
          <cell r="I649" t="str">
            <v>Light Vehicle Passenger</v>
          </cell>
          <cell r="J649" t="str">
            <v>2027/28</v>
          </cell>
        </row>
        <row r="650">
          <cell r="A650" t="str">
            <v>09 WELLINGTON</v>
          </cell>
          <cell r="B650">
            <v>3</v>
          </cell>
          <cell r="C650">
            <v>2033</v>
          </cell>
          <cell r="D650">
            <v>936</v>
          </cell>
          <cell r="E650">
            <v>4461</v>
          </cell>
          <cell r="F650">
            <v>188.55047826000001</v>
          </cell>
          <cell r="G650">
            <v>1975.8178078000001</v>
          </cell>
          <cell r="H650">
            <v>49.396424287999999</v>
          </cell>
          <cell r="I650" t="str">
            <v>Light Vehicle Passenger</v>
          </cell>
          <cell r="J650" t="str">
            <v>2032/33</v>
          </cell>
        </row>
        <row r="651">
          <cell r="A651" t="str">
            <v>09 WELLINGTON</v>
          </cell>
          <cell r="B651">
            <v>3</v>
          </cell>
          <cell r="C651">
            <v>2038</v>
          </cell>
          <cell r="D651">
            <v>936</v>
          </cell>
          <cell r="E651">
            <v>4461</v>
          </cell>
          <cell r="F651">
            <v>188.90913423000001</v>
          </cell>
          <cell r="G651">
            <v>1956.0942953000001</v>
          </cell>
          <cell r="H651">
            <v>49.137254294000002</v>
          </cell>
          <cell r="I651" t="str">
            <v>Light Vehicle Passenger</v>
          </cell>
          <cell r="J651" t="str">
            <v>2037/38</v>
          </cell>
        </row>
        <row r="652">
          <cell r="A652" t="str">
            <v>09 WELLINGTON</v>
          </cell>
          <cell r="B652">
            <v>3</v>
          </cell>
          <cell r="C652">
            <v>2043</v>
          </cell>
          <cell r="D652">
            <v>936</v>
          </cell>
          <cell r="E652">
            <v>4461</v>
          </cell>
          <cell r="F652">
            <v>188.47659497000001</v>
          </cell>
          <cell r="G652">
            <v>1929.4702445</v>
          </cell>
          <cell r="H652">
            <v>48.694661545000002</v>
          </cell>
          <cell r="I652" t="str">
            <v>Light Vehicle Passenger</v>
          </cell>
          <cell r="J652" t="str">
            <v>2042/43</v>
          </cell>
        </row>
        <row r="653">
          <cell r="A653" t="str">
            <v>09 WELLINGTON</v>
          </cell>
          <cell r="B653">
            <v>4</v>
          </cell>
          <cell r="C653">
            <v>2013</v>
          </cell>
          <cell r="D653">
            <v>31</v>
          </cell>
          <cell r="E653">
            <v>51</v>
          </cell>
          <cell r="F653">
            <v>2.3579512121000001</v>
          </cell>
          <cell r="G653">
            <v>19.359252680000001</v>
          </cell>
          <cell r="H653">
            <v>0.76229285280000003</v>
          </cell>
          <cell r="J653" t="str">
            <v>2012/13</v>
          </cell>
        </row>
        <row r="654">
          <cell r="A654" t="str">
            <v>09 WELLINGTON</v>
          </cell>
          <cell r="B654">
            <v>4</v>
          </cell>
          <cell r="C654">
            <v>2018</v>
          </cell>
          <cell r="D654">
            <v>31</v>
          </cell>
          <cell r="E654">
            <v>51</v>
          </cell>
          <cell r="F654">
            <v>2.5751050881999999</v>
          </cell>
          <cell r="G654">
            <v>20.581800350000002</v>
          </cell>
          <cell r="H654">
            <v>0.81842337040000002</v>
          </cell>
          <cell r="J654" t="str">
            <v>2017/18</v>
          </cell>
        </row>
        <row r="655">
          <cell r="A655" t="str">
            <v>09 WELLINGTON</v>
          </cell>
          <cell r="B655">
            <v>4</v>
          </cell>
          <cell r="C655">
            <v>2023</v>
          </cell>
          <cell r="D655">
            <v>31</v>
          </cell>
          <cell r="E655">
            <v>51</v>
          </cell>
          <cell r="F655">
            <v>2.7149192420000001</v>
          </cell>
          <cell r="G655">
            <v>21.774824543000001</v>
          </cell>
          <cell r="H655">
            <v>0.86896019079999998</v>
          </cell>
          <cell r="J655" t="str">
            <v>2022/23</v>
          </cell>
        </row>
        <row r="656">
          <cell r="A656" t="str">
            <v>09 WELLINGTON</v>
          </cell>
          <cell r="B656">
            <v>4</v>
          </cell>
          <cell r="C656">
            <v>2028</v>
          </cell>
          <cell r="D656">
            <v>31</v>
          </cell>
          <cell r="E656">
            <v>51</v>
          </cell>
          <cell r="F656">
            <v>2.8168358596999998</v>
          </cell>
          <cell r="G656">
            <v>22.884429347000001</v>
          </cell>
          <cell r="H656">
            <v>0.91442411209999996</v>
          </cell>
          <cell r="J656" t="str">
            <v>2027/28</v>
          </cell>
        </row>
        <row r="657">
          <cell r="A657" t="str">
            <v>09 WELLINGTON</v>
          </cell>
          <cell r="B657">
            <v>4</v>
          </cell>
          <cell r="C657">
            <v>2033</v>
          </cell>
          <cell r="D657">
            <v>31</v>
          </cell>
          <cell r="E657">
            <v>51</v>
          </cell>
          <cell r="F657">
            <v>2.8982414793000002</v>
          </cell>
          <cell r="G657">
            <v>23.911994052000001</v>
          </cell>
          <cell r="H657">
            <v>0.94589514269999997</v>
          </cell>
          <cell r="J657" t="str">
            <v>2032/33</v>
          </cell>
        </row>
        <row r="658">
          <cell r="A658" t="str">
            <v>09 WELLINGTON</v>
          </cell>
          <cell r="B658">
            <v>4</v>
          </cell>
          <cell r="C658">
            <v>2038</v>
          </cell>
          <cell r="D658">
            <v>31</v>
          </cell>
          <cell r="E658">
            <v>51</v>
          </cell>
          <cell r="F658">
            <v>2.9763403998000002</v>
          </cell>
          <cell r="G658">
            <v>24.628848443999999</v>
          </cell>
          <cell r="H658">
            <v>0.96148437590000002</v>
          </cell>
          <cell r="J658" t="str">
            <v>2037/38</v>
          </cell>
        </row>
        <row r="659">
          <cell r="A659" t="str">
            <v>09 WELLINGTON</v>
          </cell>
          <cell r="B659">
            <v>4</v>
          </cell>
          <cell r="C659">
            <v>2043</v>
          </cell>
          <cell r="D659">
            <v>31</v>
          </cell>
          <cell r="E659">
            <v>51</v>
          </cell>
          <cell r="F659">
            <v>3.0484241626999999</v>
          </cell>
          <cell r="G659">
            <v>25.20193269</v>
          </cell>
          <cell r="H659">
            <v>0.97203616609999999</v>
          </cell>
          <cell r="J659" t="str">
            <v>2042/43</v>
          </cell>
        </row>
        <row r="660">
          <cell r="A660" t="str">
            <v>09 WELLINGTON</v>
          </cell>
          <cell r="B660">
            <v>5</v>
          </cell>
          <cell r="C660">
            <v>2013</v>
          </cell>
          <cell r="D660">
            <v>16</v>
          </cell>
          <cell r="E660">
            <v>64</v>
          </cell>
          <cell r="F660">
            <v>2.4968267649999998</v>
          </cell>
          <cell r="G660">
            <v>24.444631151999999</v>
          </cell>
          <cell r="H660">
            <v>0.71073078609999996</v>
          </cell>
          <cell r="I660" t="str">
            <v>Motorcyclist</v>
          </cell>
          <cell r="J660" t="str">
            <v>2012/13</v>
          </cell>
        </row>
        <row r="661">
          <cell r="A661" t="str">
            <v>09 WELLINGTON</v>
          </cell>
          <cell r="B661">
            <v>5</v>
          </cell>
          <cell r="C661">
            <v>2018</v>
          </cell>
          <cell r="D661">
            <v>16</v>
          </cell>
          <cell r="E661">
            <v>64</v>
          </cell>
          <cell r="F661">
            <v>2.6405109623</v>
          </cell>
          <cell r="G661">
            <v>24.603665926000001</v>
          </cell>
          <cell r="H661">
            <v>0.73118518489999995</v>
          </cell>
          <cell r="I661" t="str">
            <v>Motorcyclist</v>
          </cell>
          <cell r="J661" t="str">
            <v>2017/18</v>
          </cell>
        </row>
        <row r="662">
          <cell r="A662" t="str">
            <v>09 WELLINGTON</v>
          </cell>
          <cell r="B662">
            <v>5</v>
          </cell>
          <cell r="C662">
            <v>2023</v>
          </cell>
          <cell r="D662">
            <v>16</v>
          </cell>
          <cell r="E662">
            <v>64</v>
          </cell>
          <cell r="F662">
            <v>2.6944098393</v>
          </cell>
          <cell r="G662">
            <v>24.372716968999999</v>
          </cell>
          <cell r="H662">
            <v>0.7293037497</v>
          </cell>
          <cell r="I662" t="str">
            <v>Motorcyclist</v>
          </cell>
          <cell r="J662" t="str">
            <v>2022/23</v>
          </cell>
        </row>
        <row r="663">
          <cell r="A663" t="str">
            <v>09 WELLINGTON</v>
          </cell>
          <cell r="B663">
            <v>5</v>
          </cell>
          <cell r="C663">
            <v>2028</v>
          </cell>
          <cell r="D663">
            <v>16</v>
          </cell>
          <cell r="E663">
            <v>64</v>
          </cell>
          <cell r="F663">
            <v>2.7500100097</v>
          </cell>
          <cell r="G663">
            <v>24.678830053999999</v>
          </cell>
          <cell r="H663">
            <v>0.73550340410000004</v>
          </cell>
          <cell r="I663" t="str">
            <v>Motorcyclist</v>
          </cell>
          <cell r="J663" t="str">
            <v>2027/28</v>
          </cell>
        </row>
        <row r="664">
          <cell r="A664" t="str">
            <v>09 WELLINGTON</v>
          </cell>
          <cell r="B664">
            <v>5</v>
          </cell>
          <cell r="C664">
            <v>2033</v>
          </cell>
          <cell r="D664">
            <v>16</v>
          </cell>
          <cell r="E664">
            <v>64</v>
          </cell>
          <cell r="F664">
            <v>2.8133572193999998</v>
          </cell>
          <cell r="G664">
            <v>25.645875901</v>
          </cell>
          <cell r="H664">
            <v>0.75799804059999998</v>
          </cell>
          <cell r="I664" t="str">
            <v>Motorcyclist</v>
          </cell>
          <cell r="J664" t="str">
            <v>2032/33</v>
          </cell>
        </row>
        <row r="665">
          <cell r="A665" t="str">
            <v>09 WELLINGTON</v>
          </cell>
          <cell r="B665">
            <v>5</v>
          </cell>
          <cell r="C665">
            <v>2038</v>
          </cell>
          <cell r="D665">
            <v>16</v>
          </cell>
          <cell r="E665">
            <v>64</v>
          </cell>
          <cell r="F665">
            <v>2.8501696076999998</v>
          </cell>
          <cell r="G665">
            <v>26.407085099</v>
          </cell>
          <cell r="H665">
            <v>0.77810409469999997</v>
          </cell>
          <cell r="I665" t="str">
            <v>Motorcyclist</v>
          </cell>
          <cell r="J665" t="str">
            <v>2037/38</v>
          </cell>
        </row>
        <row r="666">
          <cell r="A666" t="str">
            <v>09 WELLINGTON</v>
          </cell>
          <cell r="B666">
            <v>5</v>
          </cell>
          <cell r="C666">
            <v>2043</v>
          </cell>
          <cell r="D666">
            <v>16</v>
          </cell>
          <cell r="E666">
            <v>64</v>
          </cell>
          <cell r="F666">
            <v>2.8513140264999999</v>
          </cell>
          <cell r="G666">
            <v>26.80446555</v>
          </cell>
          <cell r="H666">
            <v>0.78718188219999996</v>
          </cell>
          <cell r="I666" t="str">
            <v>Motorcyclist</v>
          </cell>
          <cell r="J666" t="str">
            <v>2042/43</v>
          </cell>
        </row>
        <row r="667">
          <cell r="A667" t="str">
            <v>09 WELLINGTON</v>
          </cell>
          <cell r="B667">
            <v>6</v>
          </cell>
          <cell r="C667">
            <v>2013</v>
          </cell>
          <cell r="D667">
            <v>94</v>
          </cell>
          <cell r="E667">
            <v>228</v>
          </cell>
          <cell r="F667">
            <v>10.165258230999999</v>
          </cell>
          <cell r="G667">
            <v>251.12727889999999</v>
          </cell>
          <cell r="H667">
            <v>5.5268751299999996</v>
          </cell>
          <cell r="I667" t="str">
            <v>Local Train</v>
          </cell>
          <cell r="J667" t="str">
            <v>2012/13</v>
          </cell>
        </row>
        <row r="668">
          <cell r="A668" t="str">
            <v>09 WELLINGTON</v>
          </cell>
          <cell r="B668">
            <v>6</v>
          </cell>
          <cell r="C668">
            <v>2018</v>
          </cell>
          <cell r="D668">
            <v>94</v>
          </cell>
          <cell r="E668">
            <v>228</v>
          </cell>
          <cell r="F668">
            <v>10.9389138</v>
          </cell>
          <cell r="G668">
            <v>268.37680104999998</v>
          </cell>
          <cell r="H668">
            <v>5.8865517441000001</v>
          </cell>
          <cell r="I668" t="str">
            <v>Local Train</v>
          </cell>
          <cell r="J668" t="str">
            <v>2017/18</v>
          </cell>
        </row>
        <row r="669">
          <cell r="A669" t="str">
            <v>09 WELLINGTON</v>
          </cell>
          <cell r="B669">
            <v>6</v>
          </cell>
          <cell r="C669">
            <v>2023</v>
          </cell>
          <cell r="D669">
            <v>94</v>
          </cell>
          <cell r="E669">
            <v>228</v>
          </cell>
          <cell r="F669">
            <v>11.465730113999999</v>
          </cell>
          <cell r="G669">
            <v>281.69209850999999</v>
          </cell>
          <cell r="H669">
            <v>6.1624226999999996</v>
          </cell>
          <cell r="I669" t="str">
            <v>Local Train</v>
          </cell>
          <cell r="J669" t="str">
            <v>2022/23</v>
          </cell>
        </row>
        <row r="670">
          <cell r="A670" t="str">
            <v>09 WELLINGTON</v>
          </cell>
          <cell r="B670">
            <v>6</v>
          </cell>
          <cell r="C670">
            <v>2028</v>
          </cell>
          <cell r="D670">
            <v>94</v>
          </cell>
          <cell r="E670">
            <v>228</v>
          </cell>
          <cell r="F670">
            <v>11.868558672000001</v>
          </cell>
          <cell r="G670">
            <v>293.63243101</v>
          </cell>
          <cell r="H670">
            <v>6.4069879139000001</v>
          </cell>
          <cell r="I670" t="str">
            <v>Local Train</v>
          </cell>
          <cell r="J670" t="str">
            <v>2027/28</v>
          </cell>
        </row>
        <row r="671">
          <cell r="A671" t="str">
            <v>09 WELLINGTON</v>
          </cell>
          <cell r="B671">
            <v>6</v>
          </cell>
          <cell r="C671">
            <v>2033</v>
          </cell>
          <cell r="D671">
            <v>94</v>
          </cell>
          <cell r="E671">
            <v>228</v>
          </cell>
          <cell r="F671">
            <v>12.166184658000001</v>
          </cell>
          <cell r="G671">
            <v>299.69443267000003</v>
          </cell>
          <cell r="H671">
            <v>6.5445722437000002</v>
          </cell>
          <cell r="I671" t="str">
            <v>Local Train</v>
          </cell>
          <cell r="J671" t="str">
            <v>2032/33</v>
          </cell>
        </row>
        <row r="672">
          <cell r="A672" t="str">
            <v>09 WELLINGTON</v>
          </cell>
          <cell r="B672">
            <v>6</v>
          </cell>
          <cell r="C672">
            <v>2038</v>
          </cell>
          <cell r="D672">
            <v>94</v>
          </cell>
          <cell r="E672">
            <v>228</v>
          </cell>
          <cell r="F672">
            <v>12.519927922000001</v>
          </cell>
          <cell r="G672">
            <v>306.32187286999999</v>
          </cell>
          <cell r="H672">
            <v>6.6871263547000002</v>
          </cell>
          <cell r="I672" t="str">
            <v>Local Train</v>
          </cell>
          <cell r="J672" t="str">
            <v>2037/38</v>
          </cell>
        </row>
        <row r="673">
          <cell r="A673" t="str">
            <v>09 WELLINGTON</v>
          </cell>
          <cell r="B673">
            <v>6</v>
          </cell>
          <cell r="C673">
            <v>2043</v>
          </cell>
          <cell r="D673">
            <v>94</v>
          </cell>
          <cell r="E673">
            <v>228</v>
          </cell>
          <cell r="F673">
            <v>12.830146576000001</v>
          </cell>
          <cell r="G673">
            <v>311.45008668999998</v>
          </cell>
          <cell r="H673">
            <v>6.7983723147999999</v>
          </cell>
          <cell r="I673" t="str">
            <v>Local Train</v>
          </cell>
          <cell r="J673" t="str">
            <v>2042/43</v>
          </cell>
        </row>
        <row r="674">
          <cell r="A674" t="str">
            <v>09 WELLINGTON</v>
          </cell>
          <cell r="B674">
            <v>7</v>
          </cell>
          <cell r="C674">
            <v>2013</v>
          </cell>
          <cell r="D674">
            <v>211</v>
          </cell>
          <cell r="E674">
            <v>552</v>
          </cell>
          <cell r="F674">
            <v>24.821335829999999</v>
          </cell>
          <cell r="G674">
            <v>187.412398</v>
          </cell>
          <cell r="H674">
            <v>9.3956469076999998</v>
          </cell>
          <cell r="I674" t="str">
            <v>Local Bus</v>
          </cell>
          <cell r="J674" t="str">
            <v>2012/13</v>
          </cell>
        </row>
        <row r="675">
          <cell r="A675" t="str">
            <v>09 WELLINGTON</v>
          </cell>
          <cell r="B675">
            <v>7</v>
          </cell>
          <cell r="C675">
            <v>2018</v>
          </cell>
          <cell r="D675">
            <v>211</v>
          </cell>
          <cell r="E675">
            <v>552</v>
          </cell>
          <cell r="F675">
            <v>25.763393008000001</v>
          </cell>
          <cell r="G675">
            <v>196.28837895999999</v>
          </cell>
          <cell r="H675">
            <v>9.7994744618999992</v>
          </cell>
          <cell r="I675" t="str">
            <v>Local Bus</v>
          </cell>
          <cell r="J675" t="str">
            <v>2017/18</v>
          </cell>
        </row>
        <row r="676">
          <cell r="A676" t="str">
            <v>09 WELLINGTON</v>
          </cell>
          <cell r="B676">
            <v>7</v>
          </cell>
          <cell r="C676">
            <v>2023</v>
          </cell>
          <cell r="D676">
            <v>211</v>
          </cell>
          <cell r="E676">
            <v>552</v>
          </cell>
          <cell r="F676">
            <v>26.140608413999999</v>
          </cell>
          <cell r="G676">
            <v>200.10319190000001</v>
          </cell>
          <cell r="H676">
            <v>9.9875361711000004</v>
          </cell>
          <cell r="I676" t="str">
            <v>Local Bus</v>
          </cell>
          <cell r="J676" t="str">
            <v>2022/23</v>
          </cell>
        </row>
        <row r="677">
          <cell r="A677" t="str">
            <v>09 WELLINGTON</v>
          </cell>
          <cell r="B677">
            <v>7</v>
          </cell>
          <cell r="C677">
            <v>2028</v>
          </cell>
          <cell r="D677">
            <v>211</v>
          </cell>
          <cell r="E677">
            <v>552</v>
          </cell>
          <cell r="F677">
            <v>26.492151513</v>
          </cell>
          <cell r="G677">
            <v>203.08920596999999</v>
          </cell>
          <cell r="H677">
            <v>10.157220906999999</v>
          </cell>
          <cell r="I677" t="str">
            <v>Local Bus</v>
          </cell>
          <cell r="J677" t="str">
            <v>2027/28</v>
          </cell>
        </row>
        <row r="678">
          <cell r="A678" t="str">
            <v>09 WELLINGTON</v>
          </cell>
          <cell r="B678">
            <v>7</v>
          </cell>
          <cell r="C678">
            <v>2033</v>
          </cell>
          <cell r="D678">
            <v>211</v>
          </cell>
          <cell r="E678">
            <v>552</v>
          </cell>
          <cell r="F678">
            <v>26.498180754</v>
          </cell>
          <cell r="G678">
            <v>204.15487131</v>
          </cell>
          <cell r="H678">
            <v>10.204773556999999</v>
          </cell>
          <cell r="I678" t="str">
            <v>Local Bus</v>
          </cell>
          <cell r="J678" t="str">
            <v>2032/33</v>
          </cell>
        </row>
        <row r="679">
          <cell r="A679" t="str">
            <v>09 WELLINGTON</v>
          </cell>
          <cell r="B679">
            <v>7</v>
          </cell>
          <cell r="C679">
            <v>2038</v>
          </cell>
          <cell r="D679">
            <v>211</v>
          </cell>
          <cell r="E679">
            <v>552</v>
          </cell>
          <cell r="F679">
            <v>26.334150153</v>
          </cell>
          <cell r="G679">
            <v>204.32570204000001</v>
          </cell>
          <cell r="H679">
            <v>10.200671012000001</v>
          </cell>
          <cell r="I679" t="str">
            <v>Local Bus</v>
          </cell>
          <cell r="J679" t="str">
            <v>2037/38</v>
          </cell>
        </row>
        <row r="680">
          <cell r="A680" t="str">
            <v>09 WELLINGTON</v>
          </cell>
          <cell r="B680">
            <v>7</v>
          </cell>
          <cell r="C680">
            <v>2043</v>
          </cell>
          <cell r="D680">
            <v>211</v>
          </cell>
          <cell r="E680">
            <v>552</v>
          </cell>
          <cell r="F680">
            <v>26.043893530999998</v>
          </cell>
          <cell r="G680">
            <v>203.4099812</v>
          </cell>
          <cell r="H680">
            <v>10.143988118999999</v>
          </cell>
          <cell r="I680" t="str">
            <v>Local Bus</v>
          </cell>
          <cell r="J680" t="str">
            <v>2042/43</v>
          </cell>
        </row>
        <row r="681">
          <cell r="A681" t="str">
            <v>09 WELLINGTON</v>
          </cell>
          <cell r="B681">
            <v>8</v>
          </cell>
          <cell r="C681">
            <v>2013</v>
          </cell>
          <cell r="D681">
            <v>2</v>
          </cell>
          <cell r="E681">
            <v>4</v>
          </cell>
          <cell r="F681">
            <v>0.22615005399999999</v>
          </cell>
          <cell r="G681">
            <v>0</v>
          </cell>
          <cell r="H681">
            <v>5.6537513499999997E-2</v>
          </cell>
          <cell r="I681" t="str">
            <v>Local Ferry</v>
          </cell>
          <cell r="J681" t="str">
            <v>2012/13</v>
          </cell>
        </row>
        <row r="682">
          <cell r="A682" t="str">
            <v>09 WELLINGTON</v>
          </cell>
          <cell r="B682">
            <v>8</v>
          </cell>
          <cell r="C682">
            <v>2018</v>
          </cell>
          <cell r="D682">
            <v>2</v>
          </cell>
          <cell r="E682">
            <v>4</v>
          </cell>
          <cell r="F682">
            <v>0.26644856049999999</v>
          </cell>
          <cell r="G682">
            <v>0</v>
          </cell>
          <cell r="H682">
            <v>6.6612140099999995E-2</v>
          </cell>
          <cell r="I682" t="str">
            <v>Local Ferry</v>
          </cell>
          <cell r="J682" t="str">
            <v>2017/18</v>
          </cell>
        </row>
        <row r="683">
          <cell r="A683" t="str">
            <v>09 WELLINGTON</v>
          </cell>
          <cell r="B683">
            <v>8</v>
          </cell>
          <cell r="C683">
            <v>2023</v>
          </cell>
          <cell r="D683">
            <v>2</v>
          </cell>
          <cell r="E683">
            <v>4</v>
          </cell>
          <cell r="F683">
            <v>0.29356523960000003</v>
          </cell>
          <cell r="G683">
            <v>0</v>
          </cell>
          <cell r="H683">
            <v>7.3391309900000007E-2</v>
          </cell>
          <cell r="I683" t="str">
            <v>Local Ferry</v>
          </cell>
          <cell r="J683" t="str">
            <v>2022/23</v>
          </cell>
        </row>
        <row r="684">
          <cell r="A684" t="str">
            <v>09 WELLINGTON</v>
          </cell>
          <cell r="B684">
            <v>8</v>
          </cell>
          <cell r="C684">
            <v>2028</v>
          </cell>
          <cell r="D684">
            <v>2</v>
          </cell>
          <cell r="E684">
            <v>4</v>
          </cell>
          <cell r="F684">
            <v>0.30321469020000003</v>
          </cell>
          <cell r="G684">
            <v>0</v>
          </cell>
          <cell r="H684">
            <v>7.5803672500000002E-2</v>
          </cell>
          <cell r="I684" t="str">
            <v>Local Ferry</v>
          </cell>
          <cell r="J684" t="str">
            <v>2027/28</v>
          </cell>
        </row>
        <row r="685">
          <cell r="A685" t="str">
            <v>09 WELLINGTON</v>
          </cell>
          <cell r="B685">
            <v>8</v>
          </cell>
          <cell r="C685">
            <v>2033</v>
          </cell>
          <cell r="D685">
            <v>2</v>
          </cell>
          <cell r="E685">
            <v>4</v>
          </cell>
          <cell r="F685">
            <v>0.31348181790000001</v>
          </cell>
          <cell r="G685">
            <v>0</v>
          </cell>
          <cell r="H685">
            <v>7.8370454500000006E-2</v>
          </cell>
          <cell r="I685" t="str">
            <v>Local Ferry</v>
          </cell>
          <cell r="J685" t="str">
            <v>2032/33</v>
          </cell>
        </row>
        <row r="686">
          <cell r="A686" t="str">
            <v>09 WELLINGTON</v>
          </cell>
          <cell r="B686">
            <v>8</v>
          </cell>
          <cell r="C686">
            <v>2038</v>
          </cell>
          <cell r="D686">
            <v>2</v>
          </cell>
          <cell r="E686">
            <v>4</v>
          </cell>
          <cell r="F686">
            <v>0.33066703419999999</v>
          </cell>
          <cell r="G686">
            <v>0</v>
          </cell>
          <cell r="H686">
            <v>8.2666758500000007E-2</v>
          </cell>
          <cell r="I686" t="str">
            <v>Local Ferry</v>
          </cell>
          <cell r="J686" t="str">
            <v>2037/38</v>
          </cell>
        </row>
        <row r="687">
          <cell r="A687" t="str">
            <v>09 WELLINGTON</v>
          </cell>
          <cell r="B687">
            <v>8</v>
          </cell>
          <cell r="C687">
            <v>2043</v>
          </cell>
          <cell r="D687">
            <v>2</v>
          </cell>
          <cell r="E687">
            <v>4</v>
          </cell>
          <cell r="F687">
            <v>0.34850375700000003</v>
          </cell>
          <cell r="G687">
            <v>0</v>
          </cell>
          <cell r="H687">
            <v>8.7125939299999997E-2</v>
          </cell>
          <cell r="I687" t="str">
            <v>Local Ferry</v>
          </cell>
          <cell r="J687" t="str">
            <v>2042/43</v>
          </cell>
        </row>
        <row r="688">
          <cell r="A688" t="str">
            <v>09 WELLINGTON</v>
          </cell>
          <cell r="B688">
            <v>9</v>
          </cell>
          <cell r="C688">
            <v>2013</v>
          </cell>
          <cell r="D688">
            <v>7</v>
          </cell>
          <cell r="E688">
            <v>10</v>
          </cell>
          <cell r="F688">
            <v>0.33422365529999998</v>
          </cell>
          <cell r="G688">
            <v>0</v>
          </cell>
          <cell r="H688">
            <v>0.36538599710000003</v>
          </cell>
          <cell r="I688" t="str">
            <v>Other Household Travel</v>
          </cell>
          <cell r="J688" t="str">
            <v>2012/13</v>
          </cell>
        </row>
        <row r="689">
          <cell r="A689" t="str">
            <v>09 WELLINGTON</v>
          </cell>
          <cell r="B689">
            <v>9</v>
          </cell>
          <cell r="C689">
            <v>2018</v>
          </cell>
          <cell r="D689">
            <v>7</v>
          </cell>
          <cell r="E689">
            <v>10</v>
          </cell>
          <cell r="F689">
            <v>0.33821973280000001</v>
          </cell>
          <cell r="G689">
            <v>0</v>
          </cell>
          <cell r="H689">
            <v>0.34275426180000002</v>
          </cell>
          <cell r="I689" t="str">
            <v>Other Household Travel</v>
          </cell>
          <cell r="J689" t="str">
            <v>2017/18</v>
          </cell>
        </row>
        <row r="690">
          <cell r="A690" t="str">
            <v>09 WELLINGTON</v>
          </cell>
          <cell r="B690">
            <v>9</v>
          </cell>
          <cell r="C690">
            <v>2023</v>
          </cell>
          <cell r="D690">
            <v>7</v>
          </cell>
          <cell r="E690">
            <v>10</v>
          </cell>
          <cell r="F690">
            <v>0.34520845900000002</v>
          </cell>
          <cell r="G690">
            <v>0</v>
          </cell>
          <cell r="H690">
            <v>0.35627908400000002</v>
          </cell>
          <cell r="I690" t="str">
            <v>Other Household Travel</v>
          </cell>
          <cell r="J690" t="str">
            <v>2022/23</v>
          </cell>
        </row>
        <row r="691">
          <cell r="A691" t="str">
            <v>09 WELLINGTON</v>
          </cell>
          <cell r="B691">
            <v>9</v>
          </cell>
          <cell r="C691">
            <v>2028</v>
          </cell>
          <cell r="D691">
            <v>7</v>
          </cell>
          <cell r="E691">
            <v>10</v>
          </cell>
          <cell r="F691">
            <v>0.34928014969999999</v>
          </cell>
          <cell r="G691">
            <v>0</v>
          </cell>
          <cell r="H691">
            <v>0.39793267139999999</v>
          </cell>
          <cell r="I691" t="str">
            <v>Other Household Travel</v>
          </cell>
          <cell r="J691" t="str">
            <v>2027/28</v>
          </cell>
        </row>
        <row r="692">
          <cell r="A692" t="str">
            <v>09 WELLINGTON</v>
          </cell>
          <cell r="B692">
            <v>9</v>
          </cell>
          <cell r="C692">
            <v>2033</v>
          </cell>
          <cell r="D692">
            <v>7</v>
          </cell>
          <cell r="E692">
            <v>10</v>
          </cell>
          <cell r="F692">
            <v>0.34266250520000002</v>
          </cell>
          <cell r="G692">
            <v>0</v>
          </cell>
          <cell r="H692">
            <v>0.42318565250000001</v>
          </cell>
          <cell r="I692" t="str">
            <v>Other Household Travel</v>
          </cell>
          <cell r="J692" t="str">
            <v>2032/33</v>
          </cell>
        </row>
        <row r="693">
          <cell r="A693" t="str">
            <v>09 WELLINGTON</v>
          </cell>
          <cell r="B693">
            <v>9</v>
          </cell>
          <cell r="C693">
            <v>2038</v>
          </cell>
          <cell r="D693">
            <v>7</v>
          </cell>
          <cell r="E693">
            <v>10</v>
          </cell>
          <cell r="F693">
            <v>0.34017447550000002</v>
          </cell>
          <cell r="G693">
            <v>0</v>
          </cell>
          <cell r="H693">
            <v>0.41536302619999999</v>
          </cell>
          <cell r="I693" t="str">
            <v>Other Household Travel</v>
          </cell>
          <cell r="J693" t="str">
            <v>2037/38</v>
          </cell>
        </row>
        <row r="694">
          <cell r="A694" t="str">
            <v>09 WELLINGTON</v>
          </cell>
          <cell r="B694">
            <v>9</v>
          </cell>
          <cell r="C694">
            <v>2043</v>
          </cell>
          <cell r="D694">
            <v>7</v>
          </cell>
          <cell r="E694">
            <v>10</v>
          </cell>
          <cell r="F694">
            <v>0.33545960260000002</v>
          </cell>
          <cell r="G694">
            <v>0</v>
          </cell>
          <cell r="H694">
            <v>0.40481265640000003</v>
          </cell>
          <cell r="I694" t="str">
            <v>Other Household Travel</v>
          </cell>
          <cell r="J694" t="str">
            <v>2042/43</v>
          </cell>
        </row>
        <row r="695">
          <cell r="A695" t="str">
            <v>09 WELLINGTON</v>
          </cell>
          <cell r="B695">
            <v>10</v>
          </cell>
          <cell r="C695">
            <v>2013</v>
          </cell>
          <cell r="D695">
            <v>44</v>
          </cell>
          <cell r="E695">
            <v>59</v>
          </cell>
          <cell r="F695">
            <v>2.6590020702000001</v>
          </cell>
          <cell r="G695">
            <v>67.715118274999995</v>
          </cell>
          <cell r="H695">
            <v>5.4178011538000002</v>
          </cell>
          <cell r="I695" t="str">
            <v>Air/Non-Local PT</v>
          </cell>
          <cell r="J695" t="str">
            <v>2012/13</v>
          </cell>
        </row>
        <row r="696">
          <cell r="A696" t="str">
            <v>09 WELLINGTON</v>
          </cell>
          <cell r="B696">
            <v>10</v>
          </cell>
          <cell r="C696">
            <v>2018</v>
          </cell>
          <cell r="D696">
            <v>44</v>
          </cell>
          <cell r="E696">
            <v>59</v>
          </cell>
          <cell r="F696">
            <v>2.8710897917999998</v>
          </cell>
          <cell r="G696">
            <v>79.116258962000003</v>
          </cell>
          <cell r="H696">
            <v>5.9343550265999996</v>
          </cell>
          <cell r="I696" t="str">
            <v>Air/Non-Local PT</v>
          </cell>
          <cell r="J696" t="str">
            <v>2017/18</v>
          </cell>
        </row>
        <row r="697">
          <cell r="A697" t="str">
            <v>09 WELLINGTON</v>
          </cell>
          <cell r="B697">
            <v>10</v>
          </cell>
          <cell r="C697">
            <v>2023</v>
          </cell>
          <cell r="D697">
            <v>44</v>
          </cell>
          <cell r="E697">
            <v>59</v>
          </cell>
          <cell r="F697">
            <v>3.0765514006000001</v>
          </cell>
          <cell r="G697">
            <v>87.939174520999998</v>
          </cell>
          <cell r="H697">
            <v>6.4863082568000001</v>
          </cell>
          <cell r="I697" t="str">
            <v>Air/Non-Local PT</v>
          </cell>
          <cell r="J697" t="str">
            <v>2022/23</v>
          </cell>
        </row>
        <row r="698">
          <cell r="A698" t="str">
            <v>09 WELLINGTON</v>
          </cell>
          <cell r="B698">
            <v>10</v>
          </cell>
          <cell r="C698">
            <v>2028</v>
          </cell>
          <cell r="D698">
            <v>44</v>
          </cell>
          <cell r="E698">
            <v>59</v>
          </cell>
          <cell r="F698">
            <v>3.2618609505</v>
          </cell>
          <cell r="G698">
            <v>94.576790231000004</v>
          </cell>
          <cell r="H698">
            <v>7.0153096822999998</v>
          </cell>
          <cell r="I698" t="str">
            <v>Air/Non-Local PT</v>
          </cell>
          <cell r="J698" t="str">
            <v>2027/28</v>
          </cell>
        </row>
        <row r="699">
          <cell r="A699" t="str">
            <v>09 WELLINGTON</v>
          </cell>
          <cell r="B699">
            <v>10</v>
          </cell>
          <cell r="C699">
            <v>2033</v>
          </cell>
          <cell r="D699">
            <v>44</v>
          </cell>
          <cell r="E699">
            <v>59</v>
          </cell>
          <cell r="F699">
            <v>3.3784949540000002</v>
          </cell>
          <cell r="G699">
            <v>98.380459169000005</v>
          </cell>
          <cell r="H699">
            <v>7.3381316915000001</v>
          </cell>
          <cell r="I699" t="str">
            <v>Air/Non-Local PT</v>
          </cell>
          <cell r="J699" t="str">
            <v>2032/33</v>
          </cell>
        </row>
        <row r="700">
          <cell r="A700" t="str">
            <v>09 WELLINGTON</v>
          </cell>
          <cell r="B700">
            <v>10</v>
          </cell>
          <cell r="C700">
            <v>2038</v>
          </cell>
          <cell r="D700">
            <v>44</v>
          </cell>
          <cell r="E700">
            <v>59</v>
          </cell>
          <cell r="F700">
            <v>3.4129784623999999</v>
          </cell>
          <cell r="G700">
            <v>100.55529558000001</v>
          </cell>
          <cell r="H700">
            <v>7.4156492580000002</v>
          </cell>
          <cell r="I700" t="str">
            <v>Air/Non-Local PT</v>
          </cell>
          <cell r="J700" t="str">
            <v>2037/38</v>
          </cell>
        </row>
        <row r="701">
          <cell r="A701" t="str">
            <v>09 WELLINGTON</v>
          </cell>
          <cell r="B701">
            <v>10</v>
          </cell>
          <cell r="C701">
            <v>2043</v>
          </cell>
          <cell r="D701">
            <v>44</v>
          </cell>
          <cell r="E701">
            <v>59</v>
          </cell>
          <cell r="F701">
            <v>3.4300480227999999</v>
          </cell>
          <cell r="G701">
            <v>102.44185210000001</v>
          </cell>
          <cell r="H701">
            <v>7.4554295731</v>
          </cell>
          <cell r="I701" t="str">
            <v>Air/Non-Local PT</v>
          </cell>
          <cell r="J701" t="str">
            <v>2042/43</v>
          </cell>
        </row>
        <row r="702">
          <cell r="A702" t="str">
            <v>09 WELLINGTON</v>
          </cell>
          <cell r="B702">
            <v>11</v>
          </cell>
          <cell r="C702">
            <v>2013</v>
          </cell>
          <cell r="D702">
            <v>22</v>
          </cell>
          <cell r="E702">
            <v>115</v>
          </cell>
          <cell r="F702">
            <v>5.4599503292999998</v>
          </cell>
          <cell r="G702">
            <v>100.96436647</v>
          </cell>
          <cell r="H702">
            <v>1.9758448391000001</v>
          </cell>
          <cell r="I702" t="str">
            <v>Non-Household Travel</v>
          </cell>
          <cell r="J702" t="str">
            <v>2012/13</v>
          </cell>
        </row>
        <row r="703">
          <cell r="A703" t="str">
            <v>09 WELLINGTON</v>
          </cell>
          <cell r="B703">
            <v>11</v>
          </cell>
          <cell r="C703">
            <v>2018</v>
          </cell>
          <cell r="D703">
            <v>22</v>
          </cell>
          <cell r="E703">
            <v>115</v>
          </cell>
          <cell r="F703">
            <v>5.65413985</v>
          </cell>
          <cell r="G703">
            <v>114.8172015</v>
          </cell>
          <cell r="H703">
            <v>2.1944772420000001</v>
          </cell>
          <cell r="I703" t="str">
            <v>Non-Household Travel</v>
          </cell>
          <cell r="J703" t="str">
            <v>2017/18</v>
          </cell>
        </row>
        <row r="704">
          <cell r="A704" t="str">
            <v>09 WELLINGTON</v>
          </cell>
          <cell r="B704">
            <v>11</v>
          </cell>
          <cell r="C704">
            <v>2023</v>
          </cell>
          <cell r="D704">
            <v>22</v>
          </cell>
          <cell r="E704">
            <v>115</v>
          </cell>
          <cell r="F704">
            <v>5.6992245069000003</v>
          </cell>
          <cell r="G704">
            <v>122.25507487</v>
          </cell>
          <cell r="H704">
            <v>2.3066151080999999</v>
          </cell>
          <cell r="I704" t="str">
            <v>Non-Household Travel</v>
          </cell>
          <cell r="J704" t="str">
            <v>2022/23</v>
          </cell>
        </row>
        <row r="705">
          <cell r="A705" t="str">
            <v>09 WELLINGTON</v>
          </cell>
          <cell r="B705">
            <v>11</v>
          </cell>
          <cell r="C705">
            <v>2028</v>
          </cell>
          <cell r="D705">
            <v>22</v>
          </cell>
          <cell r="E705">
            <v>115</v>
          </cell>
          <cell r="F705">
            <v>5.6763564341999997</v>
          </cell>
          <cell r="G705">
            <v>124.13831163</v>
          </cell>
          <cell r="H705">
            <v>2.3245727718000002</v>
          </cell>
          <cell r="I705" t="str">
            <v>Non-Household Travel</v>
          </cell>
          <cell r="J705" t="str">
            <v>2027/28</v>
          </cell>
        </row>
        <row r="706">
          <cell r="A706" t="str">
            <v>09 WELLINGTON</v>
          </cell>
          <cell r="B706">
            <v>11</v>
          </cell>
          <cell r="C706">
            <v>2033</v>
          </cell>
          <cell r="D706">
            <v>22</v>
          </cell>
          <cell r="E706">
            <v>115</v>
          </cell>
          <cell r="F706">
            <v>5.7491834899000001</v>
          </cell>
          <cell r="G706">
            <v>124.50463849</v>
          </cell>
          <cell r="H706">
            <v>2.3439009941000002</v>
          </cell>
          <cell r="I706" t="str">
            <v>Non-Household Travel</v>
          </cell>
          <cell r="J706" t="str">
            <v>2032/33</v>
          </cell>
        </row>
        <row r="707">
          <cell r="A707" t="str">
            <v>09 WELLINGTON</v>
          </cell>
          <cell r="B707">
            <v>11</v>
          </cell>
          <cell r="C707">
            <v>2038</v>
          </cell>
          <cell r="D707">
            <v>22</v>
          </cell>
          <cell r="E707">
            <v>115</v>
          </cell>
          <cell r="F707">
            <v>5.9159738944000004</v>
          </cell>
          <cell r="G707">
            <v>126.89965497999999</v>
          </cell>
          <cell r="H707">
            <v>2.4143817348000001</v>
          </cell>
          <cell r="I707" t="str">
            <v>Non-Household Travel</v>
          </cell>
          <cell r="J707" t="str">
            <v>2037/38</v>
          </cell>
        </row>
        <row r="708">
          <cell r="A708" t="str">
            <v>09 WELLINGTON</v>
          </cell>
          <cell r="B708">
            <v>11</v>
          </cell>
          <cell r="C708">
            <v>2043</v>
          </cell>
          <cell r="D708">
            <v>22</v>
          </cell>
          <cell r="E708">
            <v>115</v>
          </cell>
          <cell r="F708">
            <v>6.1043932312999996</v>
          </cell>
          <cell r="G708">
            <v>129.52517130999999</v>
          </cell>
          <cell r="H708">
            <v>2.4895480445999998</v>
          </cell>
          <cell r="I708" t="str">
            <v>Non-Household Travel</v>
          </cell>
          <cell r="J708" t="str">
            <v>2042/43</v>
          </cell>
        </row>
        <row r="709">
          <cell r="A709" t="str">
            <v>10 NELS-MARLB-TAS</v>
          </cell>
          <cell r="B709">
            <v>0</v>
          </cell>
          <cell r="C709">
            <v>2013</v>
          </cell>
          <cell r="D709">
            <v>333</v>
          </cell>
          <cell r="E709">
            <v>1184</v>
          </cell>
          <cell r="F709">
            <v>34.609993433</v>
          </cell>
          <cell r="G709">
            <v>28.582749250999999</v>
          </cell>
          <cell r="H709">
            <v>7.2640217022</v>
          </cell>
          <cell r="I709" t="str">
            <v>Pedestrian</v>
          </cell>
          <cell r="J709" t="str">
            <v>2012/13</v>
          </cell>
        </row>
        <row r="710">
          <cell r="A710" t="str">
            <v>10 NELS-MARLB-TAS</v>
          </cell>
          <cell r="B710">
            <v>0</v>
          </cell>
          <cell r="C710">
            <v>2018</v>
          </cell>
          <cell r="D710">
            <v>333</v>
          </cell>
          <cell r="E710">
            <v>1184</v>
          </cell>
          <cell r="F710">
            <v>35.739429977</v>
          </cell>
          <cell r="G710">
            <v>29.487039233000001</v>
          </cell>
          <cell r="H710">
            <v>7.4869509170999997</v>
          </cell>
          <cell r="I710" t="str">
            <v>Pedestrian</v>
          </cell>
          <cell r="J710" t="str">
            <v>2017/18</v>
          </cell>
        </row>
        <row r="711">
          <cell r="A711" t="str">
            <v>10 NELS-MARLB-TAS</v>
          </cell>
          <cell r="B711">
            <v>0</v>
          </cell>
          <cell r="C711">
            <v>2023</v>
          </cell>
          <cell r="D711">
            <v>333</v>
          </cell>
          <cell r="E711">
            <v>1184</v>
          </cell>
          <cell r="F711">
            <v>36.836215271999997</v>
          </cell>
          <cell r="G711">
            <v>30.493250413999998</v>
          </cell>
          <cell r="H711">
            <v>7.7382291097999998</v>
          </cell>
          <cell r="I711" t="str">
            <v>Pedestrian</v>
          </cell>
          <cell r="J711" t="str">
            <v>2022/23</v>
          </cell>
        </row>
        <row r="712">
          <cell r="A712" t="str">
            <v>10 NELS-MARLB-TAS</v>
          </cell>
          <cell r="B712">
            <v>0</v>
          </cell>
          <cell r="C712">
            <v>2028</v>
          </cell>
          <cell r="D712">
            <v>333</v>
          </cell>
          <cell r="E712">
            <v>1184</v>
          </cell>
          <cell r="F712">
            <v>37.991627766000001</v>
          </cell>
          <cell r="G712">
            <v>31.764734746999999</v>
          </cell>
          <cell r="H712">
            <v>8.0388537298999996</v>
          </cell>
          <cell r="I712" t="str">
            <v>Pedestrian</v>
          </cell>
          <cell r="J712" t="str">
            <v>2027/28</v>
          </cell>
        </row>
        <row r="713">
          <cell r="A713" t="str">
            <v>10 NELS-MARLB-TAS</v>
          </cell>
          <cell r="B713">
            <v>0</v>
          </cell>
          <cell r="C713">
            <v>2033</v>
          </cell>
          <cell r="D713">
            <v>333</v>
          </cell>
          <cell r="E713">
            <v>1184</v>
          </cell>
          <cell r="F713">
            <v>38.390554428999998</v>
          </cell>
          <cell r="G713">
            <v>32.467291529000001</v>
          </cell>
          <cell r="H713">
            <v>8.1712114590000002</v>
          </cell>
          <cell r="I713" t="str">
            <v>Pedestrian</v>
          </cell>
          <cell r="J713" t="str">
            <v>2032/33</v>
          </cell>
        </row>
        <row r="714">
          <cell r="A714" t="str">
            <v>10 NELS-MARLB-TAS</v>
          </cell>
          <cell r="B714">
            <v>0</v>
          </cell>
          <cell r="C714">
            <v>2038</v>
          </cell>
          <cell r="D714">
            <v>333</v>
          </cell>
          <cell r="E714">
            <v>1184</v>
          </cell>
          <cell r="F714">
            <v>38.361479203000002</v>
          </cell>
          <cell r="G714">
            <v>32.538125057999999</v>
          </cell>
          <cell r="H714">
            <v>8.1488084288000007</v>
          </cell>
          <cell r="I714" t="str">
            <v>Pedestrian</v>
          </cell>
          <cell r="J714" t="str">
            <v>2037/38</v>
          </cell>
        </row>
        <row r="715">
          <cell r="A715" t="str">
            <v>10 NELS-MARLB-TAS</v>
          </cell>
          <cell r="B715">
            <v>0</v>
          </cell>
          <cell r="C715">
            <v>2043</v>
          </cell>
          <cell r="D715">
            <v>333</v>
          </cell>
          <cell r="E715">
            <v>1184</v>
          </cell>
          <cell r="F715">
            <v>38.169145102000002</v>
          </cell>
          <cell r="G715">
            <v>32.44515225</v>
          </cell>
          <cell r="H715">
            <v>8.0772329497000008</v>
          </cell>
          <cell r="I715" t="str">
            <v>Pedestrian</v>
          </cell>
          <cell r="J715" t="str">
            <v>2042/43</v>
          </cell>
        </row>
        <row r="716">
          <cell r="A716" t="str">
            <v>10 NELS-MARLB-TAS</v>
          </cell>
          <cell r="B716">
            <v>1</v>
          </cell>
          <cell r="C716">
            <v>2013</v>
          </cell>
          <cell r="D716">
            <v>42</v>
          </cell>
          <cell r="E716">
            <v>121</v>
          </cell>
          <cell r="F716">
            <v>2.9519642961999999</v>
          </cell>
          <cell r="G716">
            <v>10.809874027999999</v>
          </cell>
          <cell r="H716">
            <v>1.0417220854</v>
          </cell>
          <cell r="I716" t="str">
            <v>Cyclist</v>
          </cell>
          <cell r="J716" t="str">
            <v>2012/13</v>
          </cell>
        </row>
        <row r="717">
          <cell r="A717" t="str">
            <v>10 NELS-MARLB-TAS</v>
          </cell>
          <cell r="B717">
            <v>1</v>
          </cell>
          <cell r="C717">
            <v>2018</v>
          </cell>
          <cell r="D717">
            <v>42</v>
          </cell>
          <cell r="E717">
            <v>121</v>
          </cell>
          <cell r="F717">
            <v>2.9272629232999998</v>
          </cell>
          <cell r="G717">
            <v>11.025910378000001</v>
          </cell>
          <cell r="H717">
            <v>1.0512672296000001</v>
          </cell>
          <cell r="I717" t="str">
            <v>Cyclist</v>
          </cell>
          <cell r="J717" t="str">
            <v>2017/18</v>
          </cell>
        </row>
        <row r="718">
          <cell r="A718" t="str">
            <v>10 NELS-MARLB-TAS</v>
          </cell>
          <cell r="B718">
            <v>1</v>
          </cell>
          <cell r="C718">
            <v>2023</v>
          </cell>
          <cell r="D718">
            <v>42</v>
          </cell>
          <cell r="E718">
            <v>121</v>
          </cell>
          <cell r="F718">
            <v>2.9601852376000002</v>
          </cell>
          <cell r="G718">
            <v>11.263563236</v>
          </cell>
          <cell r="H718">
            <v>1.0825931442000001</v>
          </cell>
          <cell r="I718" t="str">
            <v>Cyclist</v>
          </cell>
          <cell r="J718" t="str">
            <v>2022/23</v>
          </cell>
        </row>
        <row r="719">
          <cell r="A719" t="str">
            <v>10 NELS-MARLB-TAS</v>
          </cell>
          <cell r="B719">
            <v>1</v>
          </cell>
          <cell r="C719">
            <v>2028</v>
          </cell>
          <cell r="D719">
            <v>42</v>
          </cell>
          <cell r="E719">
            <v>121</v>
          </cell>
          <cell r="F719">
            <v>3.0514857581000001</v>
          </cell>
          <cell r="G719">
            <v>11.436236825</v>
          </cell>
          <cell r="H719">
            <v>1.1176479324999999</v>
          </cell>
          <cell r="I719" t="str">
            <v>Cyclist</v>
          </cell>
          <cell r="J719" t="str">
            <v>2027/28</v>
          </cell>
        </row>
        <row r="720">
          <cell r="A720" t="str">
            <v>10 NELS-MARLB-TAS</v>
          </cell>
          <cell r="B720">
            <v>1</v>
          </cell>
          <cell r="C720">
            <v>2033</v>
          </cell>
          <cell r="D720">
            <v>42</v>
          </cell>
          <cell r="E720">
            <v>121</v>
          </cell>
          <cell r="F720">
            <v>3.1478205416999998</v>
          </cell>
          <cell r="G720">
            <v>11.750432175</v>
          </cell>
          <cell r="H720">
            <v>1.1480287511</v>
          </cell>
          <cell r="I720" t="str">
            <v>Cyclist</v>
          </cell>
          <cell r="J720" t="str">
            <v>2032/33</v>
          </cell>
        </row>
        <row r="721">
          <cell r="A721" t="str">
            <v>10 NELS-MARLB-TAS</v>
          </cell>
          <cell r="B721">
            <v>1</v>
          </cell>
          <cell r="C721">
            <v>2038</v>
          </cell>
          <cell r="D721">
            <v>42</v>
          </cell>
          <cell r="E721">
            <v>121</v>
          </cell>
          <cell r="F721">
            <v>3.2322538525</v>
          </cell>
          <cell r="G721">
            <v>12.267119198</v>
          </cell>
          <cell r="H721">
            <v>1.1823073119</v>
          </cell>
          <cell r="I721" t="str">
            <v>Cyclist</v>
          </cell>
          <cell r="J721" t="str">
            <v>2037/38</v>
          </cell>
        </row>
        <row r="722">
          <cell r="A722" t="str">
            <v>10 NELS-MARLB-TAS</v>
          </cell>
          <cell r="B722">
            <v>1</v>
          </cell>
          <cell r="C722">
            <v>2043</v>
          </cell>
          <cell r="D722">
            <v>42</v>
          </cell>
          <cell r="E722">
            <v>121</v>
          </cell>
          <cell r="F722">
            <v>3.3078283426000001</v>
          </cell>
          <cell r="G722">
            <v>12.799462023</v>
          </cell>
          <cell r="H722">
            <v>1.2148336276</v>
          </cell>
          <cell r="I722" t="str">
            <v>Cyclist</v>
          </cell>
          <cell r="J722" t="str">
            <v>2042/43</v>
          </cell>
        </row>
        <row r="723">
          <cell r="A723" t="str">
            <v>10 NELS-MARLB-TAS</v>
          </cell>
          <cell r="B723">
            <v>2</v>
          </cell>
          <cell r="C723">
            <v>2013</v>
          </cell>
          <cell r="D723">
            <v>480</v>
          </cell>
          <cell r="E723">
            <v>3377</v>
          </cell>
          <cell r="F723">
            <v>98.206986838999995</v>
          </cell>
          <cell r="G723">
            <v>1012.1329009999999</v>
          </cell>
          <cell r="H723">
            <v>23.635435057999999</v>
          </cell>
          <cell r="I723" t="str">
            <v>Light Vehicle Driver</v>
          </cell>
          <cell r="J723" t="str">
            <v>2012/13</v>
          </cell>
        </row>
        <row r="724">
          <cell r="A724" t="str">
            <v>10 NELS-MARLB-TAS</v>
          </cell>
          <cell r="B724">
            <v>2</v>
          </cell>
          <cell r="C724">
            <v>2018</v>
          </cell>
          <cell r="D724">
            <v>480</v>
          </cell>
          <cell r="E724">
            <v>3377</v>
          </cell>
          <cell r="F724">
            <v>101.90443017</v>
          </cell>
          <cell r="G724">
            <v>1039.4358823</v>
          </cell>
          <cell r="H724">
            <v>24.440879338999999</v>
          </cell>
          <cell r="I724" t="str">
            <v>Light Vehicle Driver</v>
          </cell>
          <cell r="J724" t="str">
            <v>2017/18</v>
          </cell>
        </row>
        <row r="725">
          <cell r="A725" t="str">
            <v>10 NELS-MARLB-TAS</v>
          </cell>
          <cell r="B725">
            <v>2</v>
          </cell>
          <cell r="C725">
            <v>2023</v>
          </cell>
          <cell r="D725">
            <v>480</v>
          </cell>
          <cell r="E725">
            <v>3377</v>
          </cell>
          <cell r="F725">
            <v>104.04353268</v>
          </cell>
          <cell r="G725">
            <v>1047.1023041999999</v>
          </cell>
          <cell r="H725">
            <v>24.816542319</v>
          </cell>
          <cell r="I725" t="str">
            <v>Light Vehicle Driver</v>
          </cell>
          <cell r="J725" t="str">
            <v>2022/23</v>
          </cell>
        </row>
        <row r="726">
          <cell r="A726" t="str">
            <v>10 NELS-MARLB-TAS</v>
          </cell>
          <cell r="B726">
            <v>2</v>
          </cell>
          <cell r="C726">
            <v>2028</v>
          </cell>
          <cell r="D726">
            <v>480</v>
          </cell>
          <cell r="E726">
            <v>3377</v>
          </cell>
          <cell r="F726">
            <v>105.11237644000001</v>
          </cell>
          <cell r="G726">
            <v>1038.5408978999999</v>
          </cell>
          <cell r="H726">
            <v>24.826557576999999</v>
          </cell>
          <cell r="I726" t="str">
            <v>Light Vehicle Driver</v>
          </cell>
          <cell r="J726" t="str">
            <v>2027/28</v>
          </cell>
        </row>
        <row r="727">
          <cell r="A727" t="str">
            <v>10 NELS-MARLB-TAS</v>
          </cell>
          <cell r="B727">
            <v>2</v>
          </cell>
          <cell r="C727">
            <v>2033</v>
          </cell>
          <cell r="D727">
            <v>480</v>
          </cell>
          <cell r="E727">
            <v>3377</v>
          </cell>
          <cell r="F727">
            <v>106.04870525</v>
          </cell>
          <cell r="G727">
            <v>1029.0749077999999</v>
          </cell>
          <cell r="H727">
            <v>24.775649181999999</v>
          </cell>
          <cell r="I727" t="str">
            <v>Light Vehicle Driver</v>
          </cell>
          <cell r="J727" t="str">
            <v>2032/33</v>
          </cell>
        </row>
        <row r="728">
          <cell r="A728" t="str">
            <v>10 NELS-MARLB-TAS</v>
          </cell>
          <cell r="B728">
            <v>2</v>
          </cell>
          <cell r="C728">
            <v>2038</v>
          </cell>
          <cell r="D728">
            <v>480</v>
          </cell>
          <cell r="E728">
            <v>3377</v>
          </cell>
          <cell r="F728">
            <v>106.01700341999999</v>
          </cell>
          <cell r="G728">
            <v>1012.2548518</v>
          </cell>
          <cell r="H728">
            <v>24.540691998</v>
          </cell>
          <cell r="I728" t="str">
            <v>Light Vehicle Driver</v>
          </cell>
          <cell r="J728" t="str">
            <v>2037/38</v>
          </cell>
        </row>
        <row r="729">
          <cell r="A729" t="str">
            <v>10 NELS-MARLB-TAS</v>
          </cell>
          <cell r="B729">
            <v>2</v>
          </cell>
          <cell r="C729">
            <v>2043</v>
          </cell>
          <cell r="D729">
            <v>480</v>
          </cell>
          <cell r="E729">
            <v>3377</v>
          </cell>
          <cell r="F729">
            <v>105.69000303</v>
          </cell>
          <cell r="G729">
            <v>993.79964559999996</v>
          </cell>
          <cell r="H729">
            <v>24.24987733</v>
          </cell>
          <cell r="I729" t="str">
            <v>Light Vehicle Driver</v>
          </cell>
          <cell r="J729" t="str">
            <v>2042/43</v>
          </cell>
        </row>
        <row r="730">
          <cell r="A730" t="str">
            <v>10 NELS-MARLB-TAS</v>
          </cell>
          <cell r="B730">
            <v>3</v>
          </cell>
          <cell r="C730">
            <v>2013</v>
          </cell>
          <cell r="D730">
            <v>346</v>
          </cell>
          <cell r="E730">
            <v>1569</v>
          </cell>
          <cell r="F730">
            <v>45.895773310999999</v>
          </cell>
          <cell r="G730">
            <v>528.66856442999995</v>
          </cell>
          <cell r="H730">
            <v>11.910351560000001</v>
          </cell>
          <cell r="I730" t="str">
            <v>Light Vehicle Passenger</v>
          </cell>
          <cell r="J730" t="str">
            <v>2012/13</v>
          </cell>
        </row>
        <row r="731">
          <cell r="A731" t="str">
            <v>10 NELS-MARLB-TAS</v>
          </cell>
          <cell r="B731">
            <v>3</v>
          </cell>
          <cell r="C731">
            <v>2018</v>
          </cell>
          <cell r="D731">
            <v>346</v>
          </cell>
          <cell r="E731">
            <v>1569</v>
          </cell>
          <cell r="F731">
            <v>45.364700202999998</v>
          </cell>
          <cell r="G731">
            <v>523.16512147000003</v>
          </cell>
          <cell r="H731">
            <v>11.856549141</v>
          </cell>
          <cell r="I731" t="str">
            <v>Light Vehicle Passenger</v>
          </cell>
          <cell r="J731" t="str">
            <v>2017/18</v>
          </cell>
        </row>
        <row r="732">
          <cell r="A732" t="str">
            <v>10 NELS-MARLB-TAS</v>
          </cell>
          <cell r="B732">
            <v>3</v>
          </cell>
          <cell r="C732">
            <v>2023</v>
          </cell>
          <cell r="D732">
            <v>346</v>
          </cell>
          <cell r="E732">
            <v>1569</v>
          </cell>
          <cell r="F732">
            <v>44.728948893000002</v>
          </cell>
          <cell r="G732">
            <v>514.45301027999994</v>
          </cell>
          <cell r="H732">
            <v>11.753762188</v>
          </cell>
          <cell r="I732" t="str">
            <v>Light Vehicle Passenger</v>
          </cell>
          <cell r="J732" t="str">
            <v>2022/23</v>
          </cell>
        </row>
        <row r="733">
          <cell r="A733" t="str">
            <v>10 NELS-MARLB-TAS</v>
          </cell>
          <cell r="B733">
            <v>3</v>
          </cell>
          <cell r="C733">
            <v>2028</v>
          </cell>
          <cell r="D733">
            <v>346</v>
          </cell>
          <cell r="E733">
            <v>1569</v>
          </cell>
          <cell r="F733">
            <v>44.073514424999999</v>
          </cell>
          <cell r="G733">
            <v>507.56907154999999</v>
          </cell>
          <cell r="H733">
            <v>11.651296749</v>
          </cell>
          <cell r="I733" t="str">
            <v>Light Vehicle Passenger</v>
          </cell>
          <cell r="J733" t="str">
            <v>2027/28</v>
          </cell>
        </row>
        <row r="734">
          <cell r="A734" t="str">
            <v>10 NELS-MARLB-TAS</v>
          </cell>
          <cell r="B734">
            <v>3</v>
          </cell>
          <cell r="C734">
            <v>2033</v>
          </cell>
          <cell r="D734">
            <v>346</v>
          </cell>
          <cell r="E734">
            <v>1569</v>
          </cell>
          <cell r="F734">
            <v>42.974961794999999</v>
          </cell>
          <cell r="G734">
            <v>496.85654599999998</v>
          </cell>
          <cell r="H734">
            <v>11.406632253</v>
          </cell>
          <cell r="I734" t="str">
            <v>Light Vehicle Passenger</v>
          </cell>
          <cell r="J734" t="str">
            <v>2032/33</v>
          </cell>
        </row>
        <row r="735">
          <cell r="A735" t="str">
            <v>10 NELS-MARLB-TAS</v>
          </cell>
          <cell r="B735">
            <v>3</v>
          </cell>
          <cell r="C735">
            <v>2038</v>
          </cell>
          <cell r="D735">
            <v>346</v>
          </cell>
          <cell r="E735">
            <v>1569</v>
          </cell>
          <cell r="F735">
            <v>41.782343599999997</v>
          </cell>
          <cell r="G735">
            <v>479.67705539999997</v>
          </cell>
          <cell r="H735">
            <v>11.055537635</v>
          </cell>
          <cell r="I735" t="str">
            <v>Light Vehicle Passenger</v>
          </cell>
          <cell r="J735" t="str">
            <v>2037/38</v>
          </cell>
        </row>
        <row r="736">
          <cell r="A736" t="str">
            <v>10 NELS-MARLB-TAS</v>
          </cell>
          <cell r="B736">
            <v>3</v>
          </cell>
          <cell r="C736">
            <v>2043</v>
          </cell>
          <cell r="D736">
            <v>346</v>
          </cell>
          <cell r="E736">
            <v>1569</v>
          </cell>
          <cell r="F736">
            <v>40.470879342000003</v>
          </cell>
          <cell r="G736">
            <v>461.58232865999997</v>
          </cell>
          <cell r="H736">
            <v>10.676194917</v>
          </cell>
          <cell r="I736" t="str">
            <v>Light Vehicle Passenger</v>
          </cell>
          <cell r="J736" t="str">
            <v>2042/43</v>
          </cell>
        </row>
        <row r="737">
          <cell r="A737" t="str">
            <v>10 NELS-MARLB-TAS</v>
          </cell>
          <cell r="B737">
            <v>4</v>
          </cell>
          <cell r="C737">
            <v>2013</v>
          </cell>
          <cell r="D737">
            <v>9</v>
          </cell>
          <cell r="E737">
            <v>16</v>
          </cell>
          <cell r="F737">
            <v>0.40359339709999997</v>
          </cell>
          <cell r="G737">
            <v>2.5483198348</v>
          </cell>
          <cell r="H737">
            <v>8.1526233300000001E-2</v>
          </cell>
          <cell r="J737" t="str">
            <v>2012/13</v>
          </cell>
        </row>
        <row r="738">
          <cell r="A738" t="str">
            <v>10 NELS-MARLB-TAS</v>
          </cell>
          <cell r="B738">
            <v>4</v>
          </cell>
          <cell r="C738">
            <v>2018</v>
          </cell>
          <cell r="D738">
            <v>9</v>
          </cell>
          <cell r="E738">
            <v>16</v>
          </cell>
          <cell r="F738">
            <v>0.48413812909999998</v>
          </cell>
          <cell r="G738">
            <v>2.9184411004999999</v>
          </cell>
          <cell r="H738">
            <v>9.5882577699999999E-2</v>
          </cell>
          <cell r="J738" t="str">
            <v>2017/18</v>
          </cell>
        </row>
        <row r="739">
          <cell r="A739" t="str">
            <v>10 NELS-MARLB-TAS</v>
          </cell>
          <cell r="B739">
            <v>4</v>
          </cell>
          <cell r="C739">
            <v>2023</v>
          </cell>
          <cell r="D739">
            <v>9</v>
          </cell>
          <cell r="E739">
            <v>16</v>
          </cell>
          <cell r="F739">
            <v>0.56193139650000001</v>
          </cell>
          <cell r="G739">
            <v>3.1743211404</v>
          </cell>
          <cell r="H739">
            <v>0.10908681119999999</v>
          </cell>
          <cell r="J739" t="str">
            <v>2022/23</v>
          </cell>
        </row>
        <row r="740">
          <cell r="A740" t="str">
            <v>10 NELS-MARLB-TAS</v>
          </cell>
          <cell r="B740">
            <v>4</v>
          </cell>
          <cell r="C740">
            <v>2028</v>
          </cell>
          <cell r="D740">
            <v>9</v>
          </cell>
          <cell r="E740">
            <v>16</v>
          </cell>
          <cell r="F740">
            <v>0.62154304019999995</v>
          </cell>
          <cell r="G740">
            <v>3.2982721249</v>
          </cell>
          <cell r="H740">
            <v>0.1187521423</v>
          </cell>
          <cell r="J740" t="str">
            <v>2027/28</v>
          </cell>
        </row>
        <row r="741">
          <cell r="A741" t="str">
            <v>10 NELS-MARLB-TAS</v>
          </cell>
          <cell r="B741">
            <v>4</v>
          </cell>
          <cell r="C741">
            <v>2033</v>
          </cell>
          <cell r="D741">
            <v>9</v>
          </cell>
          <cell r="E741">
            <v>16</v>
          </cell>
          <cell r="F741">
            <v>0.66566231409999999</v>
          </cell>
          <cell r="G741">
            <v>3.4050587388000002</v>
          </cell>
          <cell r="H741">
            <v>0.12622076400000001</v>
          </cell>
          <cell r="J741" t="str">
            <v>2032/33</v>
          </cell>
        </row>
        <row r="742">
          <cell r="A742" t="str">
            <v>10 NELS-MARLB-TAS</v>
          </cell>
          <cell r="B742">
            <v>4</v>
          </cell>
          <cell r="C742">
            <v>2038</v>
          </cell>
          <cell r="D742">
            <v>9</v>
          </cell>
          <cell r="E742">
            <v>16</v>
          </cell>
          <cell r="F742">
            <v>0.68826710440000005</v>
          </cell>
          <cell r="G742">
            <v>3.4104089606999999</v>
          </cell>
          <cell r="H742">
            <v>0.12939914750000001</v>
          </cell>
          <cell r="J742" t="str">
            <v>2037/38</v>
          </cell>
        </row>
        <row r="743">
          <cell r="A743" t="str">
            <v>10 NELS-MARLB-TAS</v>
          </cell>
          <cell r="B743">
            <v>4</v>
          </cell>
          <cell r="C743">
            <v>2043</v>
          </cell>
          <cell r="D743">
            <v>9</v>
          </cell>
          <cell r="E743">
            <v>16</v>
          </cell>
          <cell r="F743">
            <v>0.70838963079999995</v>
          </cell>
          <cell r="G743">
            <v>3.4105036838</v>
          </cell>
          <cell r="H743">
            <v>0.13215056080000001</v>
          </cell>
          <cell r="J743" t="str">
            <v>2042/43</v>
          </cell>
        </row>
        <row r="744">
          <cell r="A744" t="str">
            <v>10 NELS-MARLB-TAS</v>
          </cell>
          <cell r="B744">
            <v>5</v>
          </cell>
          <cell r="C744">
            <v>2013</v>
          </cell>
          <cell r="D744">
            <v>14</v>
          </cell>
          <cell r="E744">
            <v>52</v>
          </cell>
          <cell r="F744">
            <v>1.5095151791999999</v>
          </cell>
          <cell r="G744">
            <v>34.127286998000002</v>
          </cell>
          <cell r="H744">
            <v>0.60769230029999999</v>
          </cell>
          <cell r="I744" t="str">
            <v>Motorcyclist</v>
          </cell>
          <cell r="J744" t="str">
            <v>2012/13</v>
          </cell>
        </row>
        <row r="745">
          <cell r="A745" t="str">
            <v>10 NELS-MARLB-TAS</v>
          </cell>
          <cell r="B745">
            <v>5</v>
          </cell>
          <cell r="C745">
            <v>2018</v>
          </cell>
          <cell r="D745">
            <v>14</v>
          </cell>
          <cell r="E745">
            <v>52</v>
          </cell>
          <cell r="F745">
            <v>1.5494975394999999</v>
          </cell>
          <cell r="G745">
            <v>35.040064723</v>
          </cell>
          <cell r="H745">
            <v>0.61994083300000002</v>
          </cell>
          <cell r="I745" t="str">
            <v>Motorcyclist</v>
          </cell>
          <cell r="J745" t="str">
            <v>2017/18</v>
          </cell>
        </row>
        <row r="746">
          <cell r="A746" t="str">
            <v>10 NELS-MARLB-TAS</v>
          </cell>
          <cell r="B746">
            <v>5</v>
          </cell>
          <cell r="C746">
            <v>2023</v>
          </cell>
          <cell r="D746">
            <v>14</v>
          </cell>
          <cell r="E746">
            <v>52</v>
          </cell>
          <cell r="F746">
            <v>1.5930694798</v>
          </cell>
          <cell r="G746">
            <v>35.756166774</v>
          </cell>
          <cell r="H746">
            <v>0.63011481609999997</v>
          </cell>
          <cell r="I746" t="str">
            <v>Motorcyclist</v>
          </cell>
          <cell r="J746" t="str">
            <v>2022/23</v>
          </cell>
        </row>
        <row r="747">
          <cell r="A747" t="str">
            <v>10 NELS-MARLB-TAS</v>
          </cell>
          <cell r="B747">
            <v>5</v>
          </cell>
          <cell r="C747">
            <v>2028</v>
          </cell>
          <cell r="D747">
            <v>14</v>
          </cell>
          <cell r="E747">
            <v>52</v>
          </cell>
          <cell r="F747">
            <v>1.6212081843999999</v>
          </cell>
          <cell r="G747">
            <v>35.632496912000001</v>
          </cell>
          <cell r="H747">
            <v>0.62676260179999999</v>
          </cell>
          <cell r="I747" t="str">
            <v>Motorcyclist</v>
          </cell>
          <cell r="J747" t="str">
            <v>2027/28</v>
          </cell>
        </row>
        <row r="748">
          <cell r="A748" t="str">
            <v>10 NELS-MARLB-TAS</v>
          </cell>
          <cell r="B748">
            <v>5</v>
          </cell>
          <cell r="C748">
            <v>2033</v>
          </cell>
          <cell r="D748">
            <v>14</v>
          </cell>
          <cell r="E748">
            <v>52</v>
          </cell>
          <cell r="F748">
            <v>1.6284029529999999</v>
          </cell>
          <cell r="G748">
            <v>36.012328945999997</v>
          </cell>
          <cell r="H748">
            <v>0.63102937160000006</v>
          </cell>
          <cell r="I748" t="str">
            <v>Motorcyclist</v>
          </cell>
          <cell r="J748" t="str">
            <v>2032/33</v>
          </cell>
        </row>
        <row r="749">
          <cell r="A749" t="str">
            <v>10 NELS-MARLB-TAS</v>
          </cell>
          <cell r="B749">
            <v>5</v>
          </cell>
          <cell r="C749">
            <v>2038</v>
          </cell>
          <cell r="D749">
            <v>14</v>
          </cell>
          <cell r="E749">
            <v>52</v>
          </cell>
          <cell r="F749">
            <v>1.5971082313</v>
          </cell>
          <cell r="G749">
            <v>36.205974521999998</v>
          </cell>
          <cell r="H749">
            <v>0.63190398530000003</v>
          </cell>
          <cell r="I749" t="str">
            <v>Motorcyclist</v>
          </cell>
          <cell r="J749" t="str">
            <v>2037/38</v>
          </cell>
        </row>
        <row r="750">
          <cell r="A750" t="str">
            <v>10 NELS-MARLB-TAS</v>
          </cell>
          <cell r="B750">
            <v>5</v>
          </cell>
          <cell r="C750">
            <v>2043</v>
          </cell>
          <cell r="D750">
            <v>14</v>
          </cell>
          <cell r="E750">
            <v>52</v>
          </cell>
          <cell r="F750">
            <v>1.5620769088999999</v>
          </cell>
          <cell r="G750">
            <v>36.242441687000003</v>
          </cell>
          <cell r="H750">
            <v>0.63024294530000002</v>
          </cell>
          <cell r="I750" t="str">
            <v>Motorcyclist</v>
          </cell>
          <cell r="J750" t="str">
            <v>2042/43</v>
          </cell>
        </row>
        <row r="751">
          <cell r="A751" t="str">
            <v>10 NELS-MARLB-TAS</v>
          </cell>
          <cell r="B751">
            <v>6</v>
          </cell>
          <cell r="C751">
            <v>2013</v>
          </cell>
          <cell r="D751">
            <v>1</v>
          </cell>
          <cell r="E751">
            <v>4</v>
          </cell>
          <cell r="F751">
            <v>0.1284956481</v>
          </cell>
          <cell r="G751">
            <v>5.3733082988999996</v>
          </cell>
          <cell r="H751">
            <v>9.9048728700000005E-2</v>
          </cell>
          <cell r="I751" t="str">
            <v>Local Train</v>
          </cell>
          <cell r="J751" t="str">
            <v>2012/13</v>
          </cell>
        </row>
        <row r="752">
          <cell r="A752" t="str">
            <v>10 NELS-MARLB-TAS</v>
          </cell>
          <cell r="B752">
            <v>6</v>
          </cell>
          <cell r="C752">
            <v>2018</v>
          </cell>
          <cell r="D752">
            <v>1</v>
          </cell>
          <cell r="E752">
            <v>4</v>
          </cell>
          <cell r="F752">
            <v>0.1149261832</v>
          </cell>
          <cell r="G752">
            <v>4.8058733740999999</v>
          </cell>
          <cell r="H752">
            <v>8.85889329E-2</v>
          </cell>
          <cell r="I752" t="str">
            <v>Local Train</v>
          </cell>
          <cell r="J752" t="str">
            <v>2017/18</v>
          </cell>
        </row>
        <row r="753">
          <cell r="A753" t="str">
            <v>10 NELS-MARLB-TAS</v>
          </cell>
          <cell r="B753">
            <v>6</v>
          </cell>
          <cell r="C753">
            <v>2023</v>
          </cell>
          <cell r="D753">
            <v>1</v>
          </cell>
          <cell r="E753">
            <v>4</v>
          </cell>
          <cell r="F753">
            <v>9.6525807899999996E-2</v>
          </cell>
          <cell r="G753">
            <v>4.0364240529000002</v>
          </cell>
          <cell r="H753">
            <v>7.4405310299999999E-2</v>
          </cell>
          <cell r="I753" t="str">
            <v>Local Train</v>
          </cell>
          <cell r="J753" t="str">
            <v>2022/23</v>
          </cell>
        </row>
        <row r="754">
          <cell r="A754" t="str">
            <v>10 NELS-MARLB-TAS</v>
          </cell>
          <cell r="B754">
            <v>6</v>
          </cell>
          <cell r="C754">
            <v>2028</v>
          </cell>
          <cell r="D754">
            <v>1</v>
          </cell>
          <cell r="E754">
            <v>4</v>
          </cell>
          <cell r="F754">
            <v>8.1570599999999993E-2</v>
          </cell>
          <cell r="G754">
            <v>3.4110414519000001</v>
          </cell>
          <cell r="H754">
            <v>6.2877337500000005E-2</v>
          </cell>
          <cell r="I754" t="str">
            <v>Local Train</v>
          </cell>
          <cell r="J754" t="str">
            <v>2027/28</v>
          </cell>
        </row>
        <row r="755">
          <cell r="A755" t="str">
            <v>10 NELS-MARLB-TAS</v>
          </cell>
          <cell r="B755">
            <v>6</v>
          </cell>
          <cell r="C755">
            <v>2033</v>
          </cell>
          <cell r="D755">
            <v>1</v>
          </cell>
          <cell r="E755">
            <v>4</v>
          </cell>
          <cell r="F755">
            <v>7.5910885600000005E-2</v>
          </cell>
          <cell r="G755">
            <v>3.1743689171999998</v>
          </cell>
          <cell r="H755">
            <v>5.8514640899999998E-2</v>
          </cell>
          <cell r="I755" t="str">
            <v>Local Train</v>
          </cell>
          <cell r="J755" t="str">
            <v>2032/33</v>
          </cell>
        </row>
        <row r="756">
          <cell r="A756" t="str">
            <v>10 NELS-MARLB-TAS</v>
          </cell>
          <cell r="B756">
            <v>6</v>
          </cell>
          <cell r="C756">
            <v>2038</v>
          </cell>
          <cell r="D756">
            <v>1</v>
          </cell>
          <cell r="E756">
            <v>4</v>
          </cell>
          <cell r="F756">
            <v>7.7899959599999999E-2</v>
          </cell>
          <cell r="G756">
            <v>3.2575461151999998</v>
          </cell>
          <cell r="H756">
            <v>6.0047885500000002E-2</v>
          </cell>
          <cell r="I756" t="str">
            <v>Local Train</v>
          </cell>
          <cell r="J756" t="str">
            <v>2037/38</v>
          </cell>
        </row>
        <row r="757">
          <cell r="A757" t="str">
            <v>10 NELS-MARLB-TAS</v>
          </cell>
          <cell r="B757">
            <v>6</v>
          </cell>
          <cell r="C757">
            <v>2043</v>
          </cell>
          <cell r="D757">
            <v>1</v>
          </cell>
          <cell r="E757">
            <v>4</v>
          </cell>
          <cell r="F757">
            <v>7.6936588599999994E-2</v>
          </cell>
          <cell r="G757">
            <v>3.2172607883</v>
          </cell>
          <cell r="H757">
            <v>5.93052871E-2</v>
          </cell>
          <cell r="I757" t="str">
            <v>Local Train</v>
          </cell>
          <cell r="J757" t="str">
            <v>2042/43</v>
          </cell>
        </row>
        <row r="758">
          <cell r="A758" t="str">
            <v>10 NELS-MARLB-TAS</v>
          </cell>
          <cell r="B758">
            <v>7</v>
          </cell>
          <cell r="C758">
            <v>2013</v>
          </cell>
          <cell r="D758">
            <v>38</v>
          </cell>
          <cell r="E758">
            <v>79</v>
          </cell>
          <cell r="F758">
            <v>2.0764681202999999</v>
          </cell>
          <cell r="G758">
            <v>19.807462209000001</v>
          </cell>
          <cell r="H758">
            <v>0.94491203199999996</v>
          </cell>
          <cell r="I758" t="str">
            <v>Local Bus</v>
          </cell>
          <cell r="J758" t="str">
            <v>2012/13</v>
          </cell>
        </row>
        <row r="759">
          <cell r="A759" t="str">
            <v>10 NELS-MARLB-TAS</v>
          </cell>
          <cell r="B759">
            <v>7</v>
          </cell>
          <cell r="C759">
            <v>2018</v>
          </cell>
          <cell r="D759">
            <v>38</v>
          </cell>
          <cell r="E759">
            <v>79</v>
          </cell>
          <cell r="F759">
            <v>1.9663352094</v>
          </cell>
          <cell r="G759">
            <v>18.134141539000002</v>
          </cell>
          <cell r="H759">
            <v>0.86609546530000003</v>
          </cell>
          <cell r="I759" t="str">
            <v>Local Bus</v>
          </cell>
          <cell r="J759" t="str">
            <v>2017/18</v>
          </cell>
        </row>
        <row r="760">
          <cell r="A760" t="str">
            <v>10 NELS-MARLB-TAS</v>
          </cell>
          <cell r="B760">
            <v>7</v>
          </cell>
          <cell r="C760">
            <v>2023</v>
          </cell>
          <cell r="D760">
            <v>38</v>
          </cell>
          <cell r="E760">
            <v>79</v>
          </cell>
          <cell r="F760">
            <v>1.8994059554</v>
          </cell>
          <cell r="G760">
            <v>16.935144326</v>
          </cell>
          <cell r="H760">
            <v>0.81117791429999997</v>
          </cell>
          <cell r="I760" t="str">
            <v>Local Bus</v>
          </cell>
          <cell r="J760" t="str">
            <v>2022/23</v>
          </cell>
        </row>
        <row r="761">
          <cell r="A761" t="str">
            <v>10 NELS-MARLB-TAS</v>
          </cell>
          <cell r="B761">
            <v>7</v>
          </cell>
          <cell r="C761">
            <v>2028</v>
          </cell>
          <cell r="D761">
            <v>38</v>
          </cell>
          <cell r="E761">
            <v>79</v>
          </cell>
          <cell r="F761">
            <v>1.8898351215</v>
          </cell>
          <cell r="G761">
            <v>16.341535078</v>
          </cell>
          <cell r="H761">
            <v>0.78636050769999999</v>
          </cell>
          <cell r="I761" t="str">
            <v>Local Bus</v>
          </cell>
          <cell r="J761" t="str">
            <v>2027/28</v>
          </cell>
        </row>
        <row r="762">
          <cell r="A762" t="str">
            <v>10 NELS-MARLB-TAS</v>
          </cell>
          <cell r="B762">
            <v>7</v>
          </cell>
          <cell r="C762">
            <v>2033</v>
          </cell>
          <cell r="D762">
            <v>38</v>
          </cell>
          <cell r="E762">
            <v>79</v>
          </cell>
          <cell r="F762">
            <v>1.778771439</v>
          </cell>
          <cell r="G762">
            <v>15.110227087</v>
          </cell>
          <cell r="H762">
            <v>0.73109088349999996</v>
          </cell>
          <cell r="I762" t="str">
            <v>Local Bus</v>
          </cell>
          <cell r="J762" t="str">
            <v>2032/33</v>
          </cell>
        </row>
        <row r="763">
          <cell r="A763" t="str">
            <v>10 NELS-MARLB-TAS</v>
          </cell>
          <cell r="B763">
            <v>7</v>
          </cell>
          <cell r="C763">
            <v>2038</v>
          </cell>
          <cell r="D763">
            <v>38</v>
          </cell>
          <cell r="E763">
            <v>79</v>
          </cell>
          <cell r="F763">
            <v>1.7761901705000001</v>
          </cell>
          <cell r="G763">
            <v>14.719039219000001</v>
          </cell>
          <cell r="H763">
            <v>0.71267597029999996</v>
          </cell>
          <cell r="I763" t="str">
            <v>Local Bus</v>
          </cell>
          <cell r="J763" t="str">
            <v>2037/38</v>
          </cell>
        </row>
        <row r="764">
          <cell r="A764" t="str">
            <v>10 NELS-MARLB-TAS</v>
          </cell>
          <cell r="B764">
            <v>7</v>
          </cell>
          <cell r="C764">
            <v>2043</v>
          </cell>
          <cell r="D764">
            <v>38</v>
          </cell>
          <cell r="E764">
            <v>79</v>
          </cell>
          <cell r="F764">
            <v>1.7664474362</v>
          </cell>
          <cell r="G764">
            <v>14.309672047999999</v>
          </cell>
          <cell r="H764">
            <v>0.69308254120000001</v>
          </cell>
          <cell r="I764" t="str">
            <v>Local Bus</v>
          </cell>
          <cell r="J764" t="str">
            <v>2042/43</v>
          </cell>
        </row>
        <row r="765">
          <cell r="A765" t="str">
            <v>10 NELS-MARLB-TAS</v>
          </cell>
          <cell r="B765">
            <v>9</v>
          </cell>
          <cell r="C765">
            <v>2013</v>
          </cell>
          <cell r="D765">
            <v>24</v>
          </cell>
          <cell r="E765">
            <v>56</v>
          </cell>
          <cell r="F765">
            <v>1.495105957</v>
          </cell>
          <cell r="G765">
            <v>0</v>
          </cell>
          <cell r="H765">
            <v>0.51346004550000002</v>
          </cell>
          <cell r="I765" t="str">
            <v>Other Household Travel</v>
          </cell>
          <cell r="J765" t="str">
            <v>2012/13</v>
          </cell>
        </row>
        <row r="766">
          <cell r="A766" t="str">
            <v>10 NELS-MARLB-TAS</v>
          </cell>
          <cell r="B766">
            <v>9</v>
          </cell>
          <cell r="C766">
            <v>2018</v>
          </cell>
          <cell r="D766">
            <v>24</v>
          </cell>
          <cell r="E766">
            <v>56</v>
          </cell>
          <cell r="F766">
            <v>1.4979112155000001</v>
          </cell>
          <cell r="G766">
            <v>0</v>
          </cell>
          <cell r="H766">
            <v>0.51017048190000003</v>
          </cell>
          <cell r="I766" t="str">
            <v>Other Household Travel</v>
          </cell>
          <cell r="J766" t="str">
            <v>2017/18</v>
          </cell>
        </row>
        <row r="767">
          <cell r="A767" t="str">
            <v>10 NELS-MARLB-TAS</v>
          </cell>
          <cell r="B767">
            <v>9</v>
          </cell>
          <cell r="C767">
            <v>2023</v>
          </cell>
          <cell r="D767">
            <v>24</v>
          </cell>
          <cell r="E767">
            <v>56</v>
          </cell>
          <cell r="F767">
            <v>1.5048342263000001</v>
          </cell>
          <cell r="G767">
            <v>0</v>
          </cell>
          <cell r="H767">
            <v>0.51148348899999996</v>
          </cell>
          <cell r="I767" t="str">
            <v>Other Household Travel</v>
          </cell>
          <cell r="J767" t="str">
            <v>2022/23</v>
          </cell>
        </row>
        <row r="768">
          <cell r="A768" t="str">
            <v>10 NELS-MARLB-TAS</v>
          </cell>
          <cell r="B768">
            <v>9</v>
          </cell>
          <cell r="C768">
            <v>2028</v>
          </cell>
          <cell r="D768">
            <v>24</v>
          </cell>
          <cell r="E768">
            <v>56</v>
          </cell>
          <cell r="F768">
            <v>1.5270437851000001</v>
          </cell>
          <cell r="G768">
            <v>0</v>
          </cell>
          <cell r="H768">
            <v>0.51551951409999996</v>
          </cell>
          <cell r="I768" t="str">
            <v>Other Household Travel</v>
          </cell>
          <cell r="J768" t="str">
            <v>2027/28</v>
          </cell>
        </row>
        <row r="769">
          <cell r="A769" t="str">
            <v>10 NELS-MARLB-TAS</v>
          </cell>
          <cell r="B769">
            <v>9</v>
          </cell>
          <cell r="C769">
            <v>2033</v>
          </cell>
          <cell r="D769">
            <v>24</v>
          </cell>
          <cell r="E769">
            <v>56</v>
          </cell>
          <cell r="F769">
            <v>1.5375857278</v>
          </cell>
          <cell r="G769">
            <v>0</v>
          </cell>
          <cell r="H769">
            <v>0.51118786189999998</v>
          </cell>
          <cell r="I769" t="str">
            <v>Other Household Travel</v>
          </cell>
          <cell r="J769" t="str">
            <v>2032/33</v>
          </cell>
        </row>
        <row r="770">
          <cell r="A770" t="str">
            <v>10 NELS-MARLB-TAS</v>
          </cell>
          <cell r="B770">
            <v>9</v>
          </cell>
          <cell r="C770">
            <v>2038</v>
          </cell>
          <cell r="D770">
            <v>24</v>
          </cell>
          <cell r="E770">
            <v>56</v>
          </cell>
          <cell r="F770">
            <v>1.5789573075000001</v>
          </cell>
          <cell r="G770">
            <v>0</v>
          </cell>
          <cell r="H770">
            <v>0.52048441249999999</v>
          </cell>
          <cell r="I770" t="str">
            <v>Other Household Travel</v>
          </cell>
          <cell r="J770" t="str">
            <v>2037/38</v>
          </cell>
        </row>
        <row r="771">
          <cell r="A771" t="str">
            <v>10 NELS-MARLB-TAS</v>
          </cell>
          <cell r="B771">
            <v>9</v>
          </cell>
          <cell r="C771">
            <v>2043</v>
          </cell>
          <cell r="D771">
            <v>24</v>
          </cell>
          <cell r="E771">
            <v>56</v>
          </cell>
          <cell r="F771">
            <v>1.6029930688</v>
          </cell>
          <cell r="G771">
            <v>0</v>
          </cell>
          <cell r="H771">
            <v>0.52499527930000001</v>
          </cell>
          <cell r="I771" t="str">
            <v>Other Household Travel</v>
          </cell>
          <cell r="J771" t="str">
            <v>2042/43</v>
          </cell>
        </row>
        <row r="772">
          <cell r="A772" t="str">
            <v>10 NELS-MARLB-TAS</v>
          </cell>
          <cell r="B772">
            <v>10</v>
          </cell>
          <cell r="C772">
            <v>2013</v>
          </cell>
          <cell r="D772">
            <v>11</v>
          </cell>
          <cell r="E772">
            <v>13</v>
          </cell>
          <cell r="F772">
            <v>0.38277994659999998</v>
          </cell>
          <cell r="G772">
            <v>0</v>
          </cell>
          <cell r="H772">
            <v>0.45211944030000001</v>
          </cell>
          <cell r="I772" t="str">
            <v>Air/Non-Local PT</v>
          </cell>
          <cell r="J772" t="str">
            <v>2012/13</v>
          </cell>
        </row>
        <row r="773">
          <cell r="A773" t="str">
            <v>10 NELS-MARLB-TAS</v>
          </cell>
          <cell r="B773">
            <v>10</v>
          </cell>
          <cell r="C773">
            <v>2018</v>
          </cell>
          <cell r="D773">
            <v>11</v>
          </cell>
          <cell r="E773">
            <v>13</v>
          </cell>
          <cell r="F773">
            <v>0.40264213589999998</v>
          </cell>
          <cell r="G773">
            <v>0</v>
          </cell>
          <cell r="H773">
            <v>0.46613795159999999</v>
          </cell>
          <cell r="I773" t="str">
            <v>Air/Non-Local PT</v>
          </cell>
          <cell r="J773" t="str">
            <v>2017/18</v>
          </cell>
        </row>
        <row r="774">
          <cell r="A774" t="str">
            <v>10 NELS-MARLB-TAS</v>
          </cell>
          <cell r="B774">
            <v>10</v>
          </cell>
          <cell r="C774">
            <v>2023</v>
          </cell>
          <cell r="D774">
            <v>11</v>
          </cell>
          <cell r="E774">
            <v>13</v>
          </cell>
          <cell r="F774">
            <v>0.41210854740000002</v>
          </cell>
          <cell r="G774">
            <v>0</v>
          </cell>
          <cell r="H774">
            <v>0.47248051590000001</v>
          </cell>
          <cell r="I774" t="str">
            <v>Air/Non-Local PT</v>
          </cell>
          <cell r="J774" t="str">
            <v>2022/23</v>
          </cell>
        </row>
        <row r="775">
          <cell r="A775" t="str">
            <v>10 NELS-MARLB-TAS</v>
          </cell>
          <cell r="B775">
            <v>10</v>
          </cell>
          <cell r="C775">
            <v>2028</v>
          </cell>
          <cell r="D775">
            <v>11</v>
          </cell>
          <cell r="E775">
            <v>13</v>
          </cell>
          <cell r="F775">
            <v>0.41403560560000002</v>
          </cell>
          <cell r="G775">
            <v>0</v>
          </cell>
          <cell r="H775">
            <v>0.46701935849999998</v>
          </cell>
          <cell r="I775" t="str">
            <v>Air/Non-Local PT</v>
          </cell>
          <cell r="J775" t="str">
            <v>2027/28</v>
          </cell>
        </row>
        <row r="776">
          <cell r="A776" t="str">
            <v>10 NELS-MARLB-TAS</v>
          </cell>
          <cell r="B776">
            <v>10</v>
          </cell>
          <cell r="C776">
            <v>2033</v>
          </cell>
          <cell r="D776">
            <v>11</v>
          </cell>
          <cell r="E776">
            <v>13</v>
          </cell>
          <cell r="F776">
            <v>0.41451133080000002</v>
          </cell>
          <cell r="G776">
            <v>0</v>
          </cell>
          <cell r="H776">
            <v>0.44462086649999999</v>
          </cell>
          <cell r="I776" t="str">
            <v>Air/Non-Local PT</v>
          </cell>
          <cell r="J776" t="str">
            <v>2032/33</v>
          </cell>
        </row>
        <row r="777">
          <cell r="A777" t="str">
            <v>10 NELS-MARLB-TAS</v>
          </cell>
          <cell r="B777">
            <v>10</v>
          </cell>
          <cell r="C777">
            <v>2038</v>
          </cell>
          <cell r="D777">
            <v>11</v>
          </cell>
          <cell r="E777">
            <v>13</v>
          </cell>
          <cell r="F777">
            <v>0.40777855019999998</v>
          </cell>
          <cell r="G777">
            <v>0</v>
          </cell>
          <cell r="H777">
            <v>0.40691504119999999</v>
          </cell>
          <cell r="I777" t="str">
            <v>Air/Non-Local PT</v>
          </cell>
          <cell r="J777" t="str">
            <v>2037/38</v>
          </cell>
        </row>
        <row r="778">
          <cell r="A778" t="str">
            <v>10 NELS-MARLB-TAS</v>
          </cell>
          <cell r="B778">
            <v>10</v>
          </cell>
          <cell r="C778">
            <v>2043</v>
          </cell>
          <cell r="D778">
            <v>11</v>
          </cell>
          <cell r="E778">
            <v>13</v>
          </cell>
          <cell r="F778">
            <v>0.39925086980000002</v>
          </cell>
          <cell r="G778">
            <v>0</v>
          </cell>
          <cell r="H778">
            <v>0.37088294579999997</v>
          </cell>
          <cell r="I778" t="str">
            <v>Air/Non-Local PT</v>
          </cell>
          <cell r="J778" t="str">
            <v>2042/43</v>
          </cell>
        </row>
        <row r="779">
          <cell r="A779" t="str">
            <v>10 NELS-MARLB-TAS</v>
          </cell>
          <cell r="B779">
            <v>11</v>
          </cell>
          <cell r="C779">
            <v>2013</v>
          </cell>
          <cell r="D779">
            <v>10</v>
          </cell>
          <cell r="E779">
            <v>59</v>
          </cell>
          <cell r="F779">
            <v>1.9294573958000001</v>
          </cell>
          <cell r="G779">
            <v>30.128221894999999</v>
          </cell>
          <cell r="H779">
            <v>0.79809006319999998</v>
          </cell>
          <cell r="I779" t="str">
            <v>Non-Household Travel</v>
          </cell>
          <cell r="J779" t="str">
            <v>2012/13</v>
          </cell>
        </row>
        <row r="780">
          <cell r="A780" t="str">
            <v>10 NELS-MARLB-TAS</v>
          </cell>
          <cell r="B780">
            <v>11</v>
          </cell>
          <cell r="C780">
            <v>2018</v>
          </cell>
          <cell r="D780">
            <v>10</v>
          </cell>
          <cell r="E780">
            <v>59</v>
          </cell>
          <cell r="F780">
            <v>1.7953095885999999</v>
          </cell>
          <cell r="G780">
            <v>30.770294766999999</v>
          </cell>
          <cell r="H780">
            <v>0.80546878879999995</v>
          </cell>
          <cell r="I780" t="str">
            <v>Non-Household Travel</v>
          </cell>
          <cell r="J780" t="str">
            <v>2017/18</v>
          </cell>
        </row>
        <row r="781">
          <cell r="A781" t="str">
            <v>10 NELS-MARLB-TAS</v>
          </cell>
          <cell r="B781">
            <v>11</v>
          </cell>
          <cell r="C781">
            <v>2023</v>
          </cell>
          <cell r="D781">
            <v>10</v>
          </cell>
          <cell r="E781">
            <v>59</v>
          </cell>
          <cell r="F781">
            <v>1.6252712969000001</v>
          </cell>
          <cell r="G781">
            <v>30.20281211</v>
          </cell>
          <cell r="H781">
            <v>0.77744629170000001</v>
          </cell>
          <cell r="I781" t="str">
            <v>Non-Household Travel</v>
          </cell>
          <cell r="J781" t="str">
            <v>2022/23</v>
          </cell>
        </row>
        <row r="782">
          <cell r="A782" t="str">
            <v>10 NELS-MARLB-TAS</v>
          </cell>
          <cell r="B782">
            <v>11</v>
          </cell>
          <cell r="C782">
            <v>2028</v>
          </cell>
          <cell r="D782">
            <v>10</v>
          </cell>
          <cell r="E782">
            <v>59</v>
          </cell>
          <cell r="F782">
            <v>1.482947835</v>
          </cell>
          <cell r="G782">
            <v>28.286901778000001</v>
          </cell>
          <cell r="H782">
            <v>0.72078453720000002</v>
          </cell>
          <cell r="I782" t="str">
            <v>Non-Household Travel</v>
          </cell>
          <cell r="J782" t="str">
            <v>2027/28</v>
          </cell>
        </row>
        <row r="783">
          <cell r="A783" t="str">
            <v>10 NELS-MARLB-TAS</v>
          </cell>
          <cell r="B783">
            <v>11</v>
          </cell>
          <cell r="C783">
            <v>2033</v>
          </cell>
          <cell r="D783">
            <v>10</v>
          </cell>
          <cell r="E783">
            <v>59</v>
          </cell>
          <cell r="F783">
            <v>1.4175786797000001</v>
          </cell>
          <cell r="G783">
            <v>25.857582742999998</v>
          </cell>
          <cell r="H783">
            <v>0.66220305010000002</v>
          </cell>
          <cell r="I783" t="str">
            <v>Non-Household Travel</v>
          </cell>
          <cell r="J783" t="str">
            <v>2032/33</v>
          </cell>
        </row>
        <row r="784">
          <cell r="A784" t="str">
            <v>10 NELS-MARLB-TAS</v>
          </cell>
          <cell r="B784">
            <v>11</v>
          </cell>
          <cell r="C784">
            <v>2038</v>
          </cell>
          <cell r="D784">
            <v>10</v>
          </cell>
          <cell r="E784">
            <v>59</v>
          </cell>
          <cell r="F784">
            <v>1.4374661921</v>
          </cell>
          <cell r="G784">
            <v>23.396999486999999</v>
          </cell>
          <cell r="H784">
            <v>0.61119138610000001</v>
          </cell>
          <cell r="I784" t="str">
            <v>Non-Household Travel</v>
          </cell>
          <cell r="J784" t="str">
            <v>2037/38</v>
          </cell>
        </row>
        <row r="785">
          <cell r="A785" t="str">
            <v>10 NELS-MARLB-TAS</v>
          </cell>
          <cell r="B785">
            <v>11</v>
          </cell>
          <cell r="C785">
            <v>2043</v>
          </cell>
          <cell r="D785">
            <v>10</v>
          </cell>
          <cell r="E785">
            <v>59</v>
          </cell>
          <cell r="F785">
            <v>1.4370015287</v>
          </cell>
          <cell r="G785">
            <v>21.010484274</v>
          </cell>
          <cell r="H785">
            <v>0.5593524406</v>
          </cell>
          <cell r="I785" t="str">
            <v>Non-Household Travel</v>
          </cell>
          <cell r="J785" t="str">
            <v>2042/43</v>
          </cell>
        </row>
        <row r="786">
          <cell r="A786" t="str">
            <v>12 WEST COAST</v>
          </cell>
          <cell r="B786">
            <v>0</v>
          </cell>
          <cell r="C786">
            <v>2013</v>
          </cell>
          <cell r="D786">
            <v>145</v>
          </cell>
          <cell r="E786">
            <v>451</v>
          </cell>
          <cell r="F786">
            <v>5.2699511529</v>
          </cell>
          <cell r="G786">
            <v>4.6474841125999999</v>
          </cell>
          <cell r="H786">
            <v>1.1518220776999999</v>
          </cell>
          <cell r="I786" t="str">
            <v>Pedestrian</v>
          </cell>
          <cell r="J786" t="str">
            <v>2012/13</v>
          </cell>
        </row>
        <row r="787">
          <cell r="A787" t="str">
            <v>12 WEST COAST</v>
          </cell>
          <cell r="B787">
            <v>0</v>
          </cell>
          <cell r="C787">
            <v>2018</v>
          </cell>
          <cell r="D787">
            <v>145</v>
          </cell>
          <cell r="E787">
            <v>451</v>
          </cell>
          <cell r="F787">
            <v>4.9393026970999996</v>
          </cell>
          <cell r="G787">
            <v>4.4414568081999999</v>
          </cell>
          <cell r="H787">
            <v>1.1138050035</v>
          </cell>
          <cell r="I787" t="str">
            <v>Pedestrian</v>
          </cell>
          <cell r="J787" t="str">
            <v>2017/18</v>
          </cell>
        </row>
        <row r="788">
          <cell r="A788" t="str">
            <v>12 WEST COAST</v>
          </cell>
          <cell r="B788">
            <v>0</v>
          </cell>
          <cell r="C788">
            <v>2023</v>
          </cell>
          <cell r="D788">
            <v>145</v>
          </cell>
          <cell r="E788">
            <v>451</v>
          </cell>
          <cell r="F788">
            <v>4.5050644939</v>
          </cell>
          <cell r="G788">
            <v>4.084577393</v>
          </cell>
          <cell r="H788">
            <v>1.0389175137</v>
          </cell>
          <cell r="I788" t="str">
            <v>Pedestrian</v>
          </cell>
          <cell r="J788" t="str">
            <v>2022/23</v>
          </cell>
        </row>
        <row r="789">
          <cell r="A789" t="str">
            <v>12 WEST COAST</v>
          </cell>
          <cell r="B789">
            <v>0</v>
          </cell>
          <cell r="C789">
            <v>2028</v>
          </cell>
          <cell r="D789">
            <v>145</v>
          </cell>
          <cell r="E789">
            <v>451</v>
          </cell>
          <cell r="F789">
            <v>4.2988840582999996</v>
          </cell>
          <cell r="G789">
            <v>3.9346455683000001</v>
          </cell>
          <cell r="H789">
            <v>1.0053988699</v>
          </cell>
          <cell r="I789" t="str">
            <v>Pedestrian</v>
          </cell>
          <cell r="J789" t="str">
            <v>2027/28</v>
          </cell>
        </row>
        <row r="790">
          <cell r="A790" t="str">
            <v>12 WEST COAST</v>
          </cell>
          <cell r="B790">
            <v>0</v>
          </cell>
          <cell r="C790">
            <v>2033</v>
          </cell>
          <cell r="D790">
            <v>145</v>
          </cell>
          <cell r="E790">
            <v>451</v>
          </cell>
          <cell r="F790">
            <v>4.0522791148000001</v>
          </cell>
          <cell r="G790">
            <v>3.7422715271999998</v>
          </cell>
          <cell r="H790">
            <v>0.95786105239999997</v>
          </cell>
          <cell r="I790" t="str">
            <v>Pedestrian</v>
          </cell>
          <cell r="J790" t="str">
            <v>2032/33</v>
          </cell>
        </row>
        <row r="791">
          <cell r="A791" t="str">
            <v>12 WEST COAST</v>
          </cell>
          <cell r="B791">
            <v>0</v>
          </cell>
          <cell r="C791">
            <v>2038</v>
          </cell>
          <cell r="D791">
            <v>145</v>
          </cell>
          <cell r="E791">
            <v>451</v>
          </cell>
          <cell r="F791">
            <v>3.791696704</v>
          </cell>
          <cell r="G791">
            <v>3.543936236</v>
          </cell>
          <cell r="H791">
            <v>0.90786938179999999</v>
          </cell>
          <cell r="I791" t="str">
            <v>Pedestrian</v>
          </cell>
          <cell r="J791" t="str">
            <v>2037/38</v>
          </cell>
        </row>
        <row r="792">
          <cell r="A792" t="str">
            <v>12 WEST COAST</v>
          </cell>
          <cell r="B792">
            <v>0</v>
          </cell>
          <cell r="C792">
            <v>2043</v>
          </cell>
          <cell r="D792">
            <v>145</v>
          </cell>
          <cell r="E792">
            <v>451</v>
          </cell>
          <cell r="F792">
            <v>3.5522238145</v>
          </cell>
          <cell r="G792">
            <v>3.3654930918999999</v>
          </cell>
          <cell r="H792">
            <v>0.8617852895</v>
          </cell>
          <cell r="I792" t="str">
            <v>Pedestrian</v>
          </cell>
          <cell r="J792" t="str">
            <v>2042/43</v>
          </cell>
        </row>
        <row r="793">
          <cell r="A793" t="str">
            <v>12 WEST COAST</v>
          </cell>
          <cell r="B793">
            <v>1</v>
          </cell>
          <cell r="C793">
            <v>2013</v>
          </cell>
          <cell r="D793">
            <v>23</v>
          </cell>
          <cell r="E793">
            <v>75</v>
          </cell>
          <cell r="F793">
            <v>0.73381292249999996</v>
          </cell>
          <cell r="G793">
            <v>1.9571055828999999</v>
          </cell>
          <cell r="H793">
            <v>0.17528853950000001</v>
          </cell>
          <cell r="I793" t="str">
            <v>Cyclist</v>
          </cell>
          <cell r="J793" t="str">
            <v>2012/13</v>
          </cell>
        </row>
        <row r="794">
          <cell r="A794" t="str">
            <v>12 WEST COAST</v>
          </cell>
          <cell r="B794">
            <v>1</v>
          </cell>
          <cell r="C794">
            <v>2018</v>
          </cell>
          <cell r="D794">
            <v>23</v>
          </cell>
          <cell r="E794">
            <v>75</v>
          </cell>
          <cell r="F794">
            <v>0.71255864130000002</v>
          </cell>
          <cell r="G794">
            <v>1.9829750068000001</v>
          </cell>
          <cell r="H794">
            <v>0.1710125626</v>
          </cell>
          <cell r="I794" t="str">
            <v>Cyclist</v>
          </cell>
          <cell r="J794" t="str">
            <v>2017/18</v>
          </cell>
        </row>
        <row r="795">
          <cell r="A795" t="str">
            <v>12 WEST COAST</v>
          </cell>
          <cell r="B795">
            <v>1</v>
          </cell>
          <cell r="C795">
            <v>2023</v>
          </cell>
          <cell r="D795">
            <v>23</v>
          </cell>
          <cell r="E795">
            <v>75</v>
          </cell>
          <cell r="F795">
            <v>0.67154599199999998</v>
          </cell>
          <cell r="G795">
            <v>1.9435373278000001</v>
          </cell>
          <cell r="H795">
            <v>0.1624746916</v>
          </cell>
          <cell r="I795" t="str">
            <v>Cyclist</v>
          </cell>
          <cell r="J795" t="str">
            <v>2022/23</v>
          </cell>
        </row>
        <row r="796">
          <cell r="A796" t="str">
            <v>12 WEST COAST</v>
          </cell>
          <cell r="B796">
            <v>1</v>
          </cell>
          <cell r="C796">
            <v>2028</v>
          </cell>
          <cell r="D796">
            <v>23</v>
          </cell>
          <cell r="E796">
            <v>75</v>
          </cell>
          <cell r="F796">
            <v>0.64979389399999998</v>
          </cell>
          <cell r="G796">
            <v>1.846950251</v>
          </cell>
          <cell r="H796">
            <v>0.15472230249999999</v>
          </cell>
          <cell r="I796" t="str">
            <v>Cyclist</v>
          </cell>
          <cell r="J796" t="str">
            <v>2027/28</v>
          </cell>
        </row>
        <row r="797">
          <cell r="A797" t="str">
            <v>12 WEST COAST</v>
          </cell>
          <cell r="B797">
            <v>1</v>
          </cell>
          <cell r="C797">
            <v>2033</v>
          </cell>
          <cell r="D797">
            <v>23</v>
          </cell>
          <cell r="E797">
            <v>75</v>
          </cell>
          <cell r="F797">
            <v>0.60379421219999996</v>
          </cell>
          <cell r="G797">
            <v>1.7599470812</v>
          </cell>
          <cell r="H797">
            <v>0.14470744560000001</v>
          </cell>
          <cell r="I797" t="str">
            <v>Cyclist</v>
          </cell>
          <cell r="J797" t="str">
            <v>2032/33</v>
          </cell>
        </row>
        <row r="798">
          <cell r="A798" t="str">
            <v>12 WEST COAST</v>
          </cell>
          <cell r="B798">
            <v>1</v>
          </cell>
          <cell r="C798">
            <v>2038</v>
          </cell>
          <cell r="D798">
            <v>23</v>
          </cell>
          <cell r="E798">
            <v>75</v>
          </cell>
          <cell r="F798">
            <v>0.56604590180000003</v>
          </cell>
          <cell r="G798">
            <v>1.7803038049</v>
          </cell>
          <cell r="H798">
            <v>0.138821046</v>
          </cell>
          <cell r="I798" t="str">
            <v>Cyclist</v>
          </cell>
          <cell r="J798" t="str">
            <v>2037/38</v>
          </cell>
        </row>
        <row r="799">
          <cell r="A799" t="str">
            <v>12 WEST COAST</v>
          </cell>
          <cell r="B799">
            <v>1</v>
          </cell>
          <cell r="C799">
            <v>2043</v>
          </cell>
          <cell r="D799">
            <v>23</v>
          </cell>
          <cell r="E799">
            <v>75</v>
          </cell>
          <cell r="F799">
            <v>0.52664727950000001</v>
          </cell>
          <cell r="G799">
            <v>1.7850135654999999</v>
          </cell>
          <cell r="H799">
            <v>0.13235067110000001</v>
          </cell>
          <cell r="I799" t="str">
            <v>Cyclist</v>
          </cell>
          <cell r="J799" t="str">
            <v>2042/43</v>
          </cell>
        </row>
        <row r="800">
          <cell r="A800" t="str">
            <v>12 WEST COAST</v>
          </cell>
          <cell r="B800">
            <v>2</v>
          </cell>
          <cell r="C800">
            <v>2013</v>
          </cell>
          <cell r="D800">
            <v>269</v>
          </cell>
          <cell r="E800">
            <v>1828</v>
          </cell>
          <cell r="F800">
            <v>21.329902885999999</v>
          </cell>
          <cell r="G800">
            <v>226.22434741999999</v>
          </cell>
          <cell r="H800">
            <v>5.0852916584000001</v>
          </cell>
          <cell r="I800" t="str">
            <v>Light Vehicle Driver</v>
          </cell>
          <cell r="J800" t="str">
            <v>2012/13</v>
          </cell>
        </row>
        <row r="801">
          <cell r="A801" t="str">
            <v>12 WEST COAST</v>
          </cell>
          <cell r="B801">
            <v>2</v>
          </cell>
          <cell r="C801">
            <v>2018</v>
          </cell>
          <cell r="D801">
            <v>269</v>
          </cell>
          <cell r="E801">
            <v>1828</v>
          </cell>
          <cell r="F801">
            <v>21.173677544</v>
          </cell>
          <cell r="G801">
            <v>229.12692038</v>
          </cell>
          <cell r="H801">
            <v>5.1135673342999999</v>
          </cell>
          <cell r="I801" t="str">
            <v>Light Vehicle Driver</v>
          </cell>
          <cell r="J801" t="str">
            <v>2017/18</v>
          </cell>
        </row>
        <row r="802">
          <cell r="A802" t="str">
            <v>12 WEST COAST</v>
          </cell>
          <cell r="B802">
            <v>2</v>
          </cell>
          <cell r="C802">
            <v>2023</v>
          </cell>
          <cell r="D802">
            <v>269</v>
          </cell>
          <cell r="E802">
            <v>1828</v>
          </cell>
          <cell r="F802">
            <v>20.184921593999999</v>
          </cell>
          <cell r="G802">
            <v>223.16558164</v>
          </cell>
          <cell r="H802">
            <v>4.9364098557</v>
          </cell>
          <cell r="I802" t="str">
            <v>Light Vehicle Driver</v>
          </cell>
          <cell r="J802" t="str">
            <v>2022/23</v>
          </cell>
        </row>
        <row r="803">
          <cell r="A803" t="str">
            <v>12 WEST COAST</v>
          </cell>
          <cell r="B803">
            <v>2</v>
          </cell>
          <cell r="C803">
            <v>2028</v>
          </cell>
          <cell r="D803">
            <v>269</v>
          </cell>
          <cell r="E803">
            <v>1828</v>
          </cell>
          <cell r="F803">
            <v>19.524990466999999</v>
          </cell>
          <cell r="G803">
            <v>218.50345934000001</v>
          </cell>
          <cell r="H803">
            <v>4.8105852725</v>
          </cell>
          <cell r="I803" t="str">
            <v>Light Vehicle Driver</v>
          </cell>
          <cell r="J803" t="str">
            <v>2027/28</v>
          </cell>
        </row>
        <row r="804">
          <cell r="A804" t="str">
            <v>12 WEST COAST</v>
          </cell>
          <cell r="B804">
            <v>2</v>
          </cell>
          <cell r="C804">
            <v>2033</v>
          </cell>
          <cell r="D804">
            <v>269</v>
          </cell>
          <cell r="E804">
            <v>1828</v>
          </cell>
          <cell r="F804">
            <v>18.561013673000001</v>
          </cell>
          <cell r="G804">
            <v>209.72816198999999</v>
          </cell>
          <cell r="H804">
            <v>4.5971553331999999</v>
          </cell>
          <cell r="I804" t="str">
            <v>Light Vehicle Driver</v>
          </cell>
          <cell r="J804" t="str">
            <v>2032/33</v>
          </cell>
        </row>
        <row r="805">
          <cell r="A805" t="str">
            <v>12 WEST COAST</v>
          </cell>
          <cell r="B805">
            <v>2</v>
          </cell>
          <cell r="C805">
            <v>2038</v>
          </cell>
          <cell r="D805">
            <v>269</v>
          </cell>
          <cell r="E805">
            <v>1828</v>
          </cell>
          <cell r="F805">
            <v>17.904437155</v>
          </cell>
          <cell r="G805">
            <v>205.19390440000001</v>
          </cell>
          <cell r="H805">
            <v>4.4695559648999996</v>
          </cell>
          <cell r="I805" t="str">
            <v>Light Vehicle Driver</v>
          </cell>
          <cell r="J805" t="str">
            <v>2037/38</v>
          </cell>
        </row>
        <row r="806">
          <cell r="A806" t="str">
            <v>12 WEST COAST</v>
          </cell>
          <cell r="B806">
            <v>2</v>
          </cell>
          <cell r="C806">
            <v>2043</v>
          </cell>
          <cell r="D806">
            <v>269</v>
          </cell>
          <cell r="E806">
            <v>1828</v>
          </cell>
          <cell r="F806">
            <v>17.229808722000001</v>
          </cell>
          <cell r="G806">
            <v>200.76895583999999</v>
          </cell>
          <cell r="H806">
            <v>4.3403804645999999</v>
          </cell>
          <cell r="I806" t="str">
            <v>Light Vehicle Driver</v>
          </cell>
          <cell r="J806" t="str">
            <v>2042/43</v>
          </cell>
        </row>
        <row r="807">
          <cell r="A807" t="str">
            <v>12 WEST COAST</v>
          </cell>
          <cell r="B807">
            <v>3</v>
          </cell>
          <cell r="C807">
            <v>2013</v>
          </cell>
          <cell r="D807">
            <v>210</v>
          </cell>
          <cell r="E807">
            <v>1017</v>
          </cell>
          <cell r="F807">
            <v>11.090105214999999</v>
          </cell>
          <cell r="G807">
            <v>160.37072223999999</v>
          </cell>
          <cell r="H807">
            <v>3.4140139011000001</v>
          </cell>
          <cell r="I807" t="str">
            <v>Light Vehicle Passenger</v>
          </cell>
          <cell r="J807" t="str">
            <v>2012/13</v>
          </cell>
        </row>
        <row r="808">
          <cell r="A808" t="str">
            <v>12 WEST COAST</v>
          </cell>
          <cell r="B808">
            <v>3</v>
          </cell>
          <cell r="C808">
            <v>2018</v>
          </cell>
          <cell r="D808">
            <v>210</v>
          </cell>
          <cell r="E808">
            <v>1017</v>
          </cell>
          <cell r="F808">
            <v>10.39494741</v>
          </cell>
          <cell r="G808">
            <v>158.73684238999999</v>
          </cell>
          <cell r="H808">
            <v>3.3665539956999999</v>
          </cell>
          <cell r="I808" t="str">
            <v>Light Vehicle Passenger</v>
          </cell>
          <cell r="J808" t="str">
            <v>2017/18</v>
          </cell>
        </row>
        <row r="809">
          <cell r="A809" t="str">
            <v>12 WEST COAST</v>
          </cell>
          <cell r="B809">
            <v>3</v>
          </cell>
          <cell r="C809">
            <v>2023</v>
          </cell>
          <cell r="D809">
            <v>210</v>
          </cell>
          <cell r="E809">
            <v>1017</v>
          </cell>
          <cell r="F809">
            <v>9.5583679216000004</v>
          </cell>
          <cell r="G809">
            <v>150.53198166999999</v>
          </cell>
          <cell r="H809">
            <v>3.1992041257000001</v>
          </cell>
          <cell r="I809" t="str">
            <v>Light Vehicle Passenger</v>
          </cell>
          <cell r="J809" t="str">
            <v>2022/23</v>
          </cell>
        </row>
        <row r="810">
          <cell r="A810" t="str">
            <v>12 WEST COAST</v>
          </cell>
          <cell r="B810">
            <v>3</v>
          </cell>
          <cell r="C810">
            <v>2028</v>
          </cell>
          <cell r="D810">
            <v>210</v>
          </cell>
          <cell r="E810">
            <v>1017</v>
          </cell>
          <cell r="F810">
            <v>9.1890569186000004</v>
          </cell>
          <cell r="G810">
            <v>149.11608672</v>
          </cell>
          <cell r="H810">
            <v>3.1690068988000002</v>
          </cell>
          <cell r="I810" t="str">
            <v>Light Vehicle Passenger</v>
          </cell>
          <cell r="J810" t="str">
            <v>2027/28</v>
          </cell>
        </row>
        <row r="811">
          <cell r="A811" t="str">
            <v>12 WEST COAST</v>
          </cell>
          <cell r="B811">
            <v>3</v>
          </cell>
          <cell r="C811">
            <v>2033</v>
          </cell>
          <cell r="D811">
            <v>210</v>
          </cell>
          <cell r="E811">
            <v>1017</v>
          </cell>
          <cell r="F811">
            <v>8.6176490158999997</v>
          </cell>
          <cell r="G811">
            <v>141.17923217000001</v>
          </cell>
          <cell r="H811">
            <v>3.0220415174999999</v>
          </cell>
          <cell r="I811" t="str">
            <v>Light Vehicle Passenger</v>
          </cell>
          <cell r="J811" t="str">
            <v>2032/33</v>
          </cell>
        </row>
        <row r="812">
          <cell r="A812" t="str">
            <v>12 WEST COAST</v>
          </cell>
          <cell r="B812">
            <v>3</v>
          </cell>
          <cell r="C812">
            <v>2038</v>
          </cell>
          <cell r="D812">
            <v>210</v>
          </cell>
          <cell r="E812">
            <v>1017</v>
          </cell>
          <cell r="F812">
            <v>7.9986833519999996</v>
          </cell>
          <cell r="G812">
            <v>132.9732204</v>
          </cell>
          <cell r="H812">
            <v>2.8455904475999998</v>
          </cell>
          <cell r="I812" t="str">
            <v>Light Vehicle Passenger</v>
          </cell>
          <cell r="J812" t="str">
            <v>2037/38</v>
          </cell>
        </row>
        <row r="813">
          <cell r="A813" t="str">
            <v>12 WEST COAST</v>
          </cell>
          <cell r="B813">
            <v>3</v>
          </cell>
          <cell r="C813">
            <v>2043</v>
          </cell>
          <cell r="D813">
            <v>210</v>
          </cell>
          <cell r="E813">
            <v>1017</v>
          </cell>
          <cell r="F813">
            <v>7.3779661343000003</v>
          </cell>
          <cell r="G813">
            <v>124.55648246</v>
          </cell>
          <cell r="H813">
            <v>2.6608210016</v>
          </cell>
          <cell r="I813" t="str">
            <v>Light Vehicle Passenger</v>
          </cell>
          <cell r="J813" t="str">
            <v>2042/43</v>
          </cell>
        </row>
        <row r="814">
          <cell r="A814" t="str">
            <v>12 WEST COAST</v>
          </cell>
          <cell r="B814">
            <v>4</v>
          </cell>
          <cell r="C814">
            <v>2013</v>
          </cell>
          <cell r="D814">
            <v>12</v>
          </cell>
          <cell r="E814">
            <v>23</v>
          </cell>
          <cell r="F814">
            <v>0.29973375209999997</v>
          </cell>
          <cell r="G814">
            <v>1.6916956777000001</v>
          </cell>
          <cell r="H814">
            <v>6.5507808299999998E-2</v>
          </cell>
          <cell r="J814" t="str">
            <v>2012/13</v>
          </cell>
        </row>
        <row r="815">
          <cell r="A815" t="str">
            <v>12 WEST COAST</v>
          </cell>
          <cell r="B815">
            <v>4</v>
          </cell>
          <cell r="C815">
            <v>2018</v>
          </cell>
          <cell r="D815">
            <v>12</v>
          </cell>
          <cell r="E815">
            <v>23</v>
          </cell>
          <cell r="F815">
            <v>0.35018449550000003</v>
          </cell>
          <cell r="G815">
            <v>1.9366105358000001</v>
          </cell>
          <cell r="H815">
            <v>7.7040997700000002E-2</v>
          </cell>
          <cell r="J815" t="str">
            <v>2017/18</v>
          </cell>
        </row>
        <row r="816">
          <cell r="A816" t="str">
            <v>12 WEST COAST</v>
          </cell>
          <cell r="B816">
            <v>4</v>
          </cell>
          <cell r="C816">
            <v>2023</v>
          </cell>
          <cell r="D816">
            <v>12</v>
          </cell>
          <cell r="E816">
            <v>23</v>
          </cell>
          <cell r="F816">
            <v>0.38063343199999999</v>
          </cell>
          <cell r="G816">
            <v>2.0571599365000002</v>
          </cell>
          <cell r="H816">
            <v>8.4058343699999996E-2</v>
          </cell>
          <cell r="J816" t="str">
            <v>2022/23</v>
          </cell>
        </row>
        <row r="817">
          <cell r="A817" t="str">
            <v>12 WEST COAST</v>
          </cell>
          <cell r="B817">
            <v>4</v>
          </cell>
          <cell r="C817">
            <v>2028</v>
          </cell>
          <cell r="D817">
            <v>12</v>
          </cell>
          <cell r="E817">
            <v>23</v>
          </cell>
          <cell r="F817">
            <v>0.39296628030000003</v>
          </cell>
          <cell r="G817">
            <v>2.2315444195</v>
          </cell>
          <cell r="H817">
            <v>8.7939973800000001E-2</v>
          </cell>
          <cell r="J817" t="str">
            <v>2027/28</v>
          </cell>
        </row>
        <row r="818">
          <cell r="A818" t="str">
            <v>12 WEST COAST</v>
          </cell>
          <cell r="B818">
            <v>4</v>
          </cell>
          <cell r="C818">
            <v>2033</v>
          </cell>
          <cell r="D818">
            <v>12</v>
          </cell>
          <cell r="E818">
            <v>23</v>
          </cell>
          <cell r="F818">
            <v>0.38583403890000001</v>
          </cell>
          <cell r="G818">
            <v>2.1772159063999998</v>
          </cell>
          <cell r="H818">
            <v>8.59956375E-2</v>
          </cell>
          <cell r="J818" t="str">
            <v>2032/33</v>
          </cell>
        </row>
        <row r="819">
          <cell r="A819" t="str">
            <v>12 WEST COAST</v>
          </cell>
          <cell r="B819">
            <v>4</v>
          </cell>
          <cell r="C819">
            <v>2038</v>
          </cell>
          <cell r="D819">
            <v>12</v>
          </cell>
          <cell r="E819">
            <v>23</v>
          </cell>
          <cell r="F819">
            <v>0.38333093200000001</v>
          </cell>
          <cell r="G819">
            <v>2.1756387959999999</v>
          </cell>
          <cell r="H819">
            <v>8.5453895700000004E-2</v>
          </cell>
          <cell r="J819" t="str">
            <v>2037/38</v>
          </cell>
        </row>
        <row r="820">
          <cell r="A820" t="str">
            <v>12 WEST COAST</v>
          </cell>
          <cell r="B820">
            <v>4</v>
          </cell>
          <cell r="C820">
            <v>2043</v>
          </cell>
          <cell r="D820">
            <v>12</v>
          </cell>
          <cell r="E820">
            <v>23</v>
          </cell>
          <cell r="F820">
            <v>0.37606985059999998</v>
          </cell>
          <cell r="G820">
            <v>2.1338476257000001</v>
          </cell>
          <cell r="H820">
            <v>8.3834992799999994E-2</v>
          </cell>
          <cell r="J820" t="str">
            <v>2042/43</v>
          </cell>
        </row>
        <row r="821">
          <cell r="A821" t="str">
            <v>12 WEST COAST</v>
          </cell>
          <cell r="B821">
            <v>5</v>
          </cell>
          <cell r="C821">
            <v>2013</v>
          </cell>
          <cell r="D821">
            <v>2</v>
          </cell>
          <cell r="E821">
            <v>5</v>
          </cell>
          <cell r="F821">
            <v>6.1723256599999998E-2</v>
          </cell>
          <cell r="G821">
            <v>0.29466348679999999</v>
          </cell>
          <cell r="H821">
            <v>9.7989774000000005E-3</v>
          </cell>
          <cell r="I821" t="str">
            <v>Motorcyclist</v>
          </cell>
          <cell r="J821" t="str">
            <v>2012/13</v>
          </cell>
        </row>
        <row r="822">
          <cell r="A822" t="str">
            <v>12 WEST COAST</v>
          </cell>
          <cell r="B822">
            <v>5</v>
          </cell>
          <cell r="C822">
            <v>2018</v>
          </cell>
          <cell r="D822">
            <v>2</v>
          </cell>
          <cell r="E822">
            <v>5</v>
          </cell>
          <cell r="F822">
            <v>7.0212227599999996E-2</v>
          </cell>
          <cell r="G822">
            <v>0.33762341019999997</v>
          </cell>
          <cell r="H822">
            <v>1.1208358E-2</v>
          </cell>
          <cell r="I822" t="str">
            <v>Motorcyclist</v>
          </cell>
          <cell r="J822" t="str">
            <v>2017/18</v>
          </cell>
        </row>
        <row r="823">
          <cell r="A823" t="str">
            <v>12 WEST COAST</v>
          </cell>
          <cell r="B823">
            <v>5</v>
          </cell>
          <cell r="C823">
            <v>2023</v>
          </cell>
          <cell r="D823">
            <v>2</v>
          </cell>
          <cell r="E823">
            <v>5</v>
          </cell>
          <cell r="F823">
            <v>7.5101134200000003E-2</v>
          </cell>
          <cell r="G823">
            <v>0.3399369169</v>
          </cell>
          <cell r="H823">
            <v>1.1451522400000001E-2</v>
          </cell>
          <cell r="I823" t="str">
            <v>Motorcyclist</v>
          </cell>
          <cell r="J823" t="str">
            <v>2022/23</v>
          </cell>
        </row>
        <row r="824">
          <cell r="A824" t="str">
            <v>12 WEST COAST</v>
          </cell>
          <cell r="B824">
            <v>5</v>
          </cell>
          <cell r="C824">
            <v>2028</v>
          </cell>
          <cell r="D824">
            <v>2</v>
          </cell>
          <cell r="E824">
            <v>5</v>
          </cell>
          <cell r="F824">
            <v>7.9002041999999995E-2</v>
          </cell>
          <cell r="G824">
            <v>0.35314842689999998</v>
          </cell>
          <cell r="H824">
            <v>1.19336493E-2</v>
          </cell>
          <cell r="I824" t="str">
            <v>Motorcyclist</v>
          </cell>
          <cell r="J824" t="str">
            <v>2027/28</v>
          </cell>
        </row>
        <row r="825">
          <cell r="A825" t="str">
            <v>12 WEST COAST</v>
          </cell>
          <cell r="B825">
            <v>5</v>
          </cell>
          <cell r="C825">
            <v>2033</v>
          </cell>
          <cell r="D825">
            <v>2</v>
          </cell>
          <cell r="E825">
            <v>5</v>
          </cell>
          <cell r="F825">
            <v>8.3092883800000003E-2</v>
          </cell>
          <cell r="G825">
            <v>0.38050061219999998</v>
          </cell>
          <cell r="H825">
            <v>1.27813949E-2</v>
          </cell>
          <cell r="I825" t="str">
            <v>Motorcyclist</v>
          </cell>
          <cell r="J825" t="str">
            <v>2032/33</v>
          </cell>
        </row>
        <row r="826">
          <cell r="A826" t="str">
            <v>12 WEST COAST</v>
          </cell>
          <cell r="B826">
            <v>5</v>
          </cell>
          <cell r="C826">
            <v>2038</v>
          </cell>
          <cell r="D826">
            <v>2</v>
          </cell>
          <cell r="E826">
            <v>5</v>
          </cell>
          <cell r="F826">
            <v>9.00575084E-2</v>
          </cell>
          <cell r="G826">
            <v>0.41793959409999998</v>
          </cell>
          <cell r="H826">
            <v>1.3993293299999999E-2</v>
          </cell>
          <cell r="I826" t="str">
            <v>Motorcyclist</v>
          </cell>
          <cell r="J826" t="str">
            <v>2037/38</v>
          </cell>
        </row>
        <row r="827">
          <cell r="A827" t="str">
            <v>12 WEST COAST</v>
          </cell>
          <cell r="B827">
            <v>5</v>
          </cell>
          <cell r="C827">
            <v>2043</v>
          </cell>
          <cell r="D827">
            <v>2</v>
          </cell>
          <cell r="E827">
            <v>5</v>
          </cell>
          <cell r="F827">
            <v>9.4113766000000001E-2</v>
          </cell>
          <cell r="G827">
            <v>0.4417144502</v>
          </cell>
          <cell r="H827">
            <v>1.47490524E-2</v>
          </cell>
          <cell r="I827" t="str">
            <v>Motorcyclist</v>
          </cell>
          <cell r="J827" t="str">
            <v>2042/43</v>
          </cell>
        </row>
        <row r="828">
          <cell r="A828" t="str">
            <v>12 WEST COAST</v>
          </cell>
          <cell r="B828">
            <v>7</v>
          </cell>
          <cell r="C828">
            <v>2013</v>
          </cell>
          <cell r="D828">
            <v>15</v>
          </cell>
          <cell r="E828">
            <v>42</v>
          </cell>
          <cell r="F828">
            <v>0.50805546800000001</v>
          </cell>
          <cell r="G828">
            <v>6.0600083682000001</v>
          </cell>
          <cell r="H828">
            <v>0.18249519829999999</v>
          </cell>
          <cell r="I828" t="str">
            <v>Local Bus</v>
          </cell>
          <cell r="J828" t="str">
            <v>2012/13</v>
          </cell>
        </row>
        <row r="829">
          <cell r="A829" t="str">
            <v>12 WEST COAST</v>
          </cell>
          <cell r="B829">
            <v>7</v>
          </cell>
          <cell r="C829">
            <v>2018</v>
          </cell>
          <cell r="D829">
            <v>15</v>
          </cell>
          <cell r="E829">
            <v>42</v>
          </cell>
          <cell r="F829">
            <v>0.48281976609999999</v>
          </cell>
          <cell r="G829">
            <v>5.7737770516999998</v>
          </cell>
          <cell r="H829">
            <v>0.17265670820000001</v>
          </cell>
          <cell r="I829" t="str">
            <v>Local Bus</v>
          </cell>
          <cell r="J829" t="str">
            <v>2017/18</v>
          </cell>
        </row>
        <row r="830">
          <cell r="A830" t="str">
            <v>12 WEST COAST</v>
          </cell>
          <cell r="B830">
            <v>7</v>
          </cell>
          <cell r="C830">
            <v>2023</v>
          </cell>
          <cell r="D830">
            <v>15</v>
          </cell>
          <cell r="E830">
            <v>42</v>
          </cell>
          <cell r="F830">
            <v>0.43908924269999999</v>
          </cell>
          <cell r="G830">
            <v>5.2927871269000004</v>
          </cell>
          <cell r="H830">
            <v>0.15689643980000001</v>
          </cell>
          <cell r="I830" t="str">
            <v>Local Bus</v>
          </cell>
          <cell r="J830" t="str">
            <v>2022/23</v>
          </cell>
        </row>
        <row r="831">
          <cell r="A831" t="str">
            <v>12 WEST COAST</v>
          </cell>
          <cell r="B831">
            <v>7</v>
          </cell>
          <cell r="C831">
            <v>2028</v>
          </cell>
          <cell r="D831">
            <v>15</v>
          </cell>
          <cell r="E831">
            <v>42</v>
          </cell>
          <cell r="F831">
            <v>0.41298249460000003</v>
          </cell>
          <cell r="G831">
            <v>5.0106129143000002</v>
          </cell>
          <cell r="H831">
            <v>0.14837905039999999</v>
          </cell>
          <cell r="I831" t="str">
            <v>Local Bus</v>
          </cell>
          <cell r="J831" t="str">
            <v>2027/28</v>
          </cell>
        </row>
        <row r="832">
          <cell r="A832" t="str">
            <v>12 WEST COAST</v>
          </cell>
          <cell r="B832">
            <v>7</v>
          </cell>
          <cell r="C832">
            <v>2033</v>
          </cell>
          <cell r="D832">
            <v>15</v>
          </cell>
          <cell r="E832">
            <v>42</v>
          </cell>
          <cell r="F832">
            <v>0.3772257222</v>
          </cell>
          <cell r="G832">
            <v>4.7190409752000004</v>
          </cell>
          <cell r="H832">
            <v>0.1377886499</v>
          </cell>
          <cell r="I832" t="str">
            <v>Local Bus</v>
          </cell>
          <cell r="J832" t="str">
            <v>2032/33</v>
          </cell>
        </row>
        <row r="833">
          <cell r="A833" t="str">
            <v>12 WEST COAST</v>
          </cell>
          <cell r="B833">
            <v>7</v>
          </cell>
          <cell r="C833">
            <v>2038</v>
          </cell>
          <cell r="D833">
            <v>15</v>
          </cell>
          <cell r="E833">
            <v>42</v>
          </cell>
          <cell r="F833">
            <v>0.33844422010000003</v>
          </cell>
          <cell r="G833">
            <v>4.4612394631000001</v>
          </cell>
          <cell r="H833">
            <v>0.12698719</v>
          </cell>
          <cell r="I833" t="str">
            <v>Local Bus</v>
          </cell>
          <cell r="J833" t="str">
            <v>2037/38</v>
          </cell>
        </row>
        <row r="834">
          <cell r="A834" t="str">
            <v>12 WEST COAST</v>
          </cell>
          <cell r="B834">
            <v>7</v>
          </cell>
          <cell r="C834">
            <v>2043</v>
          </cell>
          <cell r="D834">
            <v>15</v>
          </cell>
          <cell r="E834">
            <v>42</v>
          </cell>
          <cell r="F834">
            <v>0.30199544439999998</v>
          </cell>
          <cell r="G834">
            <v>4.2566500745000004</v>
          </cell>
          <cell r="H834">
            <v>0.11739739389999999</v>
          </cell>
          <cell r="I834" t="str">
            <v>Local Bus</v>
          </cell>
          <cell r="J834" t="str">
            <v>2042/43</v>
          </cell>
        </row>
        <row r="835">
          <cell r="A835" t="str">
            <v>12 WEST COAST</v>
          </cell>
          <cell r="B835">
            <v>9</v>
          </cell>
          <cell r="C835">
            <v>2013</v>
          </cell>
          <cell r="D835">
            <v>3</v>
          </cell>
          <cell r="E835">
            <v>3</v>
          </cell>
          <cell r="F835">
            <v>2.77012627E-2</v>
          </cell>
          <cell r="G835">
            <v>0</v>
          </cell>
          <cell r="H835">
            <v>3.6766106000000001E-3</v>
          </cell>
          <cell r="I835" t="str">
            <v>Other Household Travel</v>
          </cell>
          <cell r="J835" t="str">
            <v>2012/13</v>
          </cell>
        </row>
        <row r="836">
          <cell r="A836" t="str">
            <v>12 WEST COAST</v>
          </cell>
          <cell r="B836">
            <v>9</v>
          </cell>
          <cell r="C836">
            <v>2018</v>
          </cell>
          <cell r="D836">
            <v>3</v>
          </cell>
          <cell r="E836">
            <v>3</v>
          </cell>
          <cell r="F836">
            <v>2.7203377599999998E-2</v>
          </cell>
          <cell r="G836">
            <v>0</v>
          </cell>
          <cell r="H836">
            <v>3.5386453000000001E-3</v>
          </cell>
          <cell r="I836" t="str">
            <v>Other Household Travel</v>
          </cell>
          <cell r="J836" t="str">
            <v>2017/18</v>
          </cell>
        </row>
        <row r="837">
          <cell r="A837" t="str">
            <v>12 WEST COAST</v>
          </cell>
          <cell r="B837">
            <v>9</v>
          </cell>
          <cell r="C837">
            <v>2023</v>
          </cell>
          <cell r="D837">
            <v>3</v>
          </cell>
          <cell r="E837">
            <v>3</v>
          </cell>
          <cell r="F837">
            <v>2.5449654200000001E-2</v>
          </cell>
          <cell r="G837">
            <v>0</v>
          </cell>
          <cell r="H837">
            <v>3.2601943000000002E-3</v>
          </cell>
          <cell r="I837" t="str">
            <v>Other Household Travel</v>
          </cell>
          <cell r="J837" t="str">
            <v>2022/23</v>
          </cell>
        </row>
        <row r="838">
          <cell r="A838" t="str">
            <v>12 WEST COAST</v>
          </cell>
          <cell r="B838">
            <v>9</v>
          </cell>
          <cell r="C838">
            <v>2028</v>
          </cell>
          <cell r="D838">
            <v>3</v>
          </cell>
          <cell r="E838">
            <v>3</v>
          </cell>
          <cell r="F838">
            <v>2.2031642899999999E-2</v>
          </cell>
          <cell r="G838">
            <v>0</v>
          </cell>
          <cell r="H838">
            <v>2.7855107E-3</v>
          </cell>
          <cell r="I838" t="str">
            <v>Other Household Travel</v>
          </cell>
          <cell r="J838" t="str">
            <v>2027/28</v>
          </cell>
        </row>
        <row r="839">
          <cell r="A839" t="str">
            <v>12 WEST COAST</v>
          </cell>
          <cell r="B839">
            <v>9</v>
          </cell>
          <cell r="C839">
            <v>2033</v>
          </cell>
          <cell r="D839">
            <v>3</v>
          </cell>
          <cell r="E839">
            <v>3</v>
          </cell>
          <cell r="F839">
            <v>1.9755071799999999E-2</v>
          </cell>
          <cell r="G839">
            <v>0</v>
          </cell>
          <cell r="H839">
            <v>2.5288175999999998E-3</v>
          </cell>
          <cell r="I839" t="str">
            <v>Other Household Travel</v>
          </cell>
          <cell r="J839" t="str">
            <v>2032/33</v>
          </cell>
        </row>
        <row r="840">
          <cell r="A840" t="str">
            <v>12 WEST COAST</v>
          </cell>
          <cell r="B840">
            <v>9</v>
          </cell>
          <cell r="C840">
            <v>2038</v>
          </cell>
          <cell r="D840">
            <v>3</v>
          </cell>
          <cell r="E840">
            <v>3</v>
          </cell>
          <cell r="F840">
            <v>1.94570562E-2</v>
          </cell>
          <cell r="G840">
            <v>0</v>
          </cell>
          <cell r="H840">
            <v>2.5608158E-3</v>
          </cell>
          <cell r="I840" t="str">
            <v>Other Household Travel</v>
          </cell>
          <cell r="J840" t="str">
            <v>2037/38</v>
          </cell>
        </row>
        <row r="841">
          <cell r="A841" t="str">
            <v>12 WEST COAST</v>
          </cell>
          <cell r="B841">
            <v>9</v>
          </cell>
          <cell r="C841">
            <v>2043</v>
          </cell>
          <cell r="D841">
            <v>3</v>
          </cell>
          <cell r="E841">
            <v>3</v>
          </cell>
          <cell r="F841">
            <v>1.9024799299999999E-2</v>
          </cell>
          <cell r="G841">
            <v>0</v>
          </cell>
          <cell r="H841">
            <v>2.5682216000000001E-3</v>
          </cell>
          <cell r="I841" t="str">
            <v>Other Household Travel</v>
          </cell>
          <cell r="J841" t="str">
            <v>2042/43</v>
          </cell>
        </row>
        <row r="842">
          <cell r="A842" t="str">
            <v>12 WEST COAST</v>
          </cell>
          <cell r="B842">
            <v>10</v>
          </cell>
          <cell r="C842">
            <v>2013</v>
          </cell>
          <cell r="D842">
            <v>4</v>
          </cell>
          <cell r="E842">
            <v>8</v>
          </cell>
          <cell r="F842">
            <v>0.10084271459999999</v>
          </cell>
          <cell r="G842">
            <v>10.387194593</v>
          </cell>
          <cell r="H842">
            <v>0.1870167032</v>
          </cell>
          <cell r="I842" t="str">
            <v>Air/Non-Local PT</v>
          </cell>
          <cell r="J842" t="str">
            <v>2012/13</v>
          </cell>
        </row>
        <row r="843">
          <cell r="A843" t="str">
            <v>12 WEST COAST</v>
          </cell>
          <cell r="B843">
            <v>10</v>
          </cell>
          <cell r="C843">
            <v>2018</v>
          </cell>
          <cell r="D843">
            <v>4</v>
          </cell>
          <cell r="E843">
            <v>8</v>
          </cell>
          <cell r="F843">
            <v>0.1072802224</v>
          </cell>
          <cell r="G843">
            <v>10.913065719</v>
          </cell>
          <cell r="H843">
            <v>0.1997039531</v>
          </cell>
          <cell r="I843" t="str">
            <v>Air/Non-Local PT</v>
          </cell>
          <cell r="J843" t="str">
            <v>2017/18</v>
          </cell>
        </row>
        <row r="844">
          <cell r="A844" t="str">
            <v>12 WEST COAST</v>
          </cell>
          <cell r="B844">
            <v>10</v>
          </cell>
          <cell r="C844">
            <v>2023</v>
          </cell>
          <cell r="D844">
            <v>4</v>
          </cell>
          <cell r="E844">
            <v>8</v>
          </cell>
          <cell r="F844">
            <v>0.10689401010000001</v>
          </cell>
          <cell r="G844">
            <v>10.740368633999999</v>
          </cell>
          <cell r="H844">
            <v>0.19971302939999999</v>
          </cell>
          <cell r="I844" t="str">
            <v>Air/Non-Local PT</v>
          </cell>
          <cell r="J844" t="str">
            <v>2022/23</v>
          </cell>
        </row>
        <row r="845">
          <cell r="A845" t="str">
            <v>12 WEST COAST</v>
          </cell>
          <cell r="B845">
            <v>10</v>
          </cell>
          <cell r="C845">
            <v>2028</v>
          </cell>
          <cell r="D845">
            <v>4</v>
          </cell>
          <cell r="E845">
            <v>8</v>
          </cell>
          <cell r="F845">
            <v>9.6995248000000006E-2</v>
          </cell>
          <cell r="G845">
            <v>9.4581966302999998</v>
          </cell>
          <cell r="H845">
            <v>0.18278828850000001</v>
          </cell>
          <cell r="I845" t="str">
            <v>Air/Non-Local PT</v>
          </cell>
          <cell r="J845" t="str">
            <v>2027/28</v>
          </cell>
        </row>
        <row r="846">
          <cell r="A846" t="str">
            <v>12 WEST COAST</v>
          </cell>
          <cell r="B846">
            <v>10</v>
          </cell>
          <cell r="C846">
            <v>2033</v>
          </cell>
          <cell r="D846">
            <v>4</v>
          </cell>
          <cell r="E846">
            <v>8</v>
          </cell>
          <cell r="F846">
            <v>8.5910727199999995E-2</v>
          </cell>
          <cell r="G846">
            <v>8.2021363725</v>
          </cell>
          <cell r="H846">
            <v>0.16285548010000001</v>
          </cell>
          <cell r="I846" t="str">
            <v>Air/Non-Local PT</v>
          </cell>
          <cell r="J846" t="str">
            <v>2032/33</v>
          </cell>
        </row>
        <row r="847">
          <cell r="A847" t="str">
            <v>12 WEST COAST</v>
          </cell>
          <cell r="B847">
            <v>10</v>
          </cell>
          <cell r="C847">
            <v>2038</v>
          </cell>
          <cell r="D847">
            <v>4</v>
          </cell>
          <cell r="E847">
            <v>8</v>
          </cell>
          <cell r="F847">
            <v>8.0207007900000002E-2</v>
          </cell>
          <cell r="G847">
            <v>7.5871328020000002</v>
          </cell>
          <cell r="H847">
            <v>0.15242778430000001</v>
          </cell>
          <cell r="I847" t="str">
            <v>Air/Non-Local PT</v>
          </cell>
          <cell r="J847" t="str">
            <v>2037/38</v>
          </cell>
        </row>
        <row r="848">
          <cell r="A848" t="str">
            <v>12 WEST COAST</v>
          </cell>
          <cell r="B848">
            <v>10</v>
          </cell>
          <cell r="C848">
            <v>2043</v>
          </cell>
          <cell r="D848">
            <v>4</v>
          </cell>
          <cell r="E848">
            <v>8</v>
          </cell>
          <cell r="F848">
            <v>7.4277552999999996E-2</v>
          </cell>
          <cell r="G848">
            <v>6.9551698559000004</v>
          </cell>
          <cell r="H848">
            <v>0.14154711789999999</v>
          </cell>
          <cell r="I848" t="str">
            <v>Air/Non-Local PT</v>
          </cell>
          <cell r="J848" t="str">
            <v>2042/43</v>
          </cell>
        </row>
        <row r="849">
          <cell r="A849" t="str">
            <v>12 WEST COAST</v>
          </cell>
          <cell r="B849">
            <v>11</v>
          </cell>
          <cell r="C849">
            <v>2013</v>
          </cell>
          <cell r="D849">
            <v>9</v>
          </cell>
          <cell r="E849">
            <v>44</v>
          </cell>
          <cell r="F849">
            <v>0.57649160089999996</v>
          </cell>
          <cell r="G849">
            <v>20.958164275000001</v>
          </cell>
          <cell r="H849">
            <v>0.34686230169999999</v>
          </cell>
          <cell r="I849" t="str">
            <v>Non-Household Travel</v>
          </cell>
          <cell r="J849" t="str">
            <v>2012/13</v>
          </cell>
        </row>
        <row r="850">
          <cell r="A850" t="str">
            <v>12 WEST COAST</v>
          </cell>
          <cell r="B850">
            <v>11</v>
          </cell>
          <cell r="C850">
            <v>2018</v>
          </cell>
          <cell r="D850">
            <v>9</v>
          </cell>
          <cell r="E850">
            <v>44</v>
          </cell>
          <cell r="F850">
            <v>0.6091139941</v>
          </cell>
          <cell r="G850">
            <v>21.937485677000002</v>
          </cell>
          <cell r="H850">
            <v>0.36383033149999999</v>
          </cell>
          <cell r="I850" t="str">
            <v>Non-Household Travel</v>
          </cell>
          <cell r="J850" t="str">
            <v>2017/18</v>
          </cell>
        </row>
        <row r="851">
          <cell r="A851" t="str">
            <v>12 WEST COAST</v>
          </cell>
          <cell r="B851">
            <v>11</v>
          </cell>
          <cell r="C851">
            <v>2023</v>
          </cell>
          <cell r="D851">
            <v>9</v>
          </cell>
          <cell r="E851">
            <v>44</v>
          </cell>
          <cell r="F851">
            <v>0.58672225349999996</v>
          </cell>
          <cell r="G851">
            <v>21.450941844999999</v>
          </cell>
          <cell r="H851">
            <v>0.3559482699</v>
          </cell>
          <cell r="I851" t="str">
            <v>Non-Household Travel</v>
          </cell>
          <cell r="J851" t="str">
            <v>2022/23</v>
          </cell>
        </row>
        <row r="852">
          <cell r="A852" t="str">
            <v>12 WEST COAST</v>
          </cell>
          <cell r="B852">
            <v>11</v>
          </cell>
          <cell r="C852">
            <v>2028</v>
          </cell>
          <cell r="D852">
            <v>9</v>
          </cell>
          <cell r="E852">
            <v>44</v>
          </cell>
          <cell r="F852">
            <v>0.5880424192</v>
          </cell>
          <cell r="G852">
            <v>21.165219260000001</v>
          </cell>
          <cell r="H852">
            <v>0.35150454370000001</v>
          </cell>
          <cell r="I852" t="str">
            <v>Non-Household Travel</v>
          </cell>
          <cell r="J852" t="str">
            <v>2027/28</v>
          </cell>
        </row>
        <row r="853">
          <cell r="A853" t="str">
            <v>12 WEST COAST</v>
          </cell>
          <cell r="B853">
            <v>11</v>
          </cell>
          <cell r="C853">
            <v>2033</v>
          </cell>
          <cell r="D853">
            <v>9</v>
          </cell>
          <cell r="E853">
            <v>44</v>
          </cell>
          <cell r="F853">
            <v>0.57162476880000002</v>
          </cell>
          <cell r="G853">
            <v>20.232531360999999</v>
          </cell>
          <cell r="H853">
            <v>0.33652477520000001</v>
          </cell>
          <cell r="I853" t="str">
            <v>Non-Household Travel</v>
          </cell>
          <cell r="J853" t="str">
            <v>2032/33</v>
          </cell>
        </row>
        <row r="854">
          <cell r="A854" t="str">
            <v>12 WEST COAST</v>
          </cell>
          <cell r="B854">
            <v>11</v>
          </cell>
          <cell r="C854">
            <v>2038</v>
          </cell>
          <cell r="D854">
            <v>9</v>
          </cell>
          <cell r="E854">
            <v>44</v>
          </cell>
          <cell r="F854">
            <v>0.55645920010000005</v>
          </cell>
          <cell r="G854">
            <v>19.469928998</v>
          </cell>
          <cell r="H854">
            <v>0.32433173809999999</v>
          </cell>
          <cell r="I854" t="str">
            <v>Non-Household Travel</v>
          </cell>
          <cell r="J854" t="str">
            <v>2037/38</v>
          </cell>
        </row>
        <row r="855">
          <cell r="A855" t="str">
            <v>12 WEST COAST</v>
          </cell>
          <cell r="B855">
            <v>11</v>
          </cell>
          <cell r="C855">
            <v>2043</v>
          </cell>
          <cell r="D855">
            <v>9</v>
          </cell>
          <cell r="E855">
            <v>44</v>
          </cell>
          <cell r="F855">
            <v>0.53251747670000005</v>
          </cell>
          <cell r="G855">
            <v>18.494143017999999</v>
          </cell>
          <cell r="H855">
            <v>0.30863035859999999</v>
          </cell>
          <cell r="I855" t="str">
            <v>Non-Household Travel</v>
          </cell>
          <cell r="J855" t="str">
            <v>2042/43</v>
          </cell>
        </row>
        <row r="856">
          <cell r="A856" t="str">
            <v>13 CANTERBURY</v>
          </cell>
          <cell r="B856">
            <v>0</v>
          </cell>
          <cell r="C856">
            <v>2013</v>
          </cell>
          <cell r="D856">
            <v>2073</v>
          </cell>
          <cell r="E856">
            <v>7645</v>
          </cell>
          <cell r="F856">
            <v>131.04676542000001</v>
          </cell>
          <cell r="G856">
            <v>113.37513976</v>
          </cell>
          <cell r="H856">
            <v>27.07651954</v>
          </cell>
          <cell r="I856" t="str">
            <v>Pedestrian</v>
          </cell>
          <cell r="J856" t="str">
            <v>2012/13</v>
          </cell>
        </row>
        <row r="857">
          <cell r="A857" t="str">
            <v>13 CANTERBURY</v>
          </cell>
          <cell r="B857">
            <v>0</v>
          </cell>
          <cell r="C857">
            <v>2018</v>
          </cell>
          <cell r="D857">
            <v>2073</v>
          </cell>
          <cell r="E857">
            <v>7645</v>
          </cell>
          <cell r="F857">
            <v>138.90344611</v>
          </cell>
          <cell r="G857">
            <v>119.98057351999999</v>
          </cell>
          <cell r="H857">
            <v>28.509822157999999</v>
          </cell>
          <cell r="I857" t="str">
            <v>Pedestrian</v>
          </cell>
          <cell r="J857" t="str">
            <v>2017/18</v>
          </cell>
        </row>
        <row r="858">
          <cell r="A858" t="str">
            <v>13 CANTERBURY</v>
          </cell>
          <cell r="B858">
            <v>0</v>
          </cell>
          <cell r="C858">
            <v>2023</v>
          </cell>
          <cell r="D858">
            <v>2073</v>
          </cell>
          <cell r="E858">
            <v>7645</v>
          </cell>
          <cell r="F858">
            <v>142.60308019999999</v>
          </cell>
          <cell r="G858">
            <v>122.28703609999999</v>
          </cell>
          <cell r="H858">
            <v>29.006013458000002</v>
          </cell>
          <cell r="I858" t="str">
            <v>Pedestrian</v>
          </cell>
          <cell r="J858" t="str">
            <v>2022/23</v>
          </cell>
        </row>
        <row r="859">
          <cell r="A859" t="str">
            <v>13 CANTERBURY</v>
          </cell>
          <cell r="B859">
            <v>0</v>
          </cell>
          <cell r="C859">
            <v>2028</v>
          </cell>
          <cell r="D859">
            <v>2073</v>
          </cell>
          <cell r="E859">
            <v>7645</v>
          </cell>
          <cell r="F859">
            <v>147.18670317999999</v>
          </cell>
          <cell r="G859">
            <v>125.3595978</v>
          </cell>
          <cell r="H859">
            <v>29.709936366000001</v>
          </cell>
          <cell r="I859" t="str">
            <v>Pedestrian</v>
          </cell>
          <cell r="J859" t="str">
            <v>2027/28</v>
          </cell>
        </row>
        <row r="860">
          <cell r="A860" t="str">
            <v>13 CANTERBURY</v>
          </cell>
          <cell r="B860">
            <v>0</v>
          </cell>
          <cell r="C860">
            <v>2033</v>
          </cell>
          <cell r="D860">
            <v>2073</v>
          </cell>
          <cell r="E860">
            <v>7645</v>
          </cell>
          <cell r="F860">
            <v>149.73027611000001</v>
          </cell>
          <cell r="G860">
            <v>126.61413648</v>
          </cell>
          <cell r="H860">
            <v>30.053325201</v>
          </cell>
          <cell r="I860" t="str">
            <v>Pedestrian</v>
          </cell>
          <cell r="J860" t="str">
            <v>2032/33</v>
          </cell>
        </row>
        <row r="861">
          <cell r="A861" t="str">
            <v>13 CANTERBURY</v>
          </cell>
          <cell r="B861">
            <v>0</v>
          </cell>
          <cell r="C861">
            <v>2038</v>
          </cell>
          <cell r="D861">
            <v>2073</v>
          </cell>
          <cell r="E861">
            <v>7645</v>
          </cell>
          <cell r="F861">
            <v>151.40865163000001</v>
          </cell>
          <cell r="G861">
            <v>127.32873788000001</v>
          </cell>
          <cell r="H861">
            <v>30.189221558</v>
          </cell>
          <cell r="I861" t="str">
            <v>Pedestrian</v>
          </cell>
          <cell r="J861" t="str">
            <v>2037/38</v>
          </cell>
        </row>
        <row r="862">
          <cell r="A862" t="str">
            <v>13 CANTERBURY</v>
          </cell>
          <cell r="B862">
            <v>0</v>
          </cell>
          <cell r="C862">
            <v>2043</v>
          </cell>
          <cell r="D862">
            <v>2073</v>
          </cell>
          <cell r="E862">
            <v>7645</v>
          </cell>
          <cell r="F862">
            <v>152.45740236</v>
          </cell>
          <cell r="G862">
            <v>127.59173183999999</v>
          </cell>
          <cell r="H862">
            <v>30.211591433999999</v>
          </cell>
          <cell r="I862" t="str">
            <v>Pedestrian</v>
          </cell>
          <cell r="J862" t="str">
            <v>2042/43</v>
          </cell>
        </row>
        <row r="863">
          <cell r="A863" t="str">
            <v>13 CANTERBURY</v>
          </cell>
          <cell r="B863">
            <v>1</v>
          </cell>
          <cell r="C863">
            <v>2013</v>
          </cell>
          <cell r="D863">
            <v>335</v>
          </cell>
          <cell r="E863">
            <v>1282</v>
          </cell>
          <cell r="F863">
            <v>23.740018446000001</v>
          </cell>
          <cell r="G863">
            <v>97.023488555</v>
          </cell>
          <cell r="H863">
            <v>7.2445897615000003</v>
          </cell>
          <cell r="I863" t="str">
            <v>Cyclist</v>
          </cell>
          <cell r="J863" t="str">
            <v>2012/13</v>
          </cell>
        </row>
        <row r="864">
          <cell r="A864" t="str">
            <v>13 CANTERBURY</v>
          </cell>
          <cell r="B864">
            <v>1</v>
          </cell>
          <cell r="C864">
            <v>2018</v>
          </cell>
          <cell r="D864">
            <v>335</v>
          </cell>
          <cell r="E864">
            <v>1282</v>
          </cell>
          <cell r="F864">
            <v>25.683016619</v>
          </cell>
          <cell r="G864">
            <v>107.62104835</v>
          </cell>
          <cell r="H864">
            <v>7.9206955387000004</v>
          </cell>
          <cell r="I864" t="str">
            <v>Cyclist</v>
          </cell>
          <cell r="J864" t="str">
            <v>2017/18</v>
          </cell>
        </row>
        <row r="865">
          <cell r="A865" t="str">
            <v>13 CANTERBURY</v>
          </cell>
          <cell r="B865">
            <v>1</v>
          </cell>
          <cell r="C865">
            <v>2023</v>
          </cell>
          <cell r="D865">
            <v>335</v>
          </cell>
          <cell r="E865">
            <v>1282</v>
          </cell>
          <cell r="F865">
            <v>25.976522394</v>
          </cell>
          <cell r="G865">
            <v>111.12520852999999</v>
          </cell>
          <cell r="H865">
            <v>8.1025837192000001</v>
          </cell>
          <cell r="I865" t="str">
            <v>Cyclist</v>
          </cell>
          <cell r="J865" t="str">
            <v>2022/23</v>
          </cell>
        </row>
        <row r="866">
          <cell r="A866" t="str">
            <v>13 CANTERBURY</v>
          </cell>
          <cell r="B866">
            <v>1</v>
          </cell>
          <cell r="C866">
            <v>2028</v>
          </cell>
          <cell r="D866">
            <v>335</v>
          </cell>
          <cell r="E866">
            <v>1282</v>
          </cell>
          <cell r="F866">
            <v>26.345324633000001</v>
          </cell>
          <cell r="G866">
            <v>113.45898536999999</v>
          </cell>
          <cell r="H866">
            <v>8.2346100445000001</v>
          </cell>
          <cell r="I866" t="str">
            <v>Cyclist</v>
          </cell>
          <cell r="J866" t="str">
            <v>2027/28</v>
          </cell>
        </row>
        <row r="867">
          <cell r="A867" t="str">
            <v>13 CANTERBURY</v>
          </cell>
          <cell r="B867">
            <v>1</v>
          </cell>
          <cell r="C867">
            <v>2033</v>
          </cell>
          <cell r="D867">
            <v>335</v>
          </cell>
          <cell r="E867">
            <v>1282</v>
          </cell>
          <cell r="F867">
            <v>26.72702103</v>
          </cell>
          <cell r="G867">
            <v>116.85010391</v>
          </cell>
          <cell r="H867">
            <v>8.4088754663999996</v>
          </cell>
          <cell r="I867" t="str">
            <v>Cyclist</v>
          </cell>
          <cell r="J867" t="str">
            <v>2032/33</v>
          </cell>
        </row>
        <row r="868">
          <cell r="A868" t="str">
            <v>13 CANTERBURY</v>
          </cell>
          <cell r="B868">
            <v>1</v>
          </cell>
          <cell r="C868">
            <v>2038</v>
          </cell>
          <cell r="D868">
            <v>335</v>
          </cell>
          <cell r="E868">
            <v>1282</v>
          </cell>
          <cell r="F868">
            <v>26.903411092999999</v>
          </cell>
          <cell r="G868">
            <v>121.261495</v>
          </cell>
          <cell r="H868">
            <v>8.6039284903999995</v>
          </cell>
          <cell r="I868" t="str">
            <v>Cyclist</v>
          </cell>
          <cell r="J868" t="str">
            <v>2037/38</v>
          </cell>
        </row>
        <row r="869">
          <cell r="A869" t="str">
            <v>13 CANTERBURY</v>
          </cell>
          <cell r="B869">
            <v>1</v>
          </cell>
          <cell r="C869">
            <v>2043</v>
          </cell>
          <cell r="D869">
            <v>335</v>
          </cell>
          <cell r="E869">
            <v>1282</v>
          </cell>
          <cell r="F869">
            <v>27.039992801</v>
          </cell>
          <cell r="G869">
            <v>125.71689560999999</v>
          </cell>
          <cell r="H869">
            <v>8.7944996197999998</v>
          </cell>
          <cell r="I869" t="str">
            <v>Cyclist</v>
          </cell>
          <cell r="J869" t="str">
            <v>2042/43</v>
          </cell>
        </row>
        <row r="870">
          <cell r="A870" t="str">
            <v>13 CANTERBURY</v>
          </cell>
          <cell r="B870">
            <v>2</v>
          </cell>
          <cell r="C870">
            <v>2013</v>
          </cell>
          <cell r="D870">
            <v>3326</v>
          </cell>
          <cell r="E870">
            <v>23816</v>
          </cell>
          <cell r="F870">
            <v>417.41567177000002</v>
          </cell>
          <cell r="G870">
            <v>3777.041205</v>
          </cell>
          <cell r="H870">
            <v>111.06814274</v>
          </cell>
          <cell r="I870" t="str">
            <v>Light Vehicle Driver</v>
          </cell>
          <cell r="J870" t="str">
            <v>2012/13</v>
          </cell>
        </row>
        <row r="871">
          <cell r="A871" t="str">
            <v>13 CANTERBURY</v>
          </cell>
          <cell r="B871">
            <v>2</v>
          </cell>
          <cell r="C871">
            <v>2018</v>
          </cell>
          <cell r="D871">
            <v>3326</v>
          </cell>
          <cell r="E871">
            <v>23816</v>
          </cell>
          <cell r="F871">
            <v>461.82628619000002</v>
          </cell>
          <cell r="G871">
            <v>4230.1676625999999</v>
          </cell>
          <cell r="H871">
            <v>124.10666566</v>
          </cell>
          <cell r="I871" t="str">
            <v>Light Vehicle Driver</v>
          </cell>
          <cell r="J871" t="str">
            <v>2017/18</v>
          </cell>
        </row>
        <row r="872">
          <cell r="A872" t="str">
            <v>13 CANTERBURY</v>
          </cell>
          <cell r="B872">
            <v>2</v>
          </cell>
          <cell r="C872">
            <v>2023</v>
          </cell>
          <cell r="D872">
            <v>3326</v>
          </cell>
          <cell r="E872">
            <v>23816</v>
          </cell>
          <cell r="F872">
            <v>486.86278959999999</v>
          </cell>
          <cell r="G872">
            <v>4474.4820284999996</v>
          </cell>
          <cell r="H872">
            <v>131.27230168</v>
          </cell>
          <cell r="I872" t="str">
            <v>Light Vehicle Driver</v>
          </cell>
          <cell r="J872" t="str">
            <v>2022/23</v>
          </cell>
        </row>
        <row r="873">
          <cell r="A873" t="str">
            <v>13 CANTERBURY</v>
          </cell>
          <cell r="B873">
            <v>2</v>
          </cell>
          <cell r="C873">
            <v>2028</v>
          </cell>
          <cell r="D873">
            <v>3326</v>
          </cell>
          <cell r="E873">
            <v>23816</v>
          </cell>
          <cell r="F873">
            <v>511.07441886999999</v>
          </cell>
          <cell r="G873">
            <v>4705.7022034000001</v>
          </cell>
          <cell r="H873">
            <v>137.95053389</v>
          </cell>
          <cell r="I873" t="str">
            <v>Light Vehicle Driver</v>
          </cell>
          <cell r="J873" t="str">
            <v>2027/28</v>
          </cell>
        </row>
        <row r="874">
          <cell r="A874" t="str">
            <v>13 CANTERBURY</v>
          </cell>
          <cell r="B874">
            <v>2</v>
          </cell>
          <cell r="C874">
            <v>2033</v>
          </cell>
          <cell r="D874">
            <v>3326</v>
          </cell>
          <cell r="E874">
            <v>23816</v>
          </cell>
          <cell r="F874">
            <v>533.00774236999996</v>
          </cell>
          <cell r="G874">
            <v>4923.3264028000003</v>
          </cell>
          <cell r="H874">
            <v>144.2081719</v>
          </cell>
          <cell r="I874" t="str">
            <v>Light Vehicle Driver</v>
          </cell>
          <cell r="J874" t="str">
            <v>2032/33</v>
          </cell>
        </row>
        <row r="875">
          <cell r="A875" t="str">
            <v>13 CANTERBURY</v>
          </cell>
          <cell r="B875">
            <v>2</v>
          </cell>
          <cell r="C875">
            <v>2038</v>
          </cell>
          <cell r="D875">
            <v>3326</v>
          </cell>
          <cell r="E875">
            <v>23816</v>
          </cell>
          <cell r="F875">
            <v>548.47610729999997</v>
          </cell>
          <cell r="G875">
            <v>5087.8462687000001</v>
          </cell>
          <cell r="H875">
            <v>148.88232015</v>
          </cell>
          <cell r="I875" t="str">
            <v>Light Vehicle Driver</v>
          </cell>
          <cell r="J875" t="str">
            <v>2037/38</v>
          </cell>
        </row>
        <row r="876">
          <cell r="A876" t="str">
            <v>13 CANTERBURY</v>
          </cell>
          <cell r="B876">
            <v>2</v>
          </cell>
          <cell r="C876">
            <v>2043</v>
          </cell>
          <cell r="D876">
            <v>3326</v>
          </cell>
          <cell r="E876">
            <v>23816</v>
          </cell>
          <cell r="F876">
            <v>561.87544794999997</v>
          </cell>
          <cell r="G876">
            <v>5237.2083664000002</v>
          </cell>
          <cell r="H876">
            <v>153.07471745999999</v>
          </cell>
          <cell r="I876" t="str">
            <v>Light Vehicle Driver</v>
          </cell>
          <cell r="J876" t="str">
            <v>2042/43</v>
          </cell>
        </row>
        <row r="877">
          <cell r="A877" t="str">
            <v>13 CANTERBURY</v>
          </cell>
          <cell r="B877">
            <v>3</v>
          </cell>
          <cell r="C877">
            <v>2013</v>
          </cell>
          <cell r="D877">
            <v>2416</v>
          </cell>
          <cell r="E877">
            <v>11025</v>
          </cell>
          <cell r="F877">
            <v>189.77500577999999</v>
          </cell>
          <cell r="G877">
            <v>2033.7115475000001</v>
          </cell>
          <cell r="H877">
            <v>53.544276449999998</v>
          </cell>
          <cell r="I877" t="str">
            <v>Light Vehicle Passenger</v>
          </cell>
          <cell r="J877" t="str">
            <v>2012/13</v>
          </cell>
        </row>
        <row r="878">
          <cell r="A878" t="str">
            <v>13 CANTERBURY</v>
          </cell>
          <cell r="B878">
            <v>3</v>
          </cell>
          <cell r="C878">
            <v>2018</v>
          </cell>
          <cell r="D878">
            <v>2416</v>
          </cell>
          <cell r="E878">
            <v>11025</v>
          </cell>
          <cell r="F878">
            <v>198.37672065000001</v>
          </cell>
          <cell r="G878">
            <v>2158.4247175999999</v>
          </cell>
          <cell r="H878">
            <v>56.499264414000002</v>
          </cell>
          <cell r="I878" t="str">
            <v>Light Vehicle Passenger</v>
          </cell>
          <cell r="J878" t="str">
            <v>2017/18</v>
          </cell>
        </row>
        <row r="879">
          <cell r="A879" t="str">
            <v>13 CANTERBURY</v>
          </cell>
          <cell r="B879">
            <v>3</v>
          </cell>
          <cell r="C879">
            <v>2023</v>
          </cell>
          <cell r="D879">
            <v>2416</v>
          </cell>
          <cell r="E879">
            <v>11025</v>
          </cell>
          <cell r="F879">
            <v>201.41575399000001</v>
          </cell>
          <cell r="G879">
            <v>2216.0328536000002</v>
          </cell>
          <cell r="H879">
            <v>57.738412603</v>
          </cell>
          <cell r="I879" t="str">
            <v>Light Vehicle Passenger</v>
          </cell>
          <cell r="J879" t="str">
            <v>2022/23</v>
          </cell>
        </row>
        <row r="880">
          <cell r="A880" t="str">
            <v>13 CANTERBURY</v>
          </cell>
          <cell r="B880">
            <v>3</v>
          </cell>
          <cell r="C880">
            <v>2028</v>
          </cell>
          <cell r="D880">
            <v>2416</v>
          </cell>
          <cell r="E880">
            <v>11025</v>
          </cell>
          <cell r="F880">
            <v>205.39957443</v>
          </cell>
          <cell r="G880">
            <v>2286.5758494000002</v>
          </cell>
          <cell r="H880">
            <v>59.288068586999998</v>
          </cell>
          <cell r="I880" t="str">
            <v>Light Vehicle Passenger</v>
          </cell>
          <cell r="J880" t="str">
            <v>2027/28</v>
          </cell>
        </row>
        <row r="881">
          <cell r="A881" t="str">
            <v>13 CANTERBURY</v>
          </cell>
          <cell r="B881">
            <v>3</v>
          </cell>
          <cell r="C881">
            <v>2033</v>
          </cell>
          <cell r="D881">
            <v>2416</v>
          </cell>
          <cell r="E881">
            <v>11025</v>
          </cell>
          <cell r="F881">
            <v>208.44985747999999</v>
          </cell>
          <cell r="G881">
            <v>2344.6375339000001</v>
          </cell>
          <cell r="H881">
            <v>60.538394271000001</v>
          </cell>
          <cell r="I881" t="str">
            <v>Light Vehicle Passenger</v>
          </cell>
          <cell r="J881" t="str">
            <v>2032/33</v>
          </cell>
        </row>
        <row r="882">
          <cell r="A882" t="str">
            <v>13 CANTERBURY</v>
          </cell>
          <cell r="B882">
            <v>3</v>
          </cell>
          <cell r="C882">
            <v>2038</v>
          </cell>
          <cell r="D882">
            <v>2416</v>
          </cell>
          <cell r="E882">
            <v>11025</v>
          </cell>
          <cell r="F882">
            <v>211.1313169</v>
          </cell>
          <cell r="G882">
            <v>2394.6182776000001</v>
          </cell>
          <cell r="H882">
            <v>61.658730818999999</v>
          </cell>
          <cell r="I882" t="str">
            <v>Light Vehicle Passenger</v>
          </cell>
          <cell r="J882" t="str">
            <v>2037/38</v>
          </cell>
        </row>
        <row r="883">
          <cell r="A883" t="str">
            <v>13 CANTERBURY</v>
          </cell>
          <cell r="B883">
            <v>3</v>
          </cell>
          <cell r="C883">
            <v>2043</v>
          </cell>
          <cell r="D883">
            <v>2416</v>
          </cell>
          <cell r="E883">
            <v>11025</v>
          </cell>
          <cell r="F883">
            <v>212.72041157000001</v>
          </cell>
          <cell r="G883">
            <v>2433.1373096000002</v>
          </cell>
          <cell r="H883">
            <v>62.470812852000002</v>
          </cell>
          <cell r="I883" t="str">
            <v>Light Vehicle Passenger</v>
          </cell>
          <cell r="J883" t="str">
            <v>2042/43</v>
          </cell>
        </row>
        <row r="884">
          <cell r="A884" t="str">
            <v>13 CANTERBURY</v>
          </cell>
          <cell r="B884">
            <v>4</v>
          </cell>
          <cell r="C884">
            <v>2013</v>
          </cell>
          <cell r="D884">
            <v>68</v>
          </cell>
          <cell r="E884">
            <v>116</v>
          </cell>
          <cell r="F884">
            <v>2.2446435044999999</v>
          </cell>
          <cell r="G884">
            <v>16.530142167000001</v>
          </cell>
          <cell r="H884">
            <v>0.86554787379999998</v>
          </cell>
          <cell r="J884" t="str">
            <v>2012/13</v>
          </cell>
        </row>
        <row r="885">
          <cell r="A885" t="str">
            <v>13 CANTERBURY</v>
          </cell>
          <cell r="B885">
            <v>4</v>
          </cell>
          <cell r="C885">
            <v>2018</v>
          </cell>
          <cell r="D885">
            <v>68</v>
          </cell>
          <cell r="E885">
            <v>116</v>
          </cell>
          <cell r="F885">
            <v>2.4730407147000002</v>
          </cell>
          <cell r="G885">
            <v>18.895325593999999</v>
          </cell>
          <cell r="H885">
            <v>0.96258451759999997</v>
          </cell>
          <cell r="J885" t="str">
            <v>2017/18</v>
          </cell>
        </row>
        <row r="886">
          <cell r="A886" t="str">
            <v>13 CANTERBURY</v>
          </cell>
          <cell r="B886">
            <v>4</v>
          </cell>
          <cell r="C886">
            <v>2023</v>
          </cell>
          <cell r="D886">
            <v>68</v>
          </cell>
          <cell r="E886">
            <v>116</v>
          </cell>
          <cell r="F886">
            <v>2.5966410012000001</v>
          </cell>
          <cell r="G886">
            <v>20.241394632999999</v>
          </cell>
          <cell r="H886">
            <v>1.0153783504</v>
          </cell>
          <cell r="J886" t="str">
            <v>2022/23</v>
          </cell>
        </row>
        <row r="887">
          <cell r="A887" t="str">
            <v>13 CANTERBURY</v>
          </cell>
          <cell r="B887">
            <v>4</v>
          </cell>
          <cell r="C887">
            <v>2028</v>
          </cell>
          <cell r="D887">
            <v>68</v>
          </cell>
          <cell r="E887">
            <v>116</v>
          </cell>
          <cell r="F887">
            <v>2.7208487698999999</v>
          </cell>
          <cell r="G887">
            <v>21.357347351000001</v>
          </cell>
          <cell r="H887">
            <v>1.074929558</v>
          </cell>
          <cell r="J887" t="str">
            <v>2027/28</v>
          </cell>
        </row>
        <row r="888">
          <cell r="A888" t="str">
            <v>13 CANTERBURY</v>
          </cell>
          <cell r="B888">
            <v>4</v>
          </cell>
          <cell r="C888">
            <v>2033</v>
          </cell>
          <cell r="D888">
            <v>68</v>
          </cell>
          <cell r="E888">
            <v>116</v>
          </cell>
          <cell r="F888">
            <v>2.8426523942999999</v>
          </cell>
          <cell r="G888">
            <v>22.542703292999999</v>
          </cell>
          <cell r="H888">
            <v>1.1413895904</v>
          </cell>
          <cell r="J888" t="str">
            <v>2032/33</v>
          </cell>
        </row>
        <row r="889">
          <cell r="A889" t="str">
            <v>13 CANTERBURY</v>
          </cell>
          <cell r="B889">
            <v>4</v>
          </cell>
          <cell r="C889">
            <v>2038</v>
          </cell>
          <cell r="D889">
            <v>68</v>
          </cell>
          <cell r="E889">
            <v>116</v>
          </cell>
          <cell r="F889">
            <v>2.9164621969</v>
          </cell>
          <cell r="G889">
            <v>23.523869629</v>
          </cell>
          <cell r="H889">
            <v>1.1845916664</v>
          </cell>
          <cell r="J889" t="str">
            <v>2037/38</v>
          </cell>
        </row>
        <row r="890">
          <cell r="A890" t="str">
            <v>13 CANTERBURY</v>
          </cell>
          <cell r="B890">
            <v>4</v>
          </cell>
          <cell r="C890">
            <v>2043</v>
          </cell>
          <cell r="D890">
            <v>68</v>
          </cell>
          <cell r="E890">
            <v>116</v>
          </cell>
          <cell r="F890">
            <v>2.9713639247999999</v>
          </cell>
          <cell r="G890">
            <v>24.390811210999999</v>
          </cell>
          <cell r="H890">
            <v>1.2165286103999999</v>
          </cell>
          <cell r="J890" t="str">
            <v>2042/43</v>
          </cell>
        </row>
        <row r="891">
          <cell r="A891" t="str">
            <v>13 CANTERBURY</v>
          </cell>
          <cell r="B891">
            <v>5</v>
          </cell>
          <cell r="C891">
            <v>2013</v>
          </cell>
          <cell r="D891">
            <v>29</v>
          </cell>
          <cell r="E891">
            <v>91</v>
          </cell>
          <cell r="F891">
            <v>1.4451657518000001</v>
          </cell>
          <cell r="G891">
            <v>12.048552727000001</v>
          </cell>
          <cell r="H891">
            <v>0.39288238580000001</v>
          </cell>
          <cell r="I891" t="str">
            <v>Motorcyclist</v>
          </cell>
          <cell r="J891" t="str">
            <v>2012/13</v>
          </cell>
        </row>
        <row r="892">
          <cell r="A892" t="str">
            <v>13 CANTERBURY</v>
          </cell>
          <cell r="B892">
            <v>5</v>
          </cell>
          <cell r="C892">
            <v>2018</v>
          </cell>
          <cell r="D892">
            <v>29</v>
          </cell>
          <cell r="E892">
            <v>91</v>
          </cell>
          <cell r="F892">
            <v>1.5838588179999999</v>
          </cell>
          <cell r="G892">
            <v>12.911538787</v>
          </cell>
          <cell r="H892">
            <v>0.4281787413</v>
          </cell>
          <cell r="I892" t="str">
            <v>Motorcyclist</v>
          </cell>
          <cell r="J892" t="str">
            <v>2017/18</v>
          </cell>
        </row>
        <row r="893">
          <cell r="A893" t="str">
            <v>13 CANTERBURY</v>
          </cell>
          <cell r="B893">
            <v>5</v>
          </cell>
          <cell r="C893">
            <v>2023</v>
          </cell>
          <cell r="D893">
            <v>29</v>
          </cell>
          <cell r="E893">
            <v>91</v>
          </cell>
          <cell r="F893">
            <v>1.6168421857999999</v>
          </cell>
          <cell r="G893">
            <v>13.084098966000001</v>
          </cell>
          <cell r="H893">
            <v>0.43997136050000002</v>
          </cell>
          <cell r="I893" t="str">
            <v>Motorcyclist</v>
          </cell>
          <cell r="J893" t="str">
            <v>2022/23</v>
          </cell>
        </row>
        <row r="894">
          <cell r="A894" t="str">
            <v>13 CANTERBURY</v>
          </cell>
          <cell r="B894">
            <v>5</v>
          </cell>
          <cell r="C894">
            <v>2028</v>
          </cell>
          <cell r="D894">
            <v>29</v>
          </cell>
          <cell r="E894">
            <v>91</v>
          </cell>
          <cell r="F894">
            <v>1.6348648957</v>
          </cell>
          <cell r="G894">
            <v>13.19148657</v>
          </cell>
          <cell r="H894">
            <v>0.4496159066</v>
          </cell>
          <cell r="I894" t="str">
            <v>Motorcyclist</v>
          </cell>
          <cell r="J894" t="str">
            <v>2027/28</v>
          </cell>
        </row>
        <row r="895">
          <cell r="A895" t="str">
            <v>13 CANTERBURY</v>
          </cell>
          <cell r="B895">
            <v>5</v>
          </cell>
          <cell r="C895">
            <v>2033</v>
          </cell>
          <cell r="D895">
            <v>29</v>
          </cell>
          <cell r="E895">
            <v>91</v>
          </cell>
          <cell r="F895">
            <v>1.6638953161000001</v>
          </cell>
          <cell r="G895">
            <v>13.660125998</v>
          </cell>
          <cell r="H895">
            <v>0.46664450349999997</v>
          </cell>
          <cell r="I895" t="str">
            <v>Motorcyclist</v>
          </cell>
          <cell r="J895" t="str">
            <v>2032/33</v>
          </cell>
        </row>
        <row r="896">
          <cell r="A896" t="str">
            <v>13 CANTERBURY</v>
          </cell>
          <cell r="B896">
            <v>5</v>
          </cell>
          <cell r="C896">
            <v>2038</v>
          </cell>
          <cell r="D896">
            <v>29</v>
          </cell>
          <cell r="E896">
            <v>91</v>
          </cell>
          <cell r="F896">
            <v>1.7327032748</v>
          </cell>
          <cell r="G896">
            <v>14.499290937</v>
          </cell>
          <cell r="H896">
            <v>0.49706307570000002</v>
          </cell>
          <cell r="I896" t="str">
            <v>Motorcyclist</v>
          </cell>
          <cell r="J896" t="str">
            <v>2037/38</v>
          </cell>
        </row>
        <row r="897">
          <cell r="A897" t="str">
            <v>13 CANTERBURY</v>
          </cell>
          <cell r="B897">
            <v>5</v>
          </cell>
          <cell r="C897">
            <v>2043</v>
          </cell>
          <cell r="D897">
            <v>29</v>
          </cell>
          <cell r="E897">
            <v>91</v>
          </cell>
          <cell r="F897">
            <v>1.7930996751999999</v>
          </cell>
          <cell r="G897">
            <v>15.245678834</v>
          </cell>
          <cell r="H897">
            <v>0.5258029085</v>
          </cell>
          <cell r="I897" t="str">
            <v>Motorcyclist</v>
          </cell>
          <cell r="J897" t="str">
            <v>2042/43</v>
          </cell>
        </row>
        <row r="898">
          <cell r="A898" t="str">
            <v>13 CANTERBURY</v>
          </cell>
          <cell r="B898">
            <v>6</v>
          </cell>
          <cell r="C898">
            <v>2013</v>
          </cell>
          <cell r="D898">
            <v>1</v>
          </cell>
          <cell r="E898">
            <v>1</v>
          </cell>
          <cell r="F898">
            <v>2.1901243099999999E-2</v>
          </cell>
          <cell r="G898">
            <v>0</v>
          </cell>
          <cell r="H898">
            <v>7.3004144E-3</v>
          </cell>
          <cell r="I898" t="str">
            <v>Local Train</v>
          </cell>
          <cell r="J898" t="str">
            <v>2012/13</v>
          </cell>
        </row>
        <row r="899">
          <cell r="A899" t="str">
            <v>13 CANTERBURY</v>
          </cell>
          <cell r="B899">
            <v>6</v>
          </cell>
          <cell r="C899">
            <v>2018</v>
          </cell>
          <cell r="D899">
            <v>1</v>
          </cell>
          <cell r="E899">
            <v>1</v>
          </cell>
          <cell r="F899">
            <v>2.2058192899999999E-2</v>
          </cell>
          <cell r="G899">
            <v>0</v>
          </cell>
          <cell r="H899">
            <v>7.3527310000000004E-3</v>
          </cell>
          <cell r="I899" t="str">
            <v>Local Train</v>
          </cell>
          <cell r="J899" t="str">
            <v>2017/18</v>
          </cell>
        </row>
        <row r="900">
          <cell r="A900" t="str">
            <v>13 CANTERBURY</v>
          </cell>
          <cell r="B900">
            <v>6</v>
          </cell>
          <cell r="C900">
            <v>2023</v>
          </cell>
          <cell r="D900">
            <v>1</v>
          </cell>
          <cell r="E900">
            <v>1</v>
          </cell>
          <cell r="F900">
            <v>1.8725575000000001E-2</v>
          </cell>
          <cell r="G900">
            <v>0</v>
          </cell>
          <cell r="H900">
            <v>6.2418583E-3</v>
          </cell>
          <cell r="I900" t="str">
            <v>Local Train</v>
          </cell>
          <cell r="J900" t="str">
            <v>2022/23</v>
          </cell>
        </row>
        <row r="901">
          <cell r="A901" t="str">
            <v>13 CANTERBURY</v>
          </cell>
          <cell r="B901">
            <v>6</v>
          </cell>
          <cell r="C901">
            <v>2028</v>
          </cell>
          <cell r="D901">
            <v>1</v>
          </cell>
          <cell r="E901">
            <v>1</v>
          </cell>
          <cell r="F901">
            <v>1.7423979199999998E-2</v>
          </cell>
          <cell r="G901">
            <v>0</v>
          </cell>
          <cell r="H901">
            <v>5.8079930999999996E-3</v>
          </cell>
          <cell r="I901" t="str">
            <v>Local Train</v>
          </cell>
          <cell r="J901" t="str">
            <v>2027/28</v>
          </cell>
        </row>
        <row r="902">
          <cell r="A902" t="str">
            <v>13 CANTERBURY</v>
          </cell>
          <cell r="B902">
            <v>6</v>
          </cell>
          <cell r="C902">
            <v>2033</v>
          </cell>
          <cell r="D902">
            <v>1</v>
          </cell>
          <cell r="E902">
            <v>1</v>
          </cell>
          <cell r="F902">
            <v>1.6539134600000002E-2</v>
          </cell>
          <cell r="G902">
            <v>0</v>
          </cell>
          <cell r="H902">
            <v>5.5130448999999998E-3</v>
          </cell>
          <cell r="I902" t="str">
            <v>Local Train</v>
          </cell>
          <cell r="J902" t="str">
            <v>2032/33</v>
          </cell>
        </row>
        <row r="903">
          <cell r="A903" t="str">
            <v>13 CANTERBURY</v>
          </cell>
          <cell r="B903">
            <v>6</v>
          </cell>
          <cell r="C903">
            <v>2038</v>
          </cell>
          <cell r="D903">
            <v>1</v>
          </cell>
          <cell r="E903">
            <v>1</v>
          </cell>
          <cell r="F903">
            <v>1.3973374199999999E-2</v>
          </cell>
          <cell r="G903">
            <v>0</v>
          </cell>
          <cell r="H903">
            <v>4.6577913999999998E-3</v>
          </cell>
          <cell r="I903" t="str">
            <v>Local Train</v>
          </cell>
          <cell r="J903" t="str">
            <v>2037/38</v>
          </cell>
        </row>
        <row r="904">
          <cell r="A904" t="str">
            <v>13 CANTERBURY</v>
          </cell>
          <cell r="B904">
            <v>6</v>
          </cell>
          <cell r="C904">
            <v>2043</v>
          </cell>
          <cell r="D904">
            <v>1</v>
          </cell>
          <cell r="E904">
            <v>1</v>
          </cell>
          <cell r="F904">
            <v>1.1562156699999999E-2</v>
          </cell>
          <cell r="G904">
            <v>0</v>
          </cell>
          <cell r="H904">
            <v>3.8540521999999998E-3</v>
          </cell>
          <cell r="I904" t="str">
            <v>Local Train</v>
          </cell>
          <cell r="J904" t="str">
            <v>2042/43</v>
          </cell>
        </row>
        <row r="905">
          <cell r="A905" t="str">
            <v>13 CANTERBURY</v>
          </cell>
          <cell r="B905">
            <v>7</v>
          </cell>
          <cell r="C905">
            <v>2013</v>
          </cell>
          <cell r="D905">
            <v>384</v>
          </cell>
          <cell r="E905">
            <v>1120</v>
          </cell>
          <cell r="F905">
            <v>20.502079716000001</v>
          </cell>
          <cell r="G905">
            <v>174.53993166999999</v>
          </cell>
          <cell r="H905">
            <v>7.9805750329</v>
          </cell>
          <cell r="I905" t="str">
            <v>Local Bus</v>
          </cell>
          <cell r="J905" t="str">
            <v>2012/13</v>
          </cell>
        </row>
        <row r="906">
          <cell r="A906" t="str">
            <v>13 CANTERBURY</v>
          </cell>
          <cell r="B906">
            <v>7</v>
          </cell>
          <cell r="C906">
            <v>2018</v>
          </cell>
          <cell r="D906">
            <v>384</v>
          </cell>
          <cell r="E906">
            <v>1120</v>
          </cell>
          <cell r="F906">
            <v>20.810860451</v>
          </cell>
          <cell r="G906">
            <v>176.87296327000001</v>
          </cell>
          <cell r="H906">
            <v>8.0885047295000003</v>
          </cell>
          <cell r="I906" t="str">
            <v>Local Bus</v>
          </cell>
          <cell r="J906" t="str">
            <v>2017/18</v>
          </cell>
        </row>
        <row r="907">
          <cell r="A907" t="str">
            <v>13 CANTERBURY</v>
          </cell>
          <cell r="B907">
            <v>7</v>
          </cell>
          <cell r="C907">
            <v>2023</v>
          </cell>
          <cell r="D907">
            <v>384</v>
          </cell>
          <cell r="E907">
            <v>1120</v>
          </cell>
          <cell r="F907">
            <v>20.596568740999999</v>
          </cell>
          <cell r="G907">
            <v>174.21967068999999</v>
          </cell>
          <cell r="H907">
            <v>7.9753596038000003</v>
          </cell>
          <cell r="I907" t="str">
            <v>Local Bus</v>
          </cell>
          <cell r="J907" t="str">
            <v>2022/23</v>
          </cell>
        </row>
        <row r="908">
          <cell r="A908" t="str">
            <v>13 CANTERBURY</v>
          </cell>
          <cell r="B908">
            <v>7</v>
          </cell>
          <cell r="C908">
            <v>2028</v>
          </cell>
          <cell r="D908">
            <v>384</v>
          </cell>
          <cell r="E908">
            <v>1120</v>
          </cell>
          <cell r="F908">
            <v>20.902055278999999</v>
          </cell>
          <cell r="G908">
            <v>176.58415210000001</v>
          </cell>
          <cell r="H908">
            <v>8.0645476315</v>
          </cell>
          <cell r="I908" t="str">
            <v>Local Bus</v>
          </cell>
          <cell r="J908" t="str">
            <v>2027/28</v>
          </cell>
        </row>
        <row r="909">
          <cell r="A909" t="str">
            <v>13 CANTERBURY</v>
          </cell>
          <cell r="B909">
            <v>7</v>
          </cell>
          <cell r="C909">
            <v>2033</v>
          </cell>
          <cell r="D909">
            <v>384</v>
          </cell>
          <cell r="E909">
            <v>1120</v>
          </cell>
          <cell r="F909">
            <v>20.727711654</v>
          </cell>
          <cell r="G909">
            <v>174.93159184000001</v>
          </cell>
          <cell r="H909">
            <v>7.9786037935999996</v>
          </cell>
          <cell r="I909" t="str">
            <v>Local Bus</v>
          </cell>
          <cell r="J909" t="str">
            <v>2032/33</v>
          </cell>
        </row>
        <row r="910">
          <cell r="A910" t="str">
            <v>13 CANTERBURY</v>
          </cell>
          <cell r="B910">
            <v>7</v>
          </cell>
          <cell r="C910">
            <v>2038</v>
          </cell>
          <cell r="D910">
            <v>384</v>
          </cell>
          <cell r="E910">
            <v>1120</v>
          </cell>
          <cell r="F910">
            <v>20.543844931999999</v>
          </cell>
          <cell r="G910">
            <v>173.02374889999999</v>
          </cell>
          <cell r="H910">
            <v>7.8974170205999998</v>
          </cell>
          <cell r="I910" t="str">
            <v>Local Bus</v>
          </cell>
          <cell r="J910" t="str">
            <v>2037/38</v>
          </cell>
        </row>
        <row r="911">
          <cell r="A911" t="str">
            <v>13 CANTERBURY</v>
          </cell>
          <cell r="B911">
            <v>7</v>
          </cell>
          <cell r="C911">
            <v>2043</v>
          </cell>
          <cell r="D911">
            <v>384</v>
          </cell>
          <cell r="E911">
            <v>1120</v>
          </cell>
          <cell r="F911">
            <v>20.244408851999999</v>
          </cell>
          <cell r="G911">
            <v>170.2658198</v>
          </cell>
          <cell r="H911">
            <v>7.775002143</v>
          </cell>
          <cell r="I911" t="str">
            <v>Local Bus</v>
          </cell>
          <cell r="J911" t="str">
            <v>2042/43</v>
          </cell>
        </row>
        <row r="912">
          <cell r="A912" t="str">
            <v>13 CANTERBURY</v>
          </cell>
          <cell r="B912">
            <v>9</v>
          </cell>
          <cell r="C912">
            <v>2013</v>
          </cell>
          <cell r="D912">
            <v>31</v>
          </cell>
          <cell r="E912">
            <v>81</v>
          </cell>
          <cell r="F912">
            <v>1.5386198845000001</v>
          </cell>
          <cell r="G912">
            <v>0</v>
          </cell>
          <cell r="H912">
            <v>0.91635513570000005</v>
          </cell>
          <cell r="I912" t="str">
            <v>Other Household Travel</v>
          </cell>
          <cell r="J912" t="str">
            <v>2012/13</v>
          </cell>
        </row>
        <row r="913">
          <cell r="A913" t="str">
            <v>13 CANTERBURY</v>
          </cell>
          <cell r="B913">
            <v>9</v>
          </cell>
          <cell r="C913">
            <v>2018</v>
          </cell>
          <cell r="D913">
            <v>31</v>
          </cell>
          <cell r="E913">
            <v>81</v>
          </cell>
          <cell r="F913">
            <v>1.7047207485</v>
          </cell>
          <cell r="G913">
            <v>0</v>
          </cell>
          <cell r="H913">
            <v>0.98404620509999996</v>
          </cell>
          <cell r="I913" t="str">
            <v>Other Household Travel</v>
          </cell>
          <cell r="J913" t="str">
            <v>2017/18</v>
          </cell>
        </row>
        <row r="914">
          <cell r="A914" t="str">
            <v>13 CANTERBURY</v>
          </cell>
          <cell r="B914">
            <v>9</v>
          </cell>
          <cell r="C914">
            <v>2023</v>
          </cell>
          <cell r="D914">
            <v>31</v>
          </cell>
          <cell r="E914">
            <v>81</v>
          </cell>
          <cell r="F914">
            <v>1.8916172440000001</v>
          </cell>
          <cell r="G914">
            <v>0</v>
          </cell>
          <cell r="H914">
            <v>1.0626415189</v>
          </cell>
          <cell r="I914" t="str">
            <v>Other Household Travel</v>
          </cell>
          <cell r="J914" t="str">
            <v>2022/23</v>
          </cell>
        </row>
        <row r="915">
          <cell r="A915" t="str">
            <v>13 CANTERBURY</v>
          </cell>
          <cell r="B915">
            <v>9</v>
          </cell>
          <cell r="C915">
            <v>2028</v>
          </cell>
          <cell r="D915">
            <v>31</v>
          </cell>
          <cell r="E915">
            <v>81</v>
          </cell>
          <cell r="F915">
            <v>2.1390559548999999</v>
          </cell>
          <cell r="G915">
            <v>0</v>
          </cell>
          <cell r="H915">
            <v>1.1708354649999999</v>
          </cell>
          <cell r="I915" t="str">
            <v>Other Household Travel</v>
          </cell>
          <cell r="J915" t="str">
            <v>2027/28</v>
          </cell>
        </row>
        <row r="916">
          <cell r="A916" t="str">
            <v>13 CANTERBURY</v>
          </cell>
          <cell r="B916">
            <v>9</v>
          </cell>
          <cell r="C916">
            <v>2033</v>
          </cell>
          <cell r="D916">
            <v>31</v>
          </cell>
          <cell r="E916">
            <v>81</v>
          </cell>
          <cell r="F916">
            <v>2.3736169961</v>
          </cell>
          <cell r="G916">
            <v>0</v>
          </cell>
          <cell r="H916">
            <v>1.2606258533000001</v>
          </cell>
          <cell r="I916" t="str">
            <v>Other Household Travel</v>
          </cell>
          <cell r="J916" t="str">
            <v>2032/33</v>
          </cell>
        </row>
        <row r="917">
          <cell r="A917" t="str">
            <v>13 CANTERBURY</v>
          </cell>
          <cell r="B917">
            <v>9</v>
          </cell>
          <cell r="C917">
            <v>2038</v>
          </cell>
          <cell r="D917">
            <v>31</v>
          </cell>
          <cell r="E917">
            <v>81</v>
          </cell>
          <cell r="F917">
            <v>2.5985039106999999</v>
          </cell>
          <cell r="G917">
            <v>0</v>
          </cell>
          <cell r="H917">
            <v>1.3427392162</v>
          </cell>
          <cell r="I917" t="str">
            <v>Other Household Travel</v>
          </cell>
          <cell r="J917" t="str">
            <v>2037/38</v>
          </cell>
        </row>
        <row r="918">
          <cell r="A918" t="str">
            <v>13 CANTERBURY</v>
          </cell>
          <cell r="B918">
            <v>9</v>
          </cell>
          <cell r="C918">
            <v>2043</v>
          </cell>
          <cell r="D918">
            <v>31</v>
          </cell>
          <cell r="E918">
            <v>81</v>
          </cell>
          <cell r="F918">
            <v>2.8175543718</v>
          </cell>
          <cell r="G918">
            <v>0</v>
          </cell>
          <cell r="H918">
            <v>1.4202098962</v>
          </cell>
          <cell r="I918" t="str">
            <v>Other Household Travel</v>
          </cell>
          <cell r="J918" t="str">
            <v>2042/43</v>
          </cell>
        </row>
        <row r="919">
          <cell r="A919" t="str">
            <v>13 CANTERBURY</v>
          </cell>
          <cell r="B919">
            <v>10</v>
          </cell>
          <cell r="C919">
            <v>2013</v>
          </cell>
          <cell r="D919">
            <v>99</v>
          </cell>
          <cell r="E919">
            <v>124</v>
          </cell>
          <cell r="F919">
            <v>2.4822614922000001</v>
          </cell>
          <cell r="G919">
            <v>66.176348546</v>
          </cell>
          <cell r="H919">
            <v>3.9785271960999999</v>
          </cell>
          <cell r="I919" t="str">
            <v>Air/Non-Local PT</v>
          </cell>
          <cell r="J919" t="str">
            <v>2012/13</v>
          </cell>
        </row>
        <row r="920">
          <cell r="A920" t="str">
            <v>13 CANTERBURY</v>
          </cell>
          <cell r="B920">
            <v>10</v>
          </cell>
          <cell r="C920">
            <v>2018</v>
          </cell>
          <cell r="D920">
            <v>99</v>
          </cell>
          <cell r="E920">
            <v>124</v>
          </cell>
          <cell r="F920">
            <v>2.7763950482999999</v>
          </cell>
          <cell r="G920">
            <v>71.103550307000006</v>
          </cell>
          <cell r="H920">
            <v>4.5704752997</v>
          </cell>
          <cell r="I920" t="str">
            <v>Air/Non-Local PT</v>
          </cell>
          <cell r="J920" t="str">
            <v>2017/18</v>
          </cell>
        </row>
        <row r="921">
          <cell r="A921" t="str">
            <v>13 CANTERBURY</v>
          </cell>
          <cell r="B921">
            <v>10</v>
          </cell>
          <cell r="C921">
            <v>2023</v>
          </cell>
          <cell r="D921">
            <v>99</v>
          </cell>
          <cell r="E921">
            <v>124</v>
          </cell>
          <cell r="F921">
            <v>2.9152517161999998</v>
          </cell>
          <cell r="G921">
            <v>70.658913655999996</v>
          </cell>
          <cell r="H921">
            <v>4.8341272755000002</v>
          </cell>
          <cell r="I921" t="str">
            <v>Air/Non-Local PT</v>
          </cell>
          <cell r="J921" t="str">
            <v>2022/23</v>
          </cell>
        </row>
        <row r="922">
          <cell r="A922" t="str">
            <v>13 CANTERBURY</v>
          </cell>
          <cell r="B922">
            <v>10</v>
          </cell>
          <cell r="C922">
            <v>2028</v>
          </cell>
          <cell r="D922">
            <v>99</v>
          </cell>
          <cell r="E922">
            <v>124</v>
          </cell>
          <cell r="F922">
            <v>3.0771846700999999</v>
          </cell>
          <cell r="G922">
            <v>72.678436980000001</v>
          </cell>
          <cell r="H922">
            <v>5.1633212067000001</v>
          </cell>
          <cell r="I922" t="str">
            <v>Air/Non-Local PT</v>
          </cell>
          <cell r="J922" t="str">
            <v>2027/28</v>
          </cell>
        </row>
        <row r="923">
          <cell r="A923" t="str">
            <v>13 CANTERBURY</v>
          </cell>
          <cell r="B923">
            <v>10</v>
          </cell>
          <cell r="C923">
            <v>2033</v>
          </cell>
          <cell r="D923">
            <v>99</v>
          </cell>
          <cell r="E923">
            <v>124</v>
          </cell>
          <cell r="F923">
            <v>3.2270281395999998</v>
          </cell>
          <cell r="G923">
            <v>77.224413025000004</v>
          </cell>
          <cell r="H923">
            <v>5.4932379679999999</v>
          </cell>
          <cell r="I923" t="str">
            <v>Air/Non-Local PT</v>
          </cell>
          <cell r="J923" t="str">
            <v>2032/33</v>
          </cell>
        </row>
        <row r="924">
          <cell r="A924" t="str">
            <v>13 CANTERBURY</v>
          </cell>
          <cell r="B924">
            <v>10</v>
          </cell>
          <cell r="C924">
            <v>2038</v>
          </cell>
          <cell r="D924">
            <v>99</v>
          </cell>
          <cell r="E924">
            <v>124</v>
          </cell>
          <cell r="F924">
            <v>3.3146641267999999</v>
          </cell>
          <cell r="G924">
            <v>77.862751975999998</v>
          </cell>
          <cell r="H924">
            <v>5.6012936701999996</v>
          </cell>
          <cell r="I924" t="str">
            <v>Air/Non-Local PT</v>
          </cell>
          <cell r="J924" t="str">
            <v>2037/38</v>
          </cell>
        </row>
        <row r="925">
          <cell r="A925" t="str">
            <v>13 CANTERBURY</v>
          </cell>
          <cell r="B925">
            <v>10</v>
          </cell>
          <cell r="C925">
            <v>2043</v>
          </cell>
          <cell r="D925">
            <v>99</v>
          </cell>
          <cell r="E925">
            <v>124</v>
          </cell>
          <cell r="F925">
            <v>3.3876614032000001</v>
          </cell>
          <cell r="G925">
            <v>77.587367977</v>
          </cell>
          <cell r="H925">
            <v>5.6808696552000004</v>
          </cell>
          <cell r="I925" t="str">
            <v>Air/Non-Local PT</v>
          </cell>
          <cell r="J925" t="str">
            <v>2042/43</v>
          </cell>
        </row>
        <row r="926">
          <cell r="A926" t="str">
            <v>13 CANTERBURY</v>
          </cell>
          <cell r="B926">
            <v>11</v>
          </cell>
          <cell r="C926">
            <v>2013</v>
          </cell>
          <cell r="D926">
            <v>113</v>
          </cell>
          <cell r="E926">
            <v>551</v>
          </cell>
          <cell r="F926">
            <v>9.2459779483000002</v>
          </cell>
          <cell r="G926">
            <v>114.47945472000001</v>
          </cell>
          <cell r="H926">
            <v>3.3743770355999998</v>
          </cell>
          <cell r="I926" t="str">
            <v>Non-Household Travel</v>
          </cell>
          <cell r="J926" t="str">
            <v>2012/13</v>
          </cell>
        </row>
        <row r="927">
          <cell r="A927" t="str">
            <v>13 CANTERBURY</v>
          </cell>
          <cell r="B927">
            <v>11</v>
          </cell>
          <cell r="C927">
            <v>2018</v>
          </cell>
          <cell r="D927">
            <v>113</v>
          </cell>
          <cell r="E927">
            <v>551</v>
          </cell>
          <cell r="F927">
            <v>9.9690298085000002</v>
          </cell>
          <cell r="G927">
            <v>126.20786013999999</v>
          </cell>
          <cell r="H927">
            <v>3.7201628727</v>
          </cell>
          <cell r="I927" t="str">
            <v>Non-Household Travel</v>
          </cell>
          <cell r="J927" t="str">
            <v>2017/18</v>
          </cell>
        </row>
        <row r="928">
          <cell r="A928" t="str">
            <v>13 CANTERBURY</v>
          </cell>
          <cell r="B928">
            <v>11</v>
          </cell>
          <cell r="C928">
            <v>2023</v>
          </cell>
          <cell r="D928">
            <v>113</v>
          </cell>
          <cell r="E928">
            <v>551</v>
          </cell>
          <cell r="F928">
            <v>10.121657722</v>
          </cell>
          <cell r="G928">
            <v>130.85807643000001</v>
          </cell>
          <cell r="H928">
            <v>3.8539138186000002</v>
          </cell>
          <cell r="I928" t="str">
            <v>Non-Household Travel</v>
          </cell>
          <cell r="J928" t="str">
            <v>2022/23</v>
          </cell>
        </row>
        <row r="929">
          <cell r="A929" t="str">
            <v>13 CANTERBURY</v>
          </cell>
          <cell r="B929">
            <v>11</v>
          </cell>
          <cell r="C929">
            <v>2028</v>
          </cell>
          <cell r="D929">
            <v>113</v>
          </cell>
          <cell r="E929">
            <v>551</v>
          </cell>
          <cell r="F929">
            <v>10.30607936</v>
          </cell>
          <cell r="G929">
            <v>136.08889377</v>
          </cell>
          <cell r="H929">
            <v>4.0141886552999999</v>
          </cell>
          <cell r="I929" t="str">
            <v>Non-Household Travel</v>
          </cell>
          <cell r="J929" t="str">
            <v>2027/28</v>
          </cell>
        </row>
        <row r="930">
          <cell r="A930" t="str">
            <v>13 CANTERBURY</v>
          </cell>
          <cell r="B930">
            <v>11</v>
          </cell>
          <cell r="C930">
            <v>2033</v>
          </cell>
          <cell r="D930">
            <v>113</v>
          </cell>
          <cell r="E930">
            <v>551</v>
          </cell>
          <cell r="F930">
            <v>10.559256156</v>
          </cell>
          <cell r="G930">
            <v>140.45037400000001</v>
          </cell>
          <cell r="H930">
            <v>4.1711446855999998</v>
          </cell>
          <cell r="I930" t="str">
            <v>Non-Household Travel</v>
          </cell>
          <cell r="J930" t="str">
            <v>2032/33</v>
          </cell>
        </row>
        <row r="931">
          <cell r="A931" t="str">
            <v>13 CANTERBURY</v>
          </cell>
          <cell r="B931">
            <v>11</v>
          </cell>
          <cell r="C931">
            <v>2038</v>
          </cell>
          <cell r="D931">
            <v>113</v>
          </cell>
          <cell r="E931">
            <v>551</v>
          </cell>
          <cell r="F931">
            <v>10.823167106</v>
          </cell>
          <cell r="G931">
            <v>142.46623589999999</v>
          </cell>
          <cell r="H931">
            <v>4.2435211574</v>
          </cell>
          <cell r="I931" t="str">
            <v>Non-Household Travel</v>
          </cell>
          <cell r="J931" t="str">
            <v>2037/38</v>
          </cell>
        </row>
        <row r="932">
          <cell r="A932" t="str">
            <v>13 CANTERBURY</v>
          </cell>
          <cell r="B932">
            <v>11</v>
          </cell>
          <cell r="C932">
            <v>2043</v>
          </cell>
          <cell r="D932">
            <v>113</v>
          </cell>
          <cell r="E932">
            <v>551</v>
          </cell>
          <cell r="F932">
            <v>11.059037782000001</v>
          </cell>
          <cell r="G932">
            <v>143.97725073999999</v>
          </cell>
          <cell r="H932">
            <v>4.2998471986000002</v>
          </cell>
          <cell r="I932" t="str">
            <v>Non-Household Travel</v>
          </cell>
          <cell r="J932" t="str">
            <v>2042/43</v>
          </cell>
        </row>
        <row r="933">
          <cell r="A933" t="str">
            <v>14 OTAGO</v>
          </cell>
          <cell r="B933">
            <v>0</v>
          </cell>
          <cell r="C933">
            <v>2013</v>
          </cell>
          <cell r="D933">
            <v>545</v>
          </cell>
          <cell r="E933">
            <v>2150</v>
          </cell>
          <cell r="F933">
            <v>58.261736425999999</v>
          </cell>
          <cell r="G933">
            <v>45.829100335</v>
          </cell>
          <cell r="H933">
            <v>11.651603939999999</v>
          </cell>
          <cell r="I933" t="str">
            <v>Pedestrian</v>
          </cell>
          <cell r="J933" t="str">
            <v>2012/13</v>
          </cell>
        </row>
        <row r="934">
          <cell r="A934" t="str">
            <v>14 OTAGO</v>
          </cell>
          <cell r="B934">
            <v>0</v>
          </cell>
          <cell r="C934">
            <v>2018</v>
          </cell>
          <cell r="D934">
            <v>545</v>
          </cell>
          <cell r="E934">
            <v>2150</v>
          </cell>
          <cell r="F934">
            <v>58.980601516999997</v>
          </cell>
          <cell r="G934">
            <v>46.001728038000003</v>
          </cell>
          <cell r="H934">
            <v>11.869373707999999</v>
          </cell>
          <cell r="I934" t="str">
            <v>Pedestrian</v>
          </cell>
          <cell r="J934" t="str">
            <v>2017/18</v>
          </cell>
        </row>
        <row r="935">
          <cell r="A935" t="str">
            <v>14 OTAGO</v>
          </cell>
          <cell r="B935">
            <v>0</v>
          </cell>
          <cell r="C935">
            <v>2023</v>
          </cell>
          <cell r="D935">
            <v>545</v>
          </cell>
          <cell r="E935">
            <v>2150</v>
          </cell>
          <cell r="F935">
            <v>59.067989218000001</v>
          </cell>
          <cell r="G935">
            <v>45.761607402000003</v>
          </cell>
          <cell r="H935">
            <v>11.949516757</v>
          </cell>
          <cell r="I935" t="str">
            <v>Pedestrian</v>
          </cell>
          <cell r="J935" t="str">
            <v>2022/23</v>
          </cell>
        </row>
        <row r="936">
          <cell r="A936" t="str">
            <v>14 OTAGO</v>
          </cell>
          <cell r="B936">
            <v>0</v>
          </cell>
          <cell r="C936">
            <v>2028</v>
          </cell>
          <cell r="D936">
            <v>545</v>
          </cell>
          <cell r="E936">
            <v>2150</v>
          </cell>
          <cell r="F936">
            <v>59.793038952000003</v>
          </cell>
          <cell r="G936">
            <v>45.935165407</v>
          </cell>
          <cell r="H936">
            <v>12.11872022</v>
          </cell>
          <cell r="I936" t="str">
            <v>Pedestrian</v>
          </cell>
          <cell r="J936" t="str">
            <v>2027/28</v>
          </cell>
        </row>
        <row r="937">
          <cell r="A937" t="str">
            <v>14 OTAGO</v>
          </cell>
          <cell r="B937">
            <v>0</v>
          </cell>
          <cell r="C937">
            <v>2033</v>
          </cell>
          <cell r="D937">
            <v>545</v>
          </cell>
          <cell r="E937">
            <v>2150</v>
          </cell>
          <cell r="F937">
            <v>60.401300878000001</v>
          </cell>
          <cell r="G937">
            <v>45.95796223</v>
          </cell>
          <cell r="H937">
            <v>12.246982031</v>
          </cell>
          <cell r="I937" t="str">
            <v>Pedestrian</v>
          </cell>
          <cell r="J937" t="str">
            <v>2032/33</v>
          </cell>
        </row>
        <row r="938">
          <cell r="A938" t="str">
            <v>14 OTAGO</v>
          </cell>
          <cell r="B938">
            <v>0</v>
          </cell>
          <cell r="C938">
            <v>2038</v>
          </cell>
          <cell r="D938">
            <v>545</v>
          </cell>
          <cell r="E938">
            <v>2150</v>
          </cell>
          <cell r="F938">
            <v>60.166539196000002</v>
          </cell>
          <cell r="G938">
            <v>45.618197207999998</v>
          </cell>
          <cell r="H938">
            <v>12.259202138999999</v>
          </cell>
          <cell r="I938" t="str">
            <v>Pedestrian</v>
          </cell>
          <cell r="J938" t="str">
            <v>2037/38</v>
          </cell>
        </row>
        <row r="939">
          <cell r="A939" t="str">
            <v>14 OTAGO</v>
          </cell>
          <cell r="B939">
            <v>0</v>
          </cell>
          <cell r="C939">
            <v>2043</v>
          </cell>
          <cell r="D939">
            <v>545</v>
          </cell>
          <cell r="E939">
            <v>2150</v>
          </cell>
          <cell r="F939">
            <v>59.826633272000002</v>
          </cell>
          <cell r="G939">
            <v>45.222839481000001</v>
          </cell>
          <cell r="H939">
            <v>12.257815011</v>
          </cell>
          <cell r="I939" t="str">
            <v>Pedestrian</v>
          </cell>
          <cell r="J939" t="str">
            <v>2042/43</v>
          </cell>
        </row>
        <row r="940">
          <cell r="A940" t="str">
            <v>14 OTAGO</v>
          </cell>
          <cell r="B940">
            <v>1</v>
          </cell>
          <cell r="C940">
            <v>2013</v>
          </cell>
          <cell r="D940">
            <v>52</v>
          </cell>
          <cell r="E940">
            <v>151</v>
          </cell>
          <cell r="F940">
            <v>4.5847179276999999</v>
          </cell>
          <cell r="G940">
            <v>16.325352069000001</v>
          </cell>
          <cell r="H940">
            <v>1.6089304994</v>
          </cell>
          <cell r="I940" t="str">
            <v>Cyclist</v>
          </cell>
          <cell r="J940" t="str">
            <v>2012/13</v>
          </cell>
        </row>
        <row r="941">
          <cell r="A941" t="str">
            <v>14 OTAGO</v>
          </cell>
          <cell r="B941">
            <v>1</v>
          </cell>
          <cell r="C941">
            <v>2018</v>
          </cell>
          <cell r="D941">
            <v>52</v>
          </cell>
          <cell r="E941">
            <v>151</v>
          </cell>
          <cell r="F941">
            <v>4.7224126380999998</v>
          </cell>
          <cell r="G941">
            <v>17.897255758</v>
          </cell>
          <cell r="H941">
            <v>1.7306934026</v>
          </cell>
          <cell r="I941" t="str">
            <v>Cyclist</v>
          </cell>
          <cell r="J941" t="str">
            <v>2017/18</v>
          </cell>
        </row>
        <row r="942">
          <cell r="A942" t="str">
            <v>14 OTAGO</v>
          </cell>
          <cell r="B942">
            <v>1</v>
          </cell>
          <cell r="C942">
            <v>2023</v>
          </cell>
          <cell r="D942">
            <v>52</v>
          </cell>
          <cell r="E942">
            <v>151</v>
          </cell>
          <cell r="F942">
            <v>4.7374659691999996</v>
          </cell>
          <cell r="G942">
            <v>18.852491256</v>
          </cell>
          <cell r="H942">
            <v>1.7978921591999999</v>
          </cell>
          <cell r="I942" t="str">
            <v>Cyclist</v>
          </cell>
          <cell r="J942" t="str">
            <v>2022/23</v>
          </cell>
        </row>
        <row r="943">
          <cell r="A943" t="str">
            <v>14 OTAGO</v>
          </cell>
          <cell r="B943">
            <v>1</v>
          </cell>
          <cell r="C943">
            <v>2028</v>
          </cell>
          <cell r="D943">
            <v>52</v>
          </cell>
          <cell r="E943">
            <v>151</v>
          </cell>
          <cell r="F943">
            <v>4.6323708082000001</v>
          </cell>
          <cell r="G943">
            <v>19.271251419999999</v>
          </cell>
          <cell r="H943">
            <v>1.8072652897000001</v>
          </cell>
          <cell r="I943" t="str">
            <v>Cyclist</v>
          </cell>
          <cell r="J943" t="str">
            <v>2027/28</v>
          </cell>
        </row>
        <row r="944">
          <cell r="A944" t="str">
            <v>14 OTAGO</v>
          </cell>
          <cell r="B944">
            <v>1</v>
          </cell>
          <cell r="C944">
            <v>2033</v>
          </cell>
          <cell r="D944">
            <v>52</v>
          </cell>
          <cell r="E944">
            <v>151</v>
          </cell>
          <cell r="F944">
            <v>4.6058430689999996</v>
          </cell>
          <cell r="G944">
            <v>19.547776195000001</v>
          </cell>
          <cell r="H944">
            <v>1.8230672439</v>
          </cell>
          <cell r="I944" t="str">
            <v>Cyclist</v>
          </cell>
          <cell r="J944" t="str">
            <v>2032/33</v>
          </cell>
        </row>
        <row r="945">
          <cell r="A945" t="str">
            <v>14 OTAGO</v>
          </cell>
          <cell r="B945">
            <v>1</v>
          </cell>
          <cell r="C945">
            <v>2038</v>
          </cell>
          <cell r="D945">
            <v>52</v>
          </cell>
          <cell r="E945">
            <v>151</v>
          </cell>
          <cell r="F945">
            <v>4.6472943015999997</v>
          </cell>
          <cell r="G945">
            <v>19.948596792</v>
          </cell>
          <cell r="H945">
            <v>1.8643638678000001</v>
          </cell>
          <cell r="I945" t="str">
            <v>Cyclist</v>
          </cell>
          <cell r="J945" t="str">
            <v>2037/38</v>
          </cell>
        </row>
        <row r="946">
          <cell r="A946" t="str">
            <v>14 OTAGO</v>
          </cell>
          <cell r="B946">
            <v>1</v>
          </cell>
          <cell r="C946">
            <v>2043</v>
          </cell>
          <cell r="D946">
            <v>52</v>
          </cell>
          <cell r="E946">
            <v>151</v>
          </cell>
          <cell r="F946">
            <v>4.6714132283999996</v>
          </cell>
          <cell r="G946">
            <v>20.285144434999999</v>
          </cell>
          <cell r="H946">
            <v>1.9010399229999999</v>
          </cell>
          <cell r="I946" t="str">
            <v>Cyclist</v>
          </cell>
          <cell r="J946" t="str">
            <v>2042/43</v>
          </cell>
        </row>
        <row r="947">
          <cell r="A947" t="str">
            <v>14 OTAGO</v>
          </cell>
          <cell r="B947">
            <v>2</v>
          </cell>
          <cell r="C947">
            <v>2013</v>
          </cell>
          <cell r="D947">
            <v>734</v>
          </cell>
          <cell r="E947">
            <v>5488</v>
          </cell>
          <cell r="F947">
            <v>150.49144967999999</v>
          </cell>
          <cell r="G947">
            <v>1192.1699989000001</v>
          </cell>
          <cell r="H947">
            <v>32.522387277</v>
          </cell>
          <cell r="I947" t="str">
            <v>Light Vehicle Driver</v>
          </cell>
          <cell r="J947" t="str">
            <v>2012/13</v>
          </cell>
        </row>
        <row r="948">
          <cell r="A948" t="str">
            <v>14 OTAGO</v>
          </cell>
          <cell r="B948">
            <v>2</v>
          </cell>
          <cell r="C948">
            <v>2018</v>
          </cell>
          <cell r="D948">
            <v>734</v>
          </cell>
          <cell r="E948">
            <v>5488</v>
          </cell>
          <cell r="F948">
            <v>155.76117059000001</v>
          </cell>
          <cell r="G948">
            <v>1269.3984828</v>
          </cell>
          <cell r="H948">
            <v>34.226528285999997</v>
          </cell>
          <cell r="I948" t="str">
            <v>Light Vehicle Driver</v>
          </cell>
          <cell r="J948" t="str">
            <v>2017/18</v>
          </cell>
        </row>
        <row r="949">
          <cell r="A949" t="str">
            <v>14 OTAGO</v>
          </cell>
          <cell r="B949">
            <v>2</v>
          </cell>
          <cell r="C949">
            <v>2023</v>
          </cell>
          <cell r="D949">
            <v>734</v>
          </cell>
          <cell r="E949">
            <v>5488</v>
          </cell>
          <cell r="F949">
            <v>159.66543447000001</v>
          </cell>
          <cell r="G949">
            <v>1328.2172836</v>
          </cell>
          <cell r="H949">
            <v>35.484973881000002</v>
          </cell>
          <cell r="I949" t="str">
            <v>Light Vehicle Driver</v>
          </cell>
          <cell r="J949" t="str">
            <v>2022/23</v>
          </cell>
        </row>
        <row r="950">
          <cell r="A950" t="str">
            <v>14 OTAGO</v>
          </cell>
          <cell r="B950">
            <v>2</v>
          </cell>
          <cell r="C950">
            <v>2028</v>
          </cell>
          <cell r="D950">
            <v>734</v>
          </cell>
          <cell r="E950">
            <v>5488</v>
          </cell>
          <cell r="F950">
            <v>164.55229989</v>
          </cell>
          <cell r="G950">
            <v>1385.4128954</v>
          </cell>
          <cell r="H950">
            <v>36.825446634000002</v>
          </cell>
          <cell r="I950" t="str">
            <v>Light Vehicle Driver</v>
          </cell>
          <cell r="J950" t="str">
            <v>2027/28</v>
          </cell>
        </row>
        <row r="951">
          <cell r="A951" t="str">
            <v>14 OTAGO</v>
          </cell>
          <cell r="B951">
            <v>2</v>
          </cell>
          <cell r="C951">
            <v>2033</v>
          </cell>
          <cell r="D951">
            <v>734</v>
          </cell>
          <cell r="E951">
            <v>5488</v>
          </cell>
          <cell r="F951">
            <v>168.68247399000001</v>
          </cell>
          <cell r="G951">
            <v>1441.9992013999999</v>
          </cell>
          <cell r="H951">
            <v>38.056396661000001</v>
          </cell>
          <cell r="I951" t="str">
            <v>Light Vehicle Driver</v>
          </cell>
          <cell r="J951" t="str">
            <v>2032/33</v>
          </cell>
        </row>
        <row r="952">
          <cell r="A952" t="str">
            <v>14 OTAGO</v>
          </cell>
          <cell r="B952">
            <v>2</v>
          </cell>
          <cell r="C952">
            <v>2038</v>
          </cell>
          <cell r="D952">
            <v>734</v>
          </cell>
          <cell r="E952">
            <v>5488</v>
          </cell>
          <cell r="F952">
            <v>169.77477941000001</v>
          </cell>
          <cell r="G952">
            <v>1491.2338166</v>
          </cell>
          <cell r="H952">
            <v>38.872660947</v>
          </cell>
          <cell r="I952" t="str">
            <v>Light Vehicle Driver</v>
          </cell>
          <cell r="J952" t="str">
            <v>2037/38</v>
          </cell>
        </row>
        <row r="953">
          <cell r="A953" t="str">
            <v>14 OTAGO</v>
          </cell>
          <cell r="B953">
            <v>2</v>
          </cell>
          <cell r="C953">
            <v>2043</v>
          </cell>
          <cell r="D953">
            <v>734</v>
          </cell>
          <cell r="E953">
            <v>5488</v>
          </cell>
          <cell r="F953">
            <v>170.42068201999999</v>
          </cell>
          <cell r="G953">
            <v>1540.8847410000001</v>
          </cell>
          <cell r="H953">
            <v>39.623718298</v>
          </cell>
          <cell r="I953" t="str">
            <v>Light Vehicle Driver</v>
          </cell>
          <cell r="J953" t="str">
            <v>2042/43</v>
          </cell>
        </row>
        <row r="954">
          <cell r="A954" t="str">
            <v>14 OTAGO</v>
          </cell>
          <cell r="B954">
            <v>3</v>
          </cell>
          <cell r="C954">
            <v>2013</v>
          </cell>
          <cell r="D954">
            <v>543</v>
          </cell>
          <cell r="E954">
            <v>2595</v>
          </cell>
          <cell r="F954">
            <v>71.232164202000007</v>
          </cell>
          <cell r="G954">
            <v>849.31688999999994</v>
          </cell>
          <cell r="H954">
            <v>19.901766343999999</v>
          </cell>
          <cell r="I954" t="str">
            <v>Light Vehicle Passenger</v>
          </cell>
          <cell r="J954" t="str">
            <v>2012/13</v>
          </cell>
        </row>
        <row r="955">
          <cell r="A955" t="str">
            <v>14 OTAGO</v>
          </cell>
          <cell r="B955">
            <v>3</v>
          </cell>
          <cell r="C955">
            <v>2018</v>
          </cell>
          <cell r="D955">
            <v>543</v>
          </cell>
          <cell r="E955">
            <v>2595</v>
          </cell>
          <cell r="F955">
            <v>70.709647580999999</v>
          </cell>
          <cell r="G955">
            <v>869.31760354000005</v>
          </cell>
          <cell r="H955">
            <v>20.161454876000001</v>
          </cell>
          <cell r="I955" t="str">
            <v>Light Vehicle Passenger</v>
          </cell>
          <cell r="J955" t="str">
            <v>2017/18</v>
          </cell>
        </row>
        <row r="956">
          <cell r="A956" t="str">
            <v>14 OTAGO</v>
          </cell>
          <cell r="B956">
            <v>3</v>
          </cell>
          <cell r="C956">
            <v>2023</v>
          </cell>
          <cell r="D956">
            <v>543</v>
          </cell>
          <cell r="E956">
            <v>2595</v>
          </cell>
          <cell r="F956">
            <v>70.079933252000004</v>
          </cell>
          <cell r="G956">
            <v>877.38891477000004</v>
          </cell>
          <cell r="H956">
            <v>20.217603817000001</v>
          </cell>
          <cell r="I956" t="str">
            <v>Light Vehicle Passenger</v>
          </cell>
          <cell r="J956" t="str">
            <v>2022/23</v>
          </cell>
        </row>
        <row r="957">
          <cell r="A957" t="str">
            <v>14 OTAGO</v>
          </cell>
          <cell r="B957">
            <v>3</v>
          </cell>
          <cell r="C957">
            <v>2028</v>
          </cell>
          <cell r="D957">
            <v>543</v>
          </cell>
          <cell r="E957">
            <v>2595</v>
          </cell>
          <cell r="F957">
            <v>69.735588512999996</v>
          </cell>
          <cell r="G957">
            <v>899.08560800999999</v>
          </cell>
          <cell r="H957">
            <v>20.539123129</v>
          </cell>
          <cell r="I957" t="str">
            <v>Light Vehicle Passenger</v>
          </cell>
          <cell r="J957" t="str">
            <v>2027/28</v>
          </cell>
        </row>
        <row r="958">
          <cell r="A958" t="str">
            <v>14 OTAGO</v>
          </cell>
          <cell r="B958">
            <v>3</v>
          </cell>
          <cell r="C958">
            <v>2033</v>
          </cell>
          <cell r="D958">
            <v>543</v>
          </cell>
          <cell r="E958">
            <v>2595</v>
          </cell>
          <cell r="F958">
            <v>69.690397922000002</v>
          </cell>
          <cell r="G958">
            <v>906.58069427999999</v>
          </cell>
          <cell r="H958">
            <v>20.618900693000001</v>
          </cell>
          <cell r="I958" t="str">
            <v>Light Vehicle Passenger</v>
          </cell>
          <cell r="J958" t="str">
            <v>2032/33</v>
          </cell>
        </row>
        <row r="959">
          <cell r="A959" t="str">
            <v>14 OTAGO</v>
          </cell>
          <cell r="B959">
            <v>3</v>
          </cell>
          <cell r="C959">
            <v>2038</v>
          </cell>
          <cell r="D959">
            <v>543</v>
          </cell>
          <cell r="E959">
            <v>2595</v>
          </cell>
          <cell r="F959">
            <v>69.142697260000006</v>
          </cell>
          <cell r="G959">
            <v>915.95567274999996</v>
          </cell>
          <cell r="H959">
            <v>20.761563936000002</v>
          </cell>
          <cell r="I959" t="str">
            <v>Light Vehicle Passenger</v>
          </cell>
          <cell r="J959" t="str">
            <v>2037/38</v>
          </cell>
        </row>
        <row r="960">
          <cell r="A960" t="str">
            <v>14 OTAGO</v>
          </cell>
          <cell r="B960">
            <v>3</v>
          </cell>
          <cell r="C960">
            <v>2043</v>
          </cell>
          <cell r="D960">
            <v>543</v>
          </cell>
          <cell r="E960">
            <v>2595</v>
          </cell>
          <cell r="F960">
            <v>68.387910547999994</v>
          </cell>
          <cell r="G960">
            <v>922.47352473000001</v>
          </cell>
          <cell r="H960">
            <v>20.830138805000001</v>
          </cell>
          <cell r="I960" t="str">
            <v>Light Vehicle Passenger</v>
          </cell>
          <cell r="J960" t="str">
            <v>2042/43</v>
          </cell>
        </row>
        <row r="961">
          <cell r="A961" t="str">
            <v>14 OTAGO</v>
          </cell>
          <cell r="B961">
            <v>4</v>
          </cell>
          <cell r="C961">
            <v>2013</v>
          </cell>
          <cell r="D961">
            <v>21</v>
          </cell>
          <cell r="E961">
            <v>36</v>
          </cell>
          <cell r="F961">
            <v>0.85820748670000002</v>
          </cell>
          <cell r="G961">
            <v>7.2892681777000004</v>
          </cell>
          <cell r="H961">
            <v>0.23496676969999999</v>
          </cell>
          <cell r="J961" t="str">
            <v>2012/13</v>
          </cell>
        </row>
        <row r="962">
          <cell r="A962" t="str">
            <v>14 OTAGO</v>
          </cell>
          <cell r="B962">
            <v>4</v>
          </cell>
          <cell r="C962">
            <v>2018</v>
          </cell>
          <cell r="D962">
            <v>21</v>
          </cell>
          <cell r="E962">
            <v>36</v>
          </cell>
          <cell r="F962">
            <v>0.85490765729999996</v>
          </cell>
          <cell r="G962">
            <v>7.2358640941000001</v>
          </cell>
          <cell r="H962">
            <v>0.2353204072</v>
          </cell>
          <cell r="J962" t="str">
            <v>2017/18</v>
          </cell>
        </row>
        <row r="963">
          <cell r="A963" t="str">
            <v>14 OTAGO</v>
          </cell>
          <cell r="B963">
            <v>4</v>
          </cell>
          <cell r="C963">
            <v>2023</v>
          </cell>
          <cell r="D963">
            <v>21</v>
          </cell>
          <cell r="E963">
            <v>36</v>
          </cell>
          <cell r="F963">
            <v>0.83647690210000003</v>
          </cell>
          <cell r="G963">
            <v>7.2775217691999998</v>
          </cell>
          <cell r="H963">
            <v>0.2388372326</v>
          </cell>
          <cell r="J963" t="str">
            <v>2022/23</v>
          </cell>
        </row>
        <row r="964">
          <cell r="A964" t="str">
            <v>14 OTAGO</v>
          </cell>
          <cell r="B964">
            <v>4</v>
          </cell>
          <cell r="C964">
            <v>2028</v>
          </cell>
          <cell r="D964">
            <v>21</v>
          </cell>
          <cell r="E964">
            <v>36</v>
          </cell>
          <cell r="F964">
            <v>0.84931381549999996</v>
          </cell>
          <cell r="G964">
            <v>7.5606976450000003</v>
          </cell>
          <cell r="H964">
            <v>0.24939746339999999</v>
          </cell>
          <cell r="J964" t="str">
            <v>2027/28</v>
          </cell>
        </row>
        <row r="965">
          <cell r="A965" t="str">
            <v>14 OTAGO</v>
          </cell>
          <cell r="B965">
            <v>4</v>
          </cell>
          <cell r="C965">
            <v>2033</v>
          </cell>
          <cell r="D965">
            <v>21</v>
          </cell>
          <cell r="E965">
            <v>36</v>
          </cell>
          <cell r="F965">
            <v>0.87476323040000004</v>
          </cell>
          <cell r="G965">
            <v>7.9759218277999997</v>
          </cell>
          <cell r="H965">
            <v>0.26327321679999999</v>
          </cell>
          <cell r="J965" t="str">
            <v>2032/33</v>
          </cell>
        </row>
        <row r="966">
          <cell r="A966" t="str">
            <v>14 OTAGO</v>
          </cell>
          <cell r="B966">
            <v>4</v>
          </cell>
          <cell r="C966">
            <v>2038</v>
          </cell>
          <cell r="D966">
            <v>21</v>
          </cell>
          <cell r="E966">
            <v>36</v>
          </cell>
          <cell r="F966">
            <v>0.85805893929999999</v>
          </cell>
          <cell r="G966">
            <v>8.0632806699999993</v>
          </cell>
          <cell r="H966">
            <v>0.26686054999999997</v>
          </cell>
          <cell r="J966" t="str">
            <v>2037/38</v>
          </cell>
        </row>
        <row r="967">
          <cell r="A967" t="str">
            <v>14 OTAGO</v>
          </cell>
          <cell r="B967">
            <v>4</v>
          </cell>
          <cell r="C967">
            <v>2043</v>
          </cell>
          <cell r="D967">
            <v>21</v>
          </cell>
          <cell r="E967">
            <v>36</v>
          </cell>
          <cell r="F967">
            <v>0.84131340129999999</v>
          </cell>
          <cell r="G967">
            <v>8.1655936729</v>
          </cell>
          <cell r="H967">
            <v>0.27046917120000002</v>
          </cell>
          <cell r="J967" t="str">
            <v>2042/43</v>
          </cell>
        </row>
        <row r="968">
          <cell r="A968" t="str">
            <v>14 OTAGO</v>
          </cell>
          <cell r="B968">
            <v>5</v>
          </cell>
          <cell r="C968">
            <v>2013</v>
          </cell>
          <cell r="D968">
            <v>12</v>
          </cell>
          <cell r="E968">
            <v>57</v>
          </cell>
          <cell r="F968">
            <v>2.0937246197000001</v>
          </cell>
          <cell r="G968">
            <v>18.503357486999999</v>
          </cell>
          <cell r="H968">
            <v>0.42545310469999997</v>
          </cell>
          <cell r="I968" t="str">
            <v>Motorcyclist</v>
          </cell>
          <cell r="J968" t="str">
            <v>2012/13</v>
          </cell>
        </row>
        <row r="969">
          <cell r="A969" t="str">
            <v>14 OTAGO</v>
          </cell>
          <cell r="B969">
            <v>5</v>
          </cell>
          <cell r="C969">
            <v>2018</v>
          </cell>
          <cell r="D969">
            <v>12</v>
          </cell>
          <cell r="E969">
            <v>57</v>
          </cell>
          <cell r="F969">
            <v>2.1595813456999999</v>
          </cell>
          <cell r="G969">
            <v>20.229088187999999</v>
          </cell>
          <cell r="H969">
            <v>0.45298336030000003</v>
          </cell>
          <cell r="I969" t="str">
            <v>Motorcyclist</v>
          </cell>
          <cell r="J969" t="str">
            <v>2017/18</v>
          </cell>
        </row>
        <row r="970">
          <cell r="A970" t="str">
            <v>14 OTAGO</v>
          </cell>
          <cell r="B970">
            <v>5</v>
          </cell>
          <cell r="C970">
            <v>2023</v>
          </cell>
          <cell r="D970">
            <v>12</v>
          </cell>
          <cell r="E970">
            <v>57</v>
          </cell>
          <cell r="F970">
            <v>2.1329598157</v>
          </cell>
          <cell r="G970">
            <v>21.239075960000001</v>
          </cell>
          <cell r="H970">
            <v>0.46405251980000001</v>
          </cell>
          <cell r="I970" t="str">
            <v>Motorcyclist</v>
          </cell>
          <cell r="J970" t="str">
            <v>2022/23</v>
          </cell>
        </row>
        <row r="971">
          <cell r="A971" t="str">
            <v>14 OTAGO</v>
          </cell>
          <cell r="B971">
            <v>5</v>
          </cell>
          <cell r="C971">
            <v>2028</v>
          </cell>
          <cell r="D971">
            <v>12</v>
          </cell>
          <cell r="E971">
            <v>57</v>
          </cell>
          <cell r="F971">
            <v>2.0864375024999999</v>
          </cell>
          <cell r="G971">
            <v>22.336036694000001</v>
          </cell>
          <cell r="H971">
            <v>0.4755615836</v>
          </cell>
          <cell r="I971" t="str">
            <v>Motorcyclist</v>
          </cell>
          <cell r="J971" t="str">
            <v>2027/28</v>
          </cell>
        </row>
        <row r="972">
          <cell r="A972" t="str">
            <v>14 OTAGO</v>
          </cell>
          <cell r="B972">
            <v>5</v>
          </cell>
          <cell r="C972">
            <v>2033</v>
          </cell>
          <cell r="D972">
            <v>12</v>
          </cell>
          <cell r="E972">
            <v>57</v>
          </cell>
          <cell r="F972">
            <v>1.9785240113</v>
          </cell>
          <cell r="G972">
            <v>22.796132050000001</v>
          </cell>
          <cell r="H972">
            <v>0.4758286196</v>
          </cell>
          <cell r="I972" t="str">
            <v>Motorcyclist</v>
          </cell>
          <cell r="J972" t="str">
            <v>2032/33</v>
          </cell>
        </row>
        <row r="973">
          <cell r="A973" t="str">
            <v>14 OTAGO</v>
          </cell>
          <cell r="B973">
            <v>5</v>
          </cell>
          <cell r="C973">
            <v>2038</v>
          </cell>
          <cell r="D973">
            <v>12</v>
          </cell>
          <cell r="E973">
            <v>57</v>
          </cell>
          <cell r="F973">
            <v>1.8339902144</v>
          </cell>
          <cell r="G973">
            <v>22.479969472000001</v>
          </cell>
          <cell r="H973">
            <v>0.46332487360000002</v>
          </cell>
          <cell r="I973" t="str">
            <v>Motorcyclist</v>
          </cell>
          <cell r="J973" t="str">
            <v>2037/38</v>
          </cell>
        </row>
        <row r="974">
          <cell r="A974" t="str">
            <v>14 OTAGO</v>
          </cell>
          <cell r="B974">
            <v>5</v>
          </cell>
          <cell r="C974">
            <v>2043</v>
          </cell>
          <cell r="D974">
            <v>12</v>
          </cell>
          <cell r="E974">
            <v>57</v>
          </cell>
          <cell r="F974">
            <v>1.6859748844</v>
          </cell>
          <cell r="G974">
            <v>22.022195029999999</v>
          </cell>
          <cell r="H974">
            <v>0.44815206600000002</v>
          </cell>
          <cell r="I974" t="str">
            <v>Motorcyclist</v>
          </cell>
          <cell r="J974" t="str">
            <v>2042/43</v>
          </cell>
        </row>
        <row r="975">
          <cell r="A975" t="str">
            <v>14 OTAGO</v>
          </cell>
          <cell r="B975">
            <v>7</v>
          </cell>
          <cell r="C975">
            <v>2013</v>
          </cell>
          <cell r="D975">
            <v>70</v>
          </cell>
          <cell r="E975">
            <v>148</v>
          </cell>
          <cell r="F975">
            <v>4.2627057848999996</v>
          </cell>
          <cell r="G975">
            <v>27.157477096000001</v>
          </cell>
          <cell r="H975">
            <v>1.347401772</v>
          </cell>
          <cell r="I975" t="str">
            <v>Local Bus</v>
          </cell>
          <cell r="J975" t="str">
            <v>2012/13</v>
          </cell>
        </row>
        <row r="976">
          <cell r="A976" t="str">
            <v>14 OTAGO</v>
          </cell>
          <cell r="B976">
            <v>7</v>
          </cell>
          <cell r="C976">
            <v>2018</v>
          </cell>
          <cell r="D976">
            <v>70</v>
          </cell>
          <cell r="E976">
            <v>148</v>
          </cell>
          <cell r="F976">
            <v>4.0908786401999997</v>
          </cell>
          <cell r="G976">
            <v>26.89196798</v>
          </cell>
          <cell r="H976">
            <v>1.3025870008</v>
          </cell>
          <cell r="I976" t="str">
            <v>Local Bus</v>
          </cell>
          <cell r="J976" t="str">
            <v>2017/18</v>
          </cell>
        </row>
        <row r="977">
          <cell r="A977" t="str">
            <v>14 OTAGO</v>
          </cell>
          <cell r="B977">
            <v>7</v>
          </cell>
          <cell r="C977">
            <v>2023</v>
          </cell>
          <cell r="D977">
            <v>70</v>
          </cell>
          <cell r="E977">
            <v>148</v>
          </cell>
          <cell r="F977">
            <v>3.9445429821000002</v>
          </cell>
          <cell r="G977">
            <v>26.746666088000001</v>
          </cell>
          <cell r="H977">
            <v>1.268856065</v>
          </cell>
          <cell r="I977" t="str">
            <v>Local Bus</v>
          </cell>
          <cell r="J977" t="str">
            <v>2022/23</v>
          </cell>
        </row>
        <row r="978">
          <cell r="A978" t="str">
            <v>14 OTAGO</v>
          </cell>
          <cell r="B978">
            <v>7</v>
          </cell>
          <cell r="C978">
            <v>2028</v>
          </cell>
          <cell r="D978">
            <v>70</v>
          </cell>
          <cell r="E978">
            <v>148</v>
          </cell>
          <cell r="F978">
            <v>3.8454742006</v>
          </cell>
          <cell r="G978">
            <v>26.776148590999998</v>
          </cell>
          <cell r="H978">
            <v>1.2456658062999999</v>
          </cell>
          <cell r="I978" t="str">
            <v>Local Bus</v>
          </cell>
          <cell r="J978" t="str">
            <v>2027/28</v>
          </cell>
        </row>
        <row r="979">
          <cell r="A979" t="str">
            <v>14 OTAGO</v>
          </cell>
          <cell r="B979">
            <v>7</v>
          </cell>
          <cell r="C979">
            <v>2033</v>
          </cell>
          <cell r="D979">
            <v>70</v>
          </cell>
          <cell r="E979">
            <v>148</v>
          </cell>
          <cell r="F979">
            <v>3.7695295379</v>
          </cell>
          <cell r="G979">
            <v>26.642286701</v>
          </cell>
          <cell r="H979">
            <v>1.2238981595</v>
          </cell>
          <cell r="I979" t="str">
            <v>Local Bus</v>
          </cell>
          <cell r="J979" t="str">
            <v>2032/33</v>
          </cell>
        </row>
        <row r="980">
          <cell r="A980" t="str">
            <v>14 OTAGO</v>
          </cell>
          <cell r="B980">
            <v>7</v>
          </cell>
          <cell r="C980">
            <v>2038</v>
          </cell>
          <cell r="D980">
            <v>70</v>
          </cell>
          <cell r="E980">
            <v>148</v>
          </cell>
          <cell r="F980">
            <v>3.6017926560000002</v>
          </cell>
          <cell r="G980">
            <v>25.719305601999999</v>
          </cell>
          <cell r="H980">
            <v>1.1762128768</v>
          </cell>
          <cell r="I980" t="str">
            <v>Local Bus</v>
          </cell>
          <cell r="J980" t="str">
            <v>2037/38</v>
          </cell>
        </row>
        <row r="981">
          <cell r="A981" t="str">
            <v>14 OTAGO</v>
          </cell>
          <cell r="B981">
            <v>7</v>
          </cell>
          <cell r="C981">
            <v>2043</v>
          </cell>
          <cell r="D981">
            <v>70</v>
          </cell>
          <cell r="E981">
            <v>148</v>
          </cell>
          <cell r="F981">
            <v>3.4215779472999999</v>
          </cell>
          <cell r="G981">
            <v>24.686077663999999</v>
          </cell>
          <cell r="H981">
            <v>1.1244768152</v>
          </cell>
          <cell r="I981" t="str">
            <v>Local Bus</v>
          </cell>
          <cell r="J981" t="str">
            <v>2042/43</v>
          </cell>
        </row>
        <row r="982">
          <cell r="A982" t="str">
            <v>14 OTAGO</v>
          </cell>
          <cell r="B982">
            <v>9</v>
          </cell>
          <cell r="C982">
            <v>2013</v>
          </cell>
          <cell r="D982">
            <v>11</v>
          </cell>
          <cell r="E982">
            <v>38</v>
          </cell>
          <cell r="F982">
            <v>0.77539158779999995</v>
          </cell>
          <cell r="G982">
            <v>0</v>
          </cell>
          <cell r="H982">
            <v>0.25154479130000001</v>
          </cell>
          <cell r="I982" t="str">
            <v>Other Household Travel</v>
          </cell>
          <cell r="J982" t="str">
            <v>2012/13</v>
          </cell>
        </row>
        <row r="983">
          <cell r="A983" t="str">
            <v>14 OTAGO</v>
          </cell>
          <cell r="B983">
            <v>9</v>
          </cell>
          <cell r="C983">
            <v>2018</v>
          </cell>
          <cell r="D983">
            <v>11</v>
          </cell>
          <cell r="E983">
            <v>38</v>
          </cell>
          <cell r="F983">
            <v>0.80922005829999999</v>
          </cell>
          <cell r="G983">
            <v>0</v>
          </cell>
          <cell r="H983">
            <v>0.27249561500000002</v>
          </cell>
          <cell r="I983" t="str">
            <v>Other Household Travel</v>
          </cell>
          <cell r="J983" t="str">
            <v>2017/18</v>
          </cell>
        </row>
        <row r="984">
          <cell r="A984" t="str">
            <v>14 OTAGO</v>
          </cell>
          <cell r="B984">
            <v>9</v>
          </cell>
          <cell r="C984">
            <v>2023</v>
          </cell>
          <cell r="D984">
            <v>11</v>
          </cell>
          <cell r="E984">
            <v>38</v>
          </cell>
          <cell r="F984">
            <v>0.84320674070000001</v>
          </cell>
          <cell r="G984">
            <v>0</v>
          </cell>
          <cell r="H984">
            <v>0.29012877199999998</v>
          </cell>
          <cell r="I984" t="str">
            <v>Other Household Travel</v>
          </cell>
          <cell r="J984" t="str">
            <v>2022/23</v>
          </cell>
        </row>
        <row r="985">
          <cell r="A985" t="str">
            <v>14 OTAGO</v>
          </cell>
          <cell r="B985">
            <v>9</v>
          </cell>
          <cell r="C985">
            <v>2028</v>
          </cell>
          <cell r="D985">
            <v>11</v>
          </cell>
          <cell r="E985">
            <v>38</v>
          </cell>
          <cell r="F985">
            <v>0.8688361724</v>
          </cell>
          <cell r="G985">
            <v>0</v>
          </cell>
          <cell r="H985">
            <v>0.30289364460000001</v>
          </cell>
          <cell r="I985" t="str">
            <v>Other Household Travel</v>
          </cell>
          <cell r="J985" t="str">
            <v>2027/28</v>
          </cell>
        </row>
        <row r="986">
          <cell r="A986" t="str">
            <v>14 OTAGO</v>
          </cell>
          <cell r="B986">
            <v>9</v>
          </cell>
          <cell r="C986">
            <v>2033</v>
          </cell>
          <cell r="D986">
            <v>11</v>
          </cell>
          <cell r="E986">
            <v>38</v>
          </cell>
          <cell r="F986">
            <v>0.86867540580000002</v>
          </cell>
          <cell r="G986">
            <v>0</v>
          </cell>
          <cell r="H986">
            <v>0.3089069854</v>
          </cell>
          <cell r="I986" t="str">
            <v>Other Household Travel</v>
          </cell>
          <cell r="J986" t="str">
            <v>2032/33</v>
          </cell>
        </row>
        <row r="987">
          <cell r="A987" t="str">
            <v>14 OTAGO</v>
          </cell>
          <cell r="B987">
            <v>9</v>
          </cell>
          <cell r="C987">
            <v>2038</v>
          </cell>
          <cell r="D987">
            <v>11</v>
          </cell>
          <cell r="E987">
            <v>38</v>
          </cell>
          <cell r="F987">
            <v>0.85675198649999995</v>
          </cell>
          <cell r="G987">
            <v>0</v>
          </cell>
          <cell r="H987">
            <v>0.31460680070000002</v>
          </cell>
          <cell r="I987" t="str">
            <v>Other Household Travel</v>
          </cell>
          <cell r="J987" t="str">
            <v>2037/38</v>
          </cell>
        </row>
        <row r="988">
          <cell r="A988" t="str">
            <v>14 OTAGO</v>
          </cell>
          <cell r="B988">
            <v>9</v>
          </cell>
          <cell r="C988">
            <v>2043</v>
          </cell>
          <cell r="D988">
            <v>11</v>
          </cell>
          <cell r="E988">
            <v>38</v>
          </cell>
          <cell r="F988">
            <v>0.8440252452</v>
          </cell>
          <cell r="G988">
            <v>0</v>
          </cell>
          <cell r="H988">
            <v>0.32067638529999998</v>
          </cell>
          <cell r="I988" t="str">
            <v>Other Household Travel</v>
          </cell>
          <cell r="J988" t="str">
            <v>2042/43</v>
          </cell>
        </row>
        <row r="989">
          <cell r="A989" t="str">
            <v>14 OTAGO</v>
          </cell>
          <cell r="B989">
            <v>10</v>
          </cell>
          <cell r="C989">
            <v>2013</v>
          </cell>
          <cell r="D989">
            <v>12</v>
          </cell>
          <cell r="E989">
            <v>16</v>
          </cell>
          <cell r="F989">
            <v>0.45393948140000001</v>
          </cell>
          <cell r="G989">
            <v>32.668222239000002</v>
          </cell>
          <cell r="H989">
            <v>1.0816055304000001</v>
          </cell>
          <cell r="I989" t="str">
            <v>Air/Non-Local PT</v>
          </cell>
          <cell r="J989" t="str">
            <v>2012/13</v>
          </cell>
        </row>
        <row r="990">
          <cell r="A990" t="str">
            <v>14 OTAGO</v>
          </cell>
          <cell r="B990">
            <v>10</v>
          </cell>
          <cell r="C990">
            <v>2018</v>
          </cell>
          <cell r="D990">
            <v>12</v>
          </cell>
          <cell r="E990">
            <v>16</v>
          </cell>
          <cell r="F990">
            <v>0.51481890789999996</v>
          </cell>
          <cell r="G990">
            <v>37.135333521</v>
          </cell>
          <cell r="H990">
            <v>1.2116536280000001</v>
          </cell>
          <cell r="I990" t="str">
            <v>Air/Non-Local PT</v>
          </cell>
          <cell r="J990" t="str">
            <v>2017/18</v>
          </cell>
        </row>
        <row r="991">
          <cell r="A991" t="str">
            <v>14 OTAGO</v>
          </cell>
          <cell r="B991">
            <v>10</v>
          </cell>
          <cell r="C991">
            <v>2023</v>
          </cell>
          <cell r="D991">
            <v>12</v>
          </cell>
          <cell r="E991">
            <v>16</v>
          </cell>
          <cell r="F991">
            <v>0.56737892000000001</v>
          </cell>
          <cell r="G991">
            <v>40.155415099999999</v>
          </cell>
          <cell r="H991">
            <v>1.3120354104</v>
          </cell>
          <cell r="I991" t="str">
            <v>Air/Non-Local PT</v>
          </cell>
          <cell r="J991" t="str">
            <v>2022/23</v>
          </cell>
        </row>
        <row r="992">
          <cell r="A992" t="str">
            <v>14 OTAGO</v>
          </cell>
          <cell r="B992">
            <v>10</v>
          </cell>
          <cell r="C992">
            <v>2028</v>
          </cell>
          <cell r="D992">
            <v>12</v>
          </cell>
          <cell r="E992">
            <v>16</v>
          </cell>
          <cell r="F992">
            <v>0.61294909050000002</v>
          </cell>
          <cell r="G992">
            <v>42.179661807999999</v>
          </cell>
          <cell r="H992">
            <v>1.3977257214000001</v>
          </cell>
          <cell r="I992" t="str">
            <v>Air/Non-Local PT</v>
          </cell>
          <cell r="J992" t="str">
            <v>2027/28</v>
          </cell>
        </row>
        <row r="993">
          <cell r="A993" t="str">
            <v>14 OTAGO</v>
          </cell>
          <cell r="B993">
            <v>10</v>
          </cell>
          <cell r="C993">
            <v>2033</v>
          </cell>
          <cell r="D993">
            <v>12</v>
          </cell>
          <cell r="E993">
            <v>16</v>
          </cell>
          <cell r="F993">
            <v>0.6546969493</v>
          </cell>
          <cell r="G993">
            <v>44.053987640999999</v>
          </cell>
          <cell r="H993">
            <v>1.4866228816</v>
          </cell>
          <cell r="I993" t="str">
            <v>Air/Non-Local PT</v>
          </cell>
          <cell r="J993" t="str">
            <v>2032/33</v>
          </cell>
        </row>
        <row r="994">
          <cell r="A994" t="str">
            <v>14 OTAGO</v>
          </cell>
          <cell r="B994">
            <v>10</v>
          </cell>
          <cell r="C994">
            <v>2038</v>
          </cell>
          <cell r="D994">
            <v>12</v>
          </cell>
          <cell r="E994">
            <v>16</v>
          </cell>
          <cell r="F994">
            <v>0.68676869409999997</v>
          </cell>
          <cell r="G994">
            <v>44.855706630999997</v>
          </cell>
          <cell r="H994">
            <v>1.5370444526</v>
          </cell>
          <cell r="I994" t="str">
            <v>Air/Non-Local PT</v>
          </cell>
          <cell r="J994" t="str">
            <v>2037/38</v>
          </cell>
        </row>
        <row r="995">
          <cell r="A995" t="str">
            <v>14 OTAGO</v>
          </cell>
          <cell r="B995">
            <v>10</v>
          </cell>
          <cell r="C995">
            <v>2043</v>
          </cell>
          <cell r="D995">
            <v>12</v>
          </cell>
          <cell r="E995">
            <v>16</v>
          </cell>
          <cell r="F995">
            <v>0.71662801200000004</v>
          </cell>
          <cell r="G995">
            <v>45.291767348999997</v>
          </cell>
          <cell r="H995">
            <v>1.5802622340000001</v>
          </cell>
          <cell r="I995" t="str">
            <v>Air/Non-Local PT</v>
          </cell>
          <cell r="J995" t="str">
            <v>2042/43</v>
          </cell>
        </row>
        <row r="996">
          <cell r="A996" t="str">
            <v>14 OTAGO</v>
          </cell>
          <cell r="B996">
            <v>11</v>
          </cell>
          <cell r="C996">
            <v>2013</v>
          </cell>
          <cell r="D996">
            <v>8</v>
          </cell>
          <cell r="E996">
            <v>23</v>
          </cell>
          <cell r="F996">
            <v>0.69501361849999999</v>
          </cell>
          <cell r="G996">
            <v>6.1172965614999999</v>
          </cell>
          <cell r="H996">
            <v>0.18529166999999999</v>
          </cell>
          <cell r="I996" t="str">
            <v>Non-Household Travel</v>
          </cell>
          <cell r="J996" t="str">
            <v>2012/13</v>
          </cell>
        </row>
        <row r="997">
          <cell r="A997" t="str">
            <v>14 OTAGO</v>
          </cell>
          <cell r="B997">
            <v>11</v>
          </cell>
          <cell r="C997">
            <v>2018</v>
          </cell>
          <cell r="D997">
            <v>8</v>
          </cell>
          <cell r="E997">
            <v>23</v>
          </cell>
          <cell r="F997">
            <v>0.78664819730000002</v>
          </cell>
          <cell r="G997">
            <v>7.3837697751000002</v>
          </cell>
          <cell r="H997">
            <v>0.22132746810000001</v>
          </cell>
          <cell r="I997" t="str">
            <v>Non-Household Travel</v>
          </cell>
          <cell r="J997" t="str">
            <v>2017/18</v>
          </cell>
        </row>
        <row r="998">
          <cell r="A998" t="str">
            <v>14 OTAGO</v>
          </cell>
          <cell r="B998">
            <v>11</v>
          </cell>
          <cell r="C998">
            <v>2023</v>
          </cell>
          <cell r="D998">
            <v>8</v>
          </cell>
          <cell r="E998">
            <v>23</v>
          </cell>
          <cell r="F998">
            <v>0.88920484850000003</v>
          </cell>
          <cell r="G998">
            <v>8.5738621421999994</v>
          </cell>
          <cell r="H998">
            <v>0.25697993679999998</v>
          </cell>
          <cell r="I998" t="str">
            <v>Non-Household Travel</v>
          </cell>
          <cell r="J998" t="str">
            <v>2022/23</v>
          </cell>
        </row>
        <row r="999">
          <cell r="A999" t="str">
            <v>14 OTAGO</v>
          </cell>
          <cell r="B999">
            <v>11</v>
          </cell>
          <cell r="C999">
            <v>2028</v>
          </cell>
          <cell r="D999">
            <v>8</v>
          </cell>
          <cell r="E999">
            <v>23</v>
          </cell>
          <cell r="F999">
            <v>1.0339665969</v>
          </cell>
          <cell r="G999">
            <v>9.7835442191999995</v>
          </cell>
          <cell r="H999">
            <v>0.2989814066</v>
          </cell>
          <cell r="I999" t="str">
            <v>Non-Household Travel</v>
          </cell>
          <cell r="J999" t="str">
            <v>2027/28</v>
          </cell>
        </row>
        <row r="1000">
          <cell r="A1000" t="str">
            <v>14 OTAGO</v>
          </cell>
          <cell r="B1000">
            <v>11</v>
          </cell>
          <cell r="C1000">
            <v>2033</v>
          </cell>
          <cell r="D1000">
            <v>8</v>
          </cell>
          <cell r="E1000">
            <v>23</v>
          </cell>
          <cell r="F1000">
            <v>1.1399694176999999</v>
          </cell>
          <cell r="G1000">
            <v>10.45409879</v>
          </cell>
          <cell r="H1000">
            <v>0.32789044449999999</v>
          </cell>
          <cell r="I1000" t="str">
            <v>Non-Household Travel</v>
          </cell>
          <cell r="J1000" t="str">
            <v>2032/33</v>
          </cell>
        </row>
        <row r="1001">
          <cell r="A1001" t="str">
            <v>14 OTAGO</v>
          </cell>
          <cell r="B1001">
            <v>11</v>
          </cell>
          <cell r="C1001">
            <v>2038</v>
          </cell>
          <cell r="D1001">
            <v>8</v>
          </cell>
          <cell r="E1001">
            <v>23</v>
          </cell>
          <cell r="F1001">
            <v>1.1937866888999999</v>
          </cell>
          <cell r="G1001">
            <v>10.773838673</v>
          </cell>
          <cell r="H1001">
            <v>0.34364379439999998</v>
          </cell>
          <cell r="I1001" t="str">
            <v>Non-Household Travel</v>
          </cell>
          <cell r="J1001" t="str">
            <v>2037/38</v>
          </cell>
        </row>
        <row r="1002">
          <cell r="A1002" t="str">
            <v>14 OTAGO</v>
          </cell>
          <cell r="B1002">
            <v>11</v>
          </cell>
          <cell r="C1002">
            <v>2043</v>
          </cell>
          <cell r="D1002">
            <v>8</v>
          </cell>
          <cell r="E1002">
            <v>23</v>
          </cell>
          <cell r="F1002">
            <v>1.2576649803</v>
          </cell>
          <cell r="G1002">
            <v>11.101229568999999</v>
          </cell>
          <cell r="H1002">
            <v>0.3612151341</v>
          </cell>
          <cell r="I1002" t="str">
            <v>Non-Household Travel</v>
          </cell>
          <cell r="J1002" t="str">
            <v>2042/43</v>
          </cell>
        </row>
        <row r="1003">
          <cell r="A1003" t="str">
            <v>15 SOUTHLAND</v>
          </cell>
          <cell r="B1003">
            <v>0</v>
          </cell>
          <cell r="C1003">
            <v>2013</v>
          </cell>
          <cell r="D1003">
            <v>180</v>
          </cell>
          <cell r="E1003">
            <v>617</v>
          </cell>
          <cell r="F1003">
            <v>12.52065131</v>
          </cell>
          <cell r="G1003">
            <v>8.8466785109000003</v>
          </cell>
          <cell r="H1003">
            <v>2.2528617661000001</v>
          </cell>
          <cell r="I1003" t="str">
            <v>Pedestrian</v>
          </cell>
          <cell r="J1003" t="str">
            <v>2012/13</v>
          </cell>
        </row>
        <row r="1004">
          <cell r="A1004" t="str">
            <v>15 SOUTHLAND</v>
          </cell>
          <cell r="B1004">
            <v>0</v>
          </cell>
          <cell r="C1004">
            <v>2018</v>
          </cell>
          <cell r="D1004">
            <v>180</v>
          </cell>
          <cell r="E1004">
            <v>617</v>
          </cell>
          <cell r="F1004">
            <v>12.785017452</v>
          </cell>
          <cell r="G1004">
            <v>9.0768356375000003</v>
          </cell>
          <cell r="H1004">
            <v>2.3099048944999998</v>
          </cell>
          <cell r="I1004" t="str">
            <v>Pedestrian</v>
          </cell>
          <cell r="J1004" t="str">
            <v>2017/18</v>
          </cell>
        </row>
        <row r="1005">
          <cell r="A1005" t="str">
            <v>15 SOUTHLAND</v>
          </cell>
          <cell r="B1005">
            <v>0</v>
          </cell>
          <cell r="C1005">
            <v>2023</v>
          </cell>
          <cell r="D1005">
            <v>180</v>
          </cell>
          <cell r="E1005">
            <v>617</v>
          </cell>
          <cell r="F1005">
            <v>12.904021147</v>
          </cell>
          <cell r="G1005">
            <v>9.1731655010999997</v>
          </cell>
          <cell r="H1005">
            <v>2.3308286669</v>
          </cell>
          <cell r="I1005" t="str">
            <v>Pedestrian</v>
          </cell>
          <cell r="J1005" t="str">
            <v>2022/23</v>
          </cell>
        </row>
        <row r="1006">
          <cell r="A1006" t="str">
            <v>15 SOUTHLAND</v>
          </cell>
          <cell r="B1006">
            <v>0</v>
          </cell>
          <cell r="C1006">
            <v>2028</v>
          </cell>
          <cell r="D1006">
            <v>180</v>
          </cell>
          <cell r="E1006">
            <v>617</v>
          </cell>
          <cell r="F1006">
            <v>13.124469397</v>
          </cell>
          <cell r="G1006">
            <v>9.3761854544999998</v>
          </cell>
          <cell r="H1006">
            <v>2.3652563046999999</v>
          </cell>
          <cell r="I1006" t="str">
            <v>Pedestrian</v>
          </cell>
          <cell r="J1006" t="str">
            <v>2027/28</v>
          </cell>
        </row>
        <row r="1007">
          <cell r="A1007" t="str">
            <v>15 SOUTHLAND</v>
          </cell>
          <cell r="B1007">
            <v>0</v>
          </cell>
          <cell r="C1007">
            <v>2033</v>
          </cell>
          <cell r="D1007">
            <v>180</v>
          </cell>
          <cell r="E1007">
            <v>617</v>
          </cell>
          <cell r="F1007">
            <v>13.147560262000001</v>
          </cell>
          <cell r="G1007">
            <v>9.3743542585000004</v>
          </cell>
          <cell r="H1007">
            <v>2.3688236627000001</v>
          </cell>
          <cell r="I1007" t="str">
            <v>Pedestrian</v>
          </cell>
          <cell r="J1007" t="str">
            <v>2032/33</v>
          </cell>
        </row>
        <row r="1008">
          <cell r="A1008" t="str">
            <v>15 SOUTHLAND</v>
          </cell>
          <cell r="B1008">
            <v>0</v>
          </cell>
          <cell r="C1008">
            <v>2038</v>
          </cell>
          <cell r="D1008">
            <v>180</v>
          </cell>
          <cell r="E1008">
            <v>617</v>
          </cell>
          <cell r="F1008">
            <v>13.02233861</v>
          </cell>
          <cell r="G1008">
            <v>9.3616090568000008</v>
          </cell>
          <cell r="H1008">
            <v>2.3568019641000002</v>
          </cell>
          <cell r="I1008" t="str">
            <v>Pedestrian</v>
          </cell>
          <cell r="J1008" t="str">
            <v>2037/38</v>
          </cell>
        </row>
        <row r="1009">
          <cell r="A1009" t="str">
            <v>15 SOUTHLAND</v>
          </cell>
          <cell r="B1009">
            <v>0</v>
          </cell>
          <cell r="C1009">
            <v>2043</v>
          </cell>
          <cell r="D1009">
            <v>180</v>
          </cell>
          <cell r="E1009">
            <v>617</v>
          </cell>
          <cell r="F1009">
            <v>12.819824722</v>
          </cell>
          <cell r="G1009">
            <v>9.2714577141000003</v>
          </cell>
          <cell r="H1009">
            <v>2.3254653783000001</v>
          </cell>
          <cell r="I1009" t="str">
            <v>Pedestrian</v>
          </cell>
          <cell r="J1009" t="str">
            <v>2042/43</v>
          </cell>
        </row>
        <row r="1010">
          <cell r="A1010" t="str">
            <v>15 SOUTHLAND</v>
          </cell>
          <cell r="B1010">
            <v>1</v>
          </cell>
          <cell r="C1010">
            <v>2013</v>
          </cell>
          <cell r="D1010">
            <v>19</v>
          </cell>
          <cell r="E1010">
            <v>72</v>
          </cell>
          <cell r="F1010">
            <v>1.0312878256</v>
          </cell>
          <cell r="G1010">
            <v>7.5402861329000004</v>
          </cell>
          <cell r="H1010">
            <v>0.50294231479999996</v>
          </cell>
          <cell r="I1010" t="str">
            <v>Cyclist</v>
          </cell>
          <cell r="J1010" t="str">
            <v>2012/13</v>
          </cell>
        </row>
        <row r="1011">
          <cell r="A1011" t="str">
            <v>15 SOUTHLAND</v>
          </cell>
          <cell r="B1011">
            <v>1</v>
          </cell>
          <cell r="C1011">
            <v>2018</v>
          </cell>
          <cell r="D1011">
            <v>19</v>
          </cell>
          <cell r="E1011">
            <v>72</v>
          </cell>
          <cell r="F1011">
            <v>1.0778693742000001</v>
          </cell>
          <cell r="G1011">
            <v>8.3561988314000004</v>
          </cell>
          <cell r="H1011">
            <v>0.54808515440000005</v>
          </cell>
          <cell r="I1011" t="str">
            <v>Cyclist</v>
          </cell>
          <cell r="J1011" t="str">
            <v>2017/18</v>
          </cell>
        </row>
        <row r="1012">
          <cell r="A1012" t="str">
            <v>15 SOUTHLAND</v>
          </cell>
          <cell r="B1012">
            <v>1</v>
          </cell>
          <cell r="C1012">
            <v>2023</v>
          </cell>
          <cell r="D1012">
            <v>19</v>
          </cell>
          <cell r="E1012">
            <v>72</v>
          </cell>
          <cell r="F1012">
            <v>1.0779283877000001</v>
          </cell>
          <cell r="G1012">
            <v>8.5714201772000003</v>
          </cell>
          <cell r="H1012">
            <v>0.56052972710000004</v>
          </cell>
          <cell r="I1012" t="str">
            <v>Cyclist</v>
          </cell>
          <cell r="J1012" t="str">
            <v>2022/23</v>
          </cell>
        </row>
        <row r="1013">
          <cell r="A1013" t="str">
            <v>15 SOUTHLAND</v>
          </cell>
          <cell r="B1013">
            <v>1</v>
          </cell>
          <cell r="C1013">
            <v>2028</v>
          </cell>
          <cell r="D1013">
            <v>19</v>
          </cell>
          <cell r="E1013">
            <v>72</v>
          </cell>
          <cell r="F1013">
            <v>1.079707594</v>
          </cell>
          <cell r="G1013">
            <v>8.2099335884000002</v>
          </cell>
          <cell r="H1013">
            <v>0.5441730709</v>
          </cell>
          <cell r="I1013" t="str">
            <v>Cyclist</v>
          </cell>
          <cell r="J1013" t="str">
            <v>2027/28</v>
          </cell>
        </row>
        <row r="1014">
          <cell r="A1014" t="str">
            <v>15 SOUTHLAND</v>
          </cell>
          <cell r="B1014">
            <v>1</v>
          </cell>
          <cell r="C1014">
            <v>2033</v>
          </cell>
          <cell r="D1014">
            <v>19</v>
          </cell>
          <cell r="E1014">
            <v>72</v>
          </cell>
          <cell r="F1014">
            <v>1.0854158451</v>
          </cell>
          <cell r="G1014">
            <v>8.0006895006000001</v>
          </cell>
          <cell r="H1014">
            <v>0.53186193349999999</v>
          </cell>
          <cell r="I1014" t="str">
            <v>Cyclist</v>
          </cell>
          <cell r="J1014" t="str">
            <v>2032/33</v>
          </cell>
        </row>
        <row r="1015">
          <cell r="A1015" t="str">
            <v>15 SOUTHLAND</v>
          </cell>
          <cell r="B1015">
            <v>1</v>
          </cell>
          <cell r="C1015">
            <v>2038</v>
          </cell>
          <cell r="D1015">
            <v>19</v>
          </cell>
          <cell r="E1015">
            <v>72</v>
          </cell>
          <cell r="F1015">
            <v>1.0426914031000001</v>
          </cell>
          <cell r="G1015">
            <v>7.8807868372999996</v>
          </cell>
          <cell r="H1015">
            <v>0.51604387309999999</v>
          </cell>
          <cell r="I1015" t="str">
            <v>Cyclist</v>
          </cell>
          <cell r="J1015" t="str">
            <v>2037/38</v>
          </cell>
        </row>
        <row r="1016">
          <cell r="A1016" t="str">
            <v>15 SOUTHLAND</v>
          </cell>
          <cell r="B1016">
            <v>1</v>
          </cell>
          <cell r="C1016">
            <v>2043</v>
          </cell>
          <cell r="D1016">
            <v>19</v>
          </cell>
          <cell r="E1016">
            <v>72</v>
          </cell>
          <cell r="F1016">
            <v>0.99337122639999997</v>
          </cell>
          <cell r="G1016">
            <v>7.7117394051000003</v>
          </cell>
          <cell r="H1016">
            <v>0.49769841500000001</v>
          </cell>
          <cell r="I1016" t="str">
            <v>Cyclist</v>
          </cell>
          <cell r="J1016" t="str">
            <v>2042/43</v>
          </cell>
        </row>
        <row r="1017">
          <cell r="A1017" t="str">
            <v>15 SOUTHLAND</v>
          </cell>
          <cell r="B1017">
            <v>2</v>
          </cell>
          <cell r="C1017">
            <v>2013</v>
          </cell>
          <cell r="D1017">
            <v>442</v>
          </cell>
          <cell r="E1017">
            <v>3080</v>
          </cell>
          <cell r="F1017">
            <v>66.981547285000005</v>
          </cell>
          <cell r="G1017">
            <v>657.74873722999996</v>
          </cell>
          <cell r="H1017">
            <v>14.603785903</v>
          </cell>
          <cell r="I1017" t="str">
            <v>Light Vehicle Driver</v>
          </cell>
          <cell r="J1017" t="str">
            <v>2012/13</v>
          </cell>
        </row>
        <row r="1018">
          <cell r="A1018" t="str">
            <v>15 SOUTHLAND</v>
          </cell>
          <cell r="B1018">
            <v>2</v>
          </cell>
          <cell r="C1018">
            <v>2018</v>
          </cell>
          <cell r="D1018">
            <v>442</v>
          </cell>
          <cell r="E1018">
            <v>3080</v>
          </cell>
          <cell r="F1018">
            <v>70.869768739999998</v>
          </cell>
          <cell r="G1018">
            <v>716.16525173000002</v>
          </cell>
          <cell r="H1018">
            <v>15.764158567999999</v>
          </cell>
          <cell r="I1018" t="str">
            <v>Light Vehicle Driver</v>
          </cell>
          <cell r="J1018" t="str">
            <v>2017/18</v>
          </cell>
        </row>
        <row r="1019">
          <cell r="A1019" t="str">
            <v>15 SOUTHLAND</v>
          </cell>
          <cell r="B1019">
            <v>2</v>
          </cell>
          <cell r="C1019">
            <v>2023</v>
          </cell>
          <cell r="D1019">
            <v>442</v>
          </cell>
          <cell r="E1019">
            <v>3080</v>
          </cell>
          <cell r="F1019">
            <v>72.332040285999994</v>
          </cell>
          <cell r="G1019">
            <v>749.93360002999998</v>
          </cell>
          <cell r="H1019">
            <v>16.367179683</v>
          </cell>
          <cell r="I1019" t="str">
            <v>Light Vehicle Driver</v>
          </cell>
          <cell r="J1019" t="str">
            <v>2022/23</v>
          </cell>
        </row>
        <row r="1020">
          <cell r="A1020" t="str">
            <v>15 SOUTHLAND</v>
          </cell>
          <cell r="B1020">
            <v>2</v>
          </cell>
          <cell r="C1020">
            <v>2028</v>
          </cell>
          <cell r="D1020">
            <v>442</v>
          </cell>
          <cell r="E1020">
            <v>3080</v>
          </cell>
          <cell r="F1020">
            <v>72.539831293000006</v>
          </cell>
          <cell r="G1020">
            <v>768.89111684</v>
          </cell>
          <cell r="H1020">
            <v>16.642924782000001</v>
          </cell>
          <cell r="I1020" t="str">
            <v>Light Vehicle Driver</v>
          </cell>
          <cell r="J1020" t="str">
            <v>2027/28</v>
          </cell>
        </row>
        <row r="1021">
          <cell r="A1021" t="str">
            <v>15 SOUTHLAND</v>
          </cell>
          <cell r="B1021">
            <v>2</v>
          </cell>
          <cell r="C1021">
            <v>2033</v>
          </cell>
          <cell r="D1021">
            <v>442</v>
          </cell>
          <cell r="E1021">
            <v>3080</v>
          </cell>
          <cell r="F1021">
            <v>73.162621907000002</v>
          </cell>
          <cell r="G1021">
            <v>787.79016984999998</v>
          </cell>
          <cell r="H1021">
            <v>16.957569839000001</v>
          </cell>
          <cell r="I1021" t="str">
            <v>Light Vehicle Driver</v>
          </cell>
          <cell r="J1021" t="str">
            <v>2032/33</v>
          </cell>
        </row>
        <row r="1022">
          <cell r="A1022" t="str">
            <v>15 SOUTHLAND</v>
          </cell>
          <cell r="B1022">
            <v>2</v>
          </cell>
          <cell r="C1022">
            <v>2038</v>
          </cell>
          <cell r="D1022">
            <v>442</v>
          </cell>
          <cell r="E1022">
            <v>3080</v>
          </cell>
          <cell r="F1022">
            <v>73.322096023</v>
          </cell>
          <cell r="G1022">
            <v>799.87898043999996</v>
          </cell>
          <cell r="H1022">
            <v>17.159267236000002</v>
          </cell>
          <cell r="I1022" t="str">
            <v>Light Vehicle Driver</v>
          </cell>
          <cell r="J1022" t="str">
            <v>2037/38</v>
          </cell>
        </row>
        <row r="1023">
          <cell r="A1023" t="str">
            <v>15 SOUTHLAND</v>
          </cell>
          <cell r="B1023">
            <v>2</v>
          </cell>
          <cell r="C1023">
            <v>2043</v>
          </cell>
          <cell r="D1023">
            <v>442</v>
          </cell>
          <cell r="E1023">
            <v>3080</v>
          </cell>
          <cell r="F1023">
            <v>73.318307434999994</v>
          </cell>
          <cell r="G1023">
            <v>810.76458399000001</v>
          </cell>
          <cell r="H1023">
            <v>17.322447091000001</v>
          </cell>
          <cell r="I1023" t="str">
            <v>Light Vehicle Driver</v>
          </cell>
          <cell r="J1023" t="str">
            <v>2042/43</v>
          </cell>
        </row>
        <row r="1024">
          <cell r="A1024" t="str">
            <v>15 SOUTHLAND</v>
          </cell>
          <cell r="B1024">
            <v>3</v>
          </cell>
          <cell r="C1024">
            <v>2013</v>
          </cell>
          <cell r="D1024">
            <v>289</v>
          </cell>
          <cell r="E1024">
            <v>1411</v>
          </cell>
          <cell r="F1024">
            <v>28.419434702</v>
          </cell>
          <cell r="G1024">
            <v>380.70733008000002</v>
          </cell>
          <cell r="H1024">
            <v>7.5859087797999996</v>
          </cell>
          <cell r="I1024" t="str">
            <v>Light Vehicle Passenger</v>
          </cell>
          <cell r="J1024" t="str">
            <v>2012/13</v>
          </cell>
        </row>
        <row r="1025">
          <cell r="A1025" t="str">
            <v>15 SOUTHLAND</v>
          </cell>
          <cell r="B1025">
            <v>3</v>
          </cell>
          <cell r="C1025">
            <v>2018</v>
          </cell>
          <cell r="D1025">
            <v>289</v>
          </cell>
          <cell r="E1025">
            <v>1411</v>
          </cell>
          <cell r="F1025">
            <v>27.631413936000001</v>
          </cell>
          <cell r="G1025">
            <v>394.79115058999997</v>
          </cell>
          <cell r="H1025">
            <v>7.7101972741999996</v>
          </cell>
          <cell r="I1025" t="str">
            <v>Light Vehicle Passenger</v>
          </cell>
          <cell r="J1025" t="str">
            <v>2017/18</v>
          </cell>
        </row>
        <row r="1026">
          <cell r="A1026" t="str">
            <v>15 SOUTHLAND</v>
          </cell>
          <cell r="B1026">
            <v>3</v>
          </cell>
          <cell r="C1026">
            <v>2023</v>
          </cell>
          <cell r="D1026">
            <v>289</v>
          </cell>
          <cell r="E1026">
            <v>1411</v>
          </cell>
          <cell r="F1026">
            <v>26.787203116000001</v>
          </cell>
          <cell r="G1026">
            <v>404.69506409000002</v>
          </cell>
          <cell r="H1026">
            <v>7.7882716501999996</v>
          </cell>
          <cell r="I1026" t="str">
            <v>Light Vehicle Passenger</v>
          </cell>
          <cell r="J1026" t="str">
            <v>2022/23</v>
          </cell>
        </row>
        <row r="1027">
          <cell r="A1027" t="str">
            <v>15 SOUTHLAND</v>
          </cell>
          <cell r="B1027">
            <v>3</v>
          </cell>
          <cell r="C1027">
            <v>2028</v>
          </cell>
          <cell r="D1027">
            <v>289</v>
          </cell>
          <cell r="E1027">
            <v>1411</v>
          </cell>
          <cell r="F1027">
            <v>26.096847983</v>
          </cell>
          <cell r="G1027">
            <v>409.98662594000001</v>
          </cell>
          <cell r="H1027">
            <v>7.8350579275000003</v>
          </cell>
          <cell r="I1027" t="str">
            <v>Light Vehicle Passenger</v>
          </cell>
          <cell r="J1027" t="str">
            <v>2027/28</v>
          </cell>
        </row>
        <row r="1028">
          <cell r="A1028" t="str">
            <v>15 SOUTHLAND</v>
          </cell>
          <cell r="B1028">
            <v>3</v>
          </cell>
          <cell r="C1028">
            <v>2033</v>
          </cell>
          <cell r="D1028">
            <v>289</v>
          </cell>
          <cell r="E1028">
            <v>1411</v>
          </cell>
          <cell r="F1028">
            <v>25.351993895</v>
          </cell>
          <cell r="G1028">
            <v>409.75458447</v>
          </cell>
          <cell r="H1028">
            <v>7.8042094655999996</v>
          </cell>
          <cell r="I1028" t="str">
            <v>Light Vehicle Passenger</v>
          </cell>
          <cell r="J1028" t="str">
            <v>2032/33</v>
          </cell>
        </row>
        <row r="1029">
          <cell r="A1029" t="str">
            <v>15 SOUTHLAND</v>
          </cell>
          <cell r="B1029">
            <v>3</v>
          </cell>
          <cell r="C1029">
            <v>2038</v>
          </cell>
          <cell r="D1029">
            <v>289</v>
          </cell>
          <cell r="E1029">
            <v>1411</v>
          </cell>
          <cell r="F1029">
            <v>24.526253276999999</v>
          </cell>
          <cell r="G1029">
            <v>405.28527001999998</v>
          </cell>
          <cell r="H1029">
            <v>7.6980202857000002</v>
          </cell>
          <cell r="I1029" t="str">
            <v>Light Vehicle Passenger</v>
          </cell>
          <cell r="J1029" t="str">
            <v>2037/38</v>
          </cell>
        </row>
        <row r="1030">
          <cell r="A1030" t="str">
            <v>15 SOUTHLAND</v>
          </cell>
          <cell r="B1030">
            <v>3</v>
          </cell>
          <cell r="C1030">
            <v>2043</v>
          </cell>
          <cell r="D1030">
            <v>289</v>
          </cell>
          <cell r="E1030">
            <v>1411</v>
          </cell>
          <cell r="F1030">
            <v>23.57958614</v>
          </cell>
          <cell r="G1030">
            <v>397.95287323000002</v>
          </cell>
          <cell r="H1030">
            <v>7.5395165228999996</v>
          </cell>
          <cell r="I1030" t="str">
            <v>Light Vehicle Passenger</v>
          </cell>
          <cell r="J1030" t="str">
            <v>2042/43</v>
          </cell>
        </row>
        <row r="1031">
          <cell r="A1031" t="str">
            <v>15 SOUTHLAND</v>
          </cell>
          <cell r="B1031">
            <v>4</v>
          </cell>
          <cell r="C1031">
            <v>2013</v>
          </cell>
          <cell r="D1031">
            <v>4</v>
          </cell>
          <cell r="E1031">
            <v>15</v>
          </cell>
          <cell r="F1031">
            <v>0.47613164409999997</v>
          </cell>
          <cell r="G1031">
            <v>1.2430116738999999</v>
          </cell>
          <cell r="H1031">
            <v>6.6688903300000005E-2</v>
          </cell>
          <cell r="J1031" t="str">
            <v>2012/13</v>
          </cell>
        </row>
        <row r="1032">
          <cell r="A1032" t="str">
            <v>15 SOUTHLAND</v>
          </cell>
          <cell r="B1032">
            <v>4</v>
          </cell>
          <cell r="C1032">
            <v>2018</v>
          </cell>
          <cell r="D1032">
            <v>4</v>
          </cell>
          <cell r="E1032">
            <v>15</v>
          </cell>
          <cell r="F1032">
            <v>0.51869747359999996</v>
          </cell>
          <cell r="G1032">
            <v>1.4584611878</v>
          </cell>
          <cell r="H1032">
            <v>7.6673302499999998E-2</v>
          </cell>
          <cell r="J1032" t="str">
            <v>2017/18</v>
          </cell>
        </row>
        <row r="1033">
          <cell r="A1033" t="str">
            <v>15 SOUTHLAND</v>
          </cell>
          <cell r="B1033">
            <v>4</v>
          </cell>
          <cell r="C1033">
            <v>2023</v>
          </cell>
          <cell r="D1033">
            <v>4</v>
          </cell>
          <cell r="E1033">
            <v>15</v>
          </cell>
          <cell r="F1033">
            <v>0.55092188689999999</v>
          </cell>
          <cell r="G1033">
            <v>1.6150494734</v>
          </cell>
          <cell r="H1033">
            <v>8.3946531000000005E-2</v>
          </cell>
          <cell r="J1033" t="str">
            <v>2022/23</v>
          </cell>
        </row>
        <row r="1034">
          <cell r="A1034" t="str">
            <v>15 SOUTHLAND</v>
          </cell>
          <cell r="B1034">
            <v>4</v>
          </cell>
          <cell r="C1034">
            <v>2028</v>
          </cell>
          <cell r="D1034">
            <v>4</v>
          </cell>
          <cell r="E1034">
            <v>15</v>
          </cell>
          <cell r="F1034">
            <v>0.56322286060000004</v>
          </cell>
          <cell r="G1034">
            <v>1.6778092978000001</v>
          </cell>
          <cell r="H1034">
            <v>8.6789243399999993E-2</v>
          </cell>
          <cell r="J1034" t="str">
            <v>2027/28</v>
          </cell>
        </row>
        <row r="1035">
          <cell r="A1035" t="str">
            <v>15 SOUTHLAND</v>
          </cell>
          <cell r="B1035">
            <v>4</v>
          </cell>
          <cell r="C1035">
            <v>2033</v>
          </cell>
          <cell r="D1035">
            <v>4</v>
          </cell>
          <cell r="E1035">
            <v>15</v>
          </cell>
          <cell r="F1035">
            <v>0.57521784539999998</v>
          </cell>
          <cell r="G1035">
            <v>1.7116579802</v>
          </cell>
          <cell r="H1035">
            <v>8.84954253E-2</v>
          </cell>
          <cell r="J1035" t="str">
            <v>2032/33</v>
          </cell>
        </row>
        <row r="1036">
          <cell r="A1036" t="str">
            <v>15 SOUTHLAND</v>
          </cell>
          <cell r="B1036">
            <v>4</v>
          </cell>
          <cell r="C1036">
            <v>2038</v>
          </cell>
          <cell r="D1036">
            <v>4</v>
          </cell>
          <cell r="E1036">
            <v>15</v>
          </cell>
          <cell r="F1036">
            <v>0.5755003957</v>
          </cell>
          <cell r="G1036">
            <v>1.7070032287000001</v>
          </cell>
          <cell r="H1036">
            <v>8.8267494799999999E-2</v>
          </cell>
          <cell r="J1036" t="str">
            <v>2037/38</v>
          </cell>
        </row>
        <row r="1037">
          <cell r="A1037" t="str">
            <v>15 SOUTHLAND</v>
          </cell>
          <cell r="B1037">
            <v>4</v>
          </cell>
          <cell r="C1037">
            <v>2043</v>
          </cell>
          <cell r="D1037">
            <v>4</v>
          </cell>
          <cell r="E1037">
            <v>15</v>
          </cell>
          <cell r="F1037">
            <v>0.57408327729999997</v>
          </cell>
          <cell r="G1037">
            <v>1.6950931744</v>
          </cell>
          <cell r="H1037">
            <v>8.7698902100000004E-2</v>
          </cell>
          <cell r="J1037" t="str">
            <v>2042/43</v>
          </cell>
        </row>
        <row r="1038">
          <cell r="A1038" t="str">
            <v>15 SOUTHLAND</v>
          </cell>
          <cell r="B1038">
            <v>5</v>
          </cell>
          <cell r="C1038">
            <v>2013</v>
          </cell>
          <cell r="D1038">
            <v>8</v>
          </cell>
          <cell r="E1038">
            <v>32</v>
          </cell>
          <cell r="F1038">
            <v>0.62652592730000001</v>
          </cell>
          <cell r="G1038">
            <v>18.926640866</v>
          </cell>
          <cell r="H1038">
            <v>0.2609239458</v>
          </cell>
          <cell r="I1038" t="str">
            <v>Motorcyclist</v>
          </cell>
          <cell r="J1038" t="str">
            <v>2012/13</v>
          </cell>
        </row>
        <row r="1039">
          <cell r="A1039" t="str">
            <v>15 SOUTHLAND</v>
          </cell>
          <cell r="B1039">
            <v>5</v>
          </cell>
          <cell r="C1039">
            <v>2018</v>
          </cell>
          <cell r="D1039">
            <v>8</v>
          </cell>
          <cell r="E1039">
            <v>32</v>
          </cell>
          <cell r="F1039">
            <v>0.72460535829999995</v>
          </cell>
          <cell r="G1039">
            <v>24.685326618000001</v>
          </cell>
          <cell r="H1039">
            <v>0.33244553160000001</v>
          </cell>
          <cell r="I1039" t="str">
            <v>Motorcyclist</v>
          </cell>
          <cell r="J1039" t="str">
            <v>2017/18</v>
          </cell>
        </row>
        <row r="1040">
          <cell r="A1040" t="str">
            <v>15 SOUTHLAND</v>
          </cell>
          <cell r="B1040">
            <v>5</v>
          </cell>
          <cell r="C1040">
            <v>2023</v>
          </cell>
          <cell r="D1040">
            <v>8</v>
          </cell>
          <cell r="E1040">
            <v>32</v>
          </cell>
          <cell r="F1040">
            <v>0.79244962360000004</v>
          </cell>
          <cell r="G1040">
            <v>28.950088713</v>
          </cell>
          <cell r="H1040">
            <v>0.38517696350000002</v>
          </cell>
          <cell r="I1040" t="str">
            <v>Motorcyclist</v>
          </cell>
          <cell r="J1040" t="str">
            <v>2022/23</v>
          </cell>
        </row>
        <row r="1041">
          <cell r="A1041" t="str">
            <v>15 SOUTHLAND</v>
          </cell>
          <cell r="B1041">
            <v>5</v>
          </cell>
          <cell r="C1041">
            <v>2028</v>
          </cell>
          <cell r="D1041">
            <v>8</v>
          </cell>
          <cell r="E1041">
            <v>32</v>
          </cell>
          <cell r="F1041">
            <v>0.81552316979999995</v>
          </cell>
          <cell r="G1041">
            <v>30.930959166000001</v>
          </cell>
          <cell r="H1041">
            <v>0.40892927750000002</v>
          </cell>
          <cell r="I1041" t="str">
            <v>Motorcyclist</v>
          </cell>
          <cell r="J1041" t="str">
            <v>2027/28</v>
          </cell>
        </row>
        <row r="1042">
          <cell r="A1042" t="str">
            <v>15 SOUTHLAND</v>
          </cell>
          <cell r="B1042">
            <v>5</v>
          </cell>
          <cell r="C1042">
            <v>2033</v>
          </cell>
          <cell r="D1042">
            <v>8</v>
          </cell>
          <cell r="E1042">
            <v>32</v>
          </cell>
          <cell r="F1042">
            <v>0.81177587600000001</v>
          </cell>
          <cell r="G1042">
            <v>31.670173677000001</v>
          </cell>
          <cell r="H1042">
            <v>0.4167848938</v>
          </cell>
          <cell r="I1042" t="str">
            <v>Motorcyclist</v>
          </cell>
          <cell r="J1042" t="str">
            <v>2032/33</v>
          </cell>
        </row>
        <row r="1043">
          <cell r="A1043" t="str">
            <v>15 SOUTHLAND</v>
          </cell>
          <cell r="B1043">
            <v>5</v>
          </cell>
          <cell r="C1043">
            <v>2038</v>
          </cell>
          <cell r="D1043">
            <v>8</v>
          </cell>
          <cell r="E1043">
            <v>32</v>
          </cell>
          <cell r="F1043">
            <v>0.7912327039</v>
          </cell>
          <cell r="G1043">
            <v>31.577603265</v>
          </cell>
          <cell r="H1043">
            <v>0.41425419279999998</v>
          </cell>
          <cell r="I1043" t="str">
            <v>Motorcyclist</v>
          </cell>
          <cell r="J1043" t="str">
            <v>2037/38</v>
          </cell>
        </row>
        <row r="1044">
          <cell r="A1044" t="str">
            <v>15 SOUTHLAND</v>
          </cell>
          <cell r="B1044">
            <v>5</v>
          </cell>
          <cell r="C1044">
            <v>2043</v>
          </cell>
          <cell r="D1044">
            <v>8</v>
          </cell>
          <cell r="E1044">
            <v>32</v>
          </cell>
          <cell r="F1044">
            <v>0.76406726849999995</v>
          </cell>
          <cell r="G1044">
            <v>31.224073591</v>
          </cell>
          <cell r="H1044">
            <v>0.40826204700000002</v>
          </cell>
          <cell r="I1044" t="str">
            <v>Motorcyclist</v>
          </cell>
          <cell r="J1044" t="str">
            <v>2042/43</v>
          </cell>
        </row>
        <row r="1045">
          <cell r="A1045" t="str">
            <v>15 SOUTHLAND</v>
          </cell>
          <cell r="B1045">
            <v>7</v>
          </cell>
          <cell r="C1045">
            <v>2013</v>
          </cell>
          <cell r="D1045">
            <v>37</v>
          </cell>
          <cell r="E1045">
            <v>119</v>
          </cell>
          <cell r="F1045">
            <v>2.6369167839999998</v>
          </cell>
          <cell r="G1045">
            <v>30.182609224</v>
          </cell>
          <cell r="H1045">
            <v>1.2152660816</v>
          </cell>
          <cell r="I1045" t="str">
            <v>Local Bus</v>
          </cell>
          <cell r="J1045" t="str">
            <v>2012/13</v>
          </cell>
        </row>
        <row r="1046">
          <cell r="A1046" t="str">
            <v>15 SOUTHLAND</v>
          </cell>
          <cell r="B1046">
            <v>7</v>
          </cell>
          <cell r="C1046">
            <v>2018</v>
          </cell>
          <cell r="D1046">
            <v>37</v>
          </cell>
          <cell r="E1046">
            <v>119</v>
          </cell>
          <cell r="F1046">
            <v>2.6786484999</v>
          </cell>
          <cell r="G1046">
            <v>30.507393851</v>
          </cell>
          <cell r="H1046">
            <v>1.2249456878</v>
          </cell>
          <cell r="I1046" t="str">
            <v>Local Bus</v>
          </cell>
          <cell r="J1046" t="str">
            <v>2017/18</v>
          </cell>
        </row>
        <row r="1047">
          <cell r="A1047" t="str">
            <v>15 SOUTHLAND</v>
          </cell>
          <cell r="B1047">
            <v>7</v>
          </cell>
          <cell r="C1047">
            <v>2023</v>
          </cell>
          <cell r="D1047">
            <v>37</v>
          </cell>
          <cell r="E1047">
            <v>119</v>
          </cell>
          <cell r="F1047">
            <v>2.719518952</v>
          </cell>
          <cell r="G1047">
            <v>31.195169922000002</v>
          </cell>
          <cell r="H1047">
            <v>1.2547907474</v>
          </cell>
          <cell r="I1047" t="str">
            <v>Local Bus</v>
          </cell>
          <cell r="J1047" t="str">
            <v>2022/23</v>
          </cell>
        </row>
        <row r="1048">
          <cell r="A1048" t="str">
            <v>15 SOUTHLAND</v>
          </cell>
          <cell r="B1048">
            <v>7</v>
          </cell>
          <cell r="C1048">
            <v>2028</v>
          </cell>
          <cell r="D1048">
            <v>37</v>
          </cell>
          <cell r="E1048">
            <v>119</v>
          </cell>
          <cell r="F1048">
            <v>2.7798858183999999</v>
          </cell>
          <cell r="G1048">
            <v>32.140559287999999</v>
          </cell>
          <cell r="H1048">
            <v>1.2937955350999999</v>
          </cell>
          <cell r="I1048" t="str">
            <v>Local Bus</v>
          </cell>
          <cell r="J1048" t="str">
            <v>2027/28</v>
          </cell>
        </row>
        <row r="1049">
          <cell r="A1049" t="str">
            <v>15 SOUTHLAND</v>
          </cell>
          <cell r="B1049">
            <v>7</v>
          </cell>
          <cell r="C1049">
            <v>2033</v>
          </cell>
          <cell r="D1049">
            <v>37</v>
          </cell>
          <cell r="E1049">
            <v>119</v>
          </cell>
          <cell r="F1049">
            <v>2.724391759</v>
          </cell>
          <cell r="G1049">
            <v>31.701848872999999</v>
          </cell>
          <cell r="H1049">
            <v>1.2771679663</v>
          </cell>
          <cell r="I1049" t="str">
            <v>Local Bus</v>
          </cell>
          <cell r="J1049" t="str">
            <v>2032/33</v>
          </cell>
        </row>
        <row r="1050">
          <cell r="A1050" t="str">
            <v>15 SOUTHLAND</v>
          </cell>
          <cell r="B1050">
            <v>7</v>
          </cell>
          <cell r="C1050">
            <v>2038</v>
          </cell>
          <cell r="D1050">
            <v>37</v>
          </cell>
          <cell r="E1050">
            <v>119</v>
          </cell>
          <cell r="F1050">
            <v>2.6492214843999999</v>
          </cell>
          <cell r="G1050">
            <v>30.709982422</v>
          </cell>
          <cell r="H1050">
            <v>1.2458233125</v>
          </cell>
          <cell r="I1050" t="str">
            <v>Local Bus</v>
          </cell>
          <cell r="J1050" t="str">
            <v>2037/38</v>
          </cell>
        </row>
        <row r="1051">
          <cell r="A1051" t="str">
            <v>15 SOUTHLAND</v>
          </cell>
          <cell r="B1051">
            <v>7</v>
          </cell>
          <cell r="C1051">
            <v>2043</v>
          </cell>
          <cell r="D1051">
            <v>37</v>
          </cell>
          <cell r="E1051">
            <v>119</v>
          </cell>
          <cell r="F1051">
            <v>2.5498404781000001</v>
          </cell>
          <cell r="G1051">
            <v>29.441409641</v>
          </cell>
          <cell r="H1051">
            <v>1.2034048404</v>
          </cell>
          <cell r="I1051" t="str">
            <v>Local Bus</v>
          </cell>
          <cell r="J1051" t="str">
            <v>2042/43</v>
          </cell>
        </row>
        <row r="1052">
          <cell r="A1052" t="str">
            <v>15 SOUTHLAND</v>
          </cell>
          <cell r="B1052">
            <v>9</v>
          </cell>
          <cell r="C1052">
            <v>2013</v>
          </cell>
          <cell r="D1052">
            <v>3</v>
          </cell>
          <cell r="E1052">
            <v>20</v>
          </cell>
          <cell r="F1052">
            <v>0.42937289560000003</v>
          </cell>
          <cell r="G1052">
            <v>0</v>
          </cell>
          <cell r="H1052">
            <v>8.5162673699999997E-2</v>
          </cell>
          <cell r="I1052" t="str">
            <v>Other Household Travel</v>
          </cell>
          <cell r="J1052" t="str">
            <v>2012/13</v>
          </cell>
        </row>
        <row r="1053">
          <cell r="A1053" t="str">
            <v>15 SOUTHLAND</v>
          </cell>
          <cell r="B1053">
            <v>9</v>
          </cell>
          <cell r="C1053">
            <v>2018</v>
          </cell>
          <cell r="D1053">
            <v>3</v>
          </cell>
          <cell r="E1053">
            <v>20</v>
          </cell>
          <cell r="F1053">
            <v>0.47900553140000002</v>
          </cell>
          <cell r="G1053">
            <v>0</v>
          </cell>
          <cell r="H1053">
            <v>9.5292722900000001E-2</v>
          </cell>
          <cell r="I1053" t="str">
            <v>Other Household Travel</v>
          </cell>
          <cell r="J1053" t="str">
            <v>2017/18</v>
          </cell>
        </row>
        <row r="1054">
          <cell r="A1054" t="str">
            <v>15 SOUTHLAND</v>
          </cell>
          <cell r="B1054">
            <v>9</v>
          </cell>
          <cell r="C1054">
            <v>2023</v>
          </cell>
          <cell r="D1054">
            <v>3</v>
          </cell>
          <cell r="E1054">
            <v>20</v>
          </cell>
          <cell r="F1054">
            <v>0.51261855170000004</v>
          </cell>
          <cell r="G1054">
            <v>0</v>
          </cell>
          <cell r="H1054">
            <v>0.1024965132</v>
          </cell>
          <cell r="I1054" t="str">
            <v>Other Household Travel</v>
          </cell>
          <cell r="J1054" t="str">
            <v>2022/23</v>
          </cell>
        </row>
        <row r="1055">
          <cell r="A1055" t="str">
            <v>15 SOUTHLAND</v>
          </cell>
          <cell r="B1055">
            <v>9</v>
          </cell>
          <cell r="C1055">
            <v>2028</v>
          </cell>
          <cell r="D1055">
            <v>3</v>
          </cell>
          <cell r="E1055">
            <v>20</v>
          </cell>
          <cell r="F1055">
            <v>0.54839507519999997</v>
          </cell>
          <cell r="G1055">
            <v>0</v>
          </cell>
          <cell r="H1055">
            <v>0.1108568816</v>
          </cell>
          <cell r="I1055" t="str">
            <v>Other Household Travel</v>
          </cell>
          <cell r="J1055" t="str">
            <v>2027/28</v>
          </cell>
        </row>
        <row r="1056">
          <cell r="A1056" t="str">
            <v>15 SOUTHLAND</v>
          </cell>
          <cell r="B1056">
            <v>9</v>
          </cell>
          <cell r="C1056">
            <v>2033</v>
          </cell>
          <cell r="D1056">
            <v>3</v>
          </cell>
          <cell r="E1056">
            <v>20</v>
          </cell>
          <cell r="F1056">
            <v>0.58596459619999997</v>
          </cell>
          <cell r="G1056">
            <v>0</v>
          </cell>
          <cell r="H1056">
            <v>0.1203267103</v>
          </cell>
          <cell r="I1056" t="str">
            <v>Other Household Travel</v>
          </cell>
          <cell r="J1056" t="str">
            <v>2032/33</v>
          </cell>
        </row>
        <row r="1057">
          <cell r="A1057" t="str">
            <v>15 SOUTHLAND</v>
          </cell>
          <cell r="B1057">
            <v>9</v>
          </cell>
          <cell r="C1057">
            <v>2038</v>
          </cell>
          <cell r="D1057">
            <v>3</v>
          </cell>
          <cell r="E1057">
            <v>20</v>
          </cell>
          <cell r="F1057">
            <v>0.60540931740000004</v>
          </cell>
          <cell r="G1057">
            <v>0</v>
          </cell>
          <cell r="H1057">
            <v>0.1260387473</v>
          </cell>
          <cell r="I1057" t="str">
            <v>Other Household Travel</v>
          </cell>
          <cell r="J1057" t="str">
            <v>2037/38</v>
          </cell>
        </row>
        <row r="1058">
          <cell r="A1058" t="str">
            <v>15 SOUTHLAND</v>
          </cell>
          <cell r="B1058">
            <v>9</v>
          </cell>
          <cell r="C1058">
            <v>2043</v>
          </cell>
          <cell r="D1058">
            <v>3</v>
          </cell>
          <cell r="E1058">
            <v>20</v>
          </cell>
          <cell r="F1058">
            <v>0.61566628509999999</v>
          </cell>
          <cell r="G1058">
            <v>0</v>
          </cell>
          <cell r="H1058">
            <v>0.12968359260000001</v>
          </cell>
          <cell r="I1058" t="str">
            <v>Other Household Travel</v>
          </cell>
          <cell r="J1058" t="str">
            <v>2042/43</v>
          </cell>
        </row>
        <row r="1059">
          <cell r="A1059" t="str">
            <v>15 SOUTHLAND</v>
          </cell>
          <cell r="B1059">
            <v>10</v>
          </cell>
          <cell r="C1059">
            <v>2013</v>
          </cell>
          <cell r="D1059">
            <v>4</v>
          </cell>
          <cell r="E1059">
            <v>5</v>
          </cell>
          <cell r="F1059">
            <v>0.11858970739999999</v>
          </cell>
          <cell r="G1059">
            <v>7.7216256564999997</v>
          </cell>
          <cell r="H1059">
            <v>0.2054826143</v>
          </cell>
          <cell r="I1059" t="str">
            <v>Air/Non-Local PT</v>
          </cell>
          <cell r="J1059" t="str">
            <v>2012/13</v>
          </cell>
        </row>
        <row r="1060">
          <cell r="A1060" t="str">
            <v>15 SOUTHLAND</v>
          </cell>
          <cell r="B1060">
            <v>10</v>
          </cell>
          <cell r="C1060">
            <v>2018</v>
          </cell>
          <cell r="D1060">
            <v>4</v>
          </cell>
          <cell r="E1060">
            <v>5</v>
          </cell>
          <cell r="F1060">
            <v>0.1432275851</v>
          </cell>
          <cell r="G1060">
            <v>7.9537356617999997</v>
          </cell>
          <cell r="H1060">
            <v>0.23874952939999999</v>
          </cell>
          <cell r="I1060" t="str">
            <v>Air/Non-Local PT</v>
          </cell>
          <cell r="J1060" t="str">
            <v>2017/18</v>
          </cell>
        </row>
        <row r="1061">
          <cell r="A1061" t="str">
            <v>15 SOUTHLAND</v>
          </cell>
          <cell r="B1061">
            <v>10</v>
          </cell>
          <cell r="C1061">
            <v>2023</v>
          </cell>
          <cell r="D1061">
            <v>4</v>
          </cell>
          <cell r="E1061">
            <v>5</v>
          </cell>
          <cell r="F1061">
            <v>0.15677619179999999</v>
          </cell>
          <cell r="G1061">
            <v>7.5532826714999999</v>
          </cell>
          <cell r="H1061">
            <v>0.25375134700000002</v>
          </cell>
          <cell r="I1061" t="str">
            <v>Air/Non-Local PT</v>
          </cell>
          <cell r="J1061" t="str">
            <v>2022/23</v>
          </cell>
        </row>
        <row r="1062">
          <cell r="A1062" t="str">
            <v>15 SOUTHLAND</v>
          </cell>
          <cell r="B1062">
            <v>10</v>
          </cell>
          <cell r="C1062">
            <v>2028</v>
          </cell>
          <cell r="D1062">
            <v>4</v>
          </cell>
          <cell r="E1062">
            <v>5</v>
          </cell>
          <cell r="F1062">
            <v>0.16539187750000001</v>
          </cell>
          <cell r="G1062">
            <v>7.1592903596999999</v>
          </cell>
          <cell r="H1062">
            <v>0.26213899699999998</v>
          </cell>
          <cell r="I1062" t="str">
            <v>Air/Non-Local PT</v>
          </cell>
          <cell r="J1062" t="str">
            <v>2027/28</v>
          </cell>
        </row>
        <row r="1063">
          <cell r="A1063" t="str">
            <v>15 SOUTHLAND</v>
          </cell>
          <cell r="B1063">
            <v>10</v>
          </cell>
          <cell r="C1063">
            <v>2033</v>
          </cell>
          <cell r="D1063">
            <v>4</v>
          </cell>
          <cell r="E1063">
            <v>5</v>
          </cell>
          <cell r="F1063">
            <v>0.1686089238</v>
          </cell>
          <cell r="G1063">
            <v>7.4124135838000003</v>
          </cell>
          <cell r="H1063">
            <v>0.2683091313</v>
          </cell>
          <cell r="I1063" t="str">
            <v>Air/Non-Local PT</v>
          </cell>
          <cell r="J1063" t="str">
            <v>2032/33</v>
          </cell>
        </row>
        <row r="1064">
          <cell r="A1064" t="str">
            <v>15 SOUTHLAND</v>
          </cell>
          <cell r="B1064">
            <v>10</v>
          </cell>
          <cell r="C1064">
            <v>2038</v>
          </cell>
          <cell r="D1064">
            <v>4</v>
          </cell>
          <cell r="E1064">
            <v>5</v>
          </cell>
          <cell r="F1064">
            <v>0.172897826</v>
          </cell>
          <cell r="G1064">
            <v>7.6657910706000001</v>
          </cell>
          <cell r="H1064">
            <v>0.27744513859999997</v>
          </cell>
          <cell r="I1064" t="str">
            <v>Air/Non-Local PT</v>
          </cell>
          <cell r="J1064" t="str">
            <v>2037/38</v>
          </cell>
        </row>
        <row r="1065">
          <cell r="A1065" t="str">
            <v>15 SOUTHLAND</v>
          </cell>
          <cell r="B1065">
            <v>10</v>
          </cell>
          <cell r="C1065">
            <v>2043</v>
          </cell>
          <cell r="D1065">
            <v>4</v>
          </cell>
          <cell r="E1065">
            <v>5</v>
          </cell>
          <cell r="F1065">
            <v>0.17662499810000001</v>
          </cell>
          <cell r="G1065">
            <v>7.8754399894000002</v>
          </cell>
          <cell r="H1065">
            <v>0.28544015740000001</v>
          </cell>
          <cell r="I1065" t="str">
            <v>Air/Non-Local PT</v>
          </cell>
          <cell r="J1065" t="str">
            <v>2042/43</v>
          </cell>
        </row>
        <row r="1066">
          <cell r="A1066" t="str">
            <v>15 SOUTHLAND</v>
          </cell>
          <cell r="B1066">
            <v>11</v>
          </cell>
          <cell r="C1066">
            <v>2013</v>
          </cell>
          <cell r="D1066">
            <v>3</v>
          </cell>
          <cell r="E1066">
            <v>9</v>
          </cell>
          <cell r="F1066">
            <v>0.1918163457</v>
          </cell>
          <cell r="G1066">
            <v>7.2518167408999998</v>
          </cell>
          <cell r="H1066">
            <v>0.26579174360000002</v>
          </cell>
          <cell r="I1066" t="str">
            <v>Non-Household Travel</v>
          </cell>
          <cell r="J1066" t="str">
            <v>2012/13</v>
          </cell>
        </row>
        <row r="1067">
          <cell r="A1067" t="str">
            <v>15 SOUTHLAND</v>
          </cell>
          <cell r="B1067">
            <v>11</v>
          </cell>
          <cell r="C1067">
            <v>2018</v>
          </cell>
          <cell r="D1067">
            <v>3</v>
          </cell>
          <cell r="E1067">
            <v>9</v>
          </cell>
          <cell r="F1067">
            <v>0.20441820290000001</v>
          </cell>
          <cell r="G1067">
            <v>8.7413470288999999</v>
          </cell>
          <cell r="H1067">
            <v>0.36361138749999999</v>
          </cell>
          <cell r="I1067" t="str">
            <v>Non-Household Travel</v>
          </cell>
          <cell r="J1067" t="str">
            <v>2017/18</v>
          </cell>
        </row>
        <row r="1068">
          <cell r="A1068" t="str">
            <v>15 SOUTHLAND</v>
          </cell>
          <cell r="B1068">
            <v>11</v>
          </cell>
          <cell r="C1068">
            <v>2023</v>
          </cell>
          <cell r="D1068">
            <v>3</v>
          </cell>
          <cell r="E1068">
            <v>9</v>
          </cell>
          <cell r="F1068">
            <v>0.2214977413</v>
          </cell>
          <cell r="G1068">
            <v>10.043582462</v>
          </cell>
          <cell r="H1068">
            <v>0.43041552080000001</v>
          </cell>
          <cell r="I1068" t="str">
            <v>Non-Household Travel</v>
          </cell>
          <cell r="J1068" t="str">
            <v>2022/23</v>
          </cell>
        </row>
        <row r="1069">
          <cell r="A1069" t="str">
            <v>15 SOUTHLAND</v>
          </cell>
          <cell r="B1069">
            <v>11</v>
          </cell>
          <cell r="C1069">
            <v>2028</v>
          </cell>
          <cell r="D1069">
            <v>3</v>
          </cell>
          <cell r="E1069">
            <v>9</v>
          </cell>
          <cell r="F1069">
            <v>0.25093940460000003</v>
          </cell>
          <cell r="G1069">
            <v>11.176968197000001</v>
          </cell>
          <cell r="H1069">
            <v>0.4569077641</v>
          </cell>
          <cell r="I1069" t="str">
            <v>Non-Household Travel</v>
          </cell>
          <cell r="J1069" t="str">
            <v>2027/28</v>
          </cell>
        </row>
        <row r="1070">
          <cell r="A1070" t="str">
            <v>15 SOUTHLAND</v>
          </cell>
          <cell r="B1070">
            <v>11</v>
          </cell>
          <cell r="C1070">
            <v>2033</v>
          </cell>
          <cell r="D1070">
            <v>3</v>
          </cell>
          <cell r="E1070">
            <v>9</v>
          </cell>
          <cell r="F1070">
            <v>0.2632957299</v>
          </cell>
          <cell r="G1070">
            <v>11.91173291</v>
          </cell>
          <cell r="H1070">
            <v>0.48372607620000002</v>
          </cell>
          <cell r="I1070" t="str">
            <v>Non-Household Travel</v>
          </cell>
          <cell r="J1070" t="str">
            <v>2032/33</v>
          </cell>
        </row>
        <row r="1071">
          <cell r="A1071" t="str">
            <v>15 SOUTHLAND</v>
          </cell>
          <cell r="B1071">
            <v>11</v>
          </cell>
          <cell r="C1071">
            <v>2038</v>
          </cell>
          <cell r="D1071">
            <v>3</v>
          </cell>
          <cell r="E1071">
            <v>9</v>
          </cell>
          <cell r="F1071">
            <v>0.25898429789999999</v>
          </cell>
          <cell r="G1071">
            <v>12.245507793</v>
          </cell>
          <cell r="H1071">
            <v>0.52134506979999995</v>
          </cell>
          <cell r="I1071" t="str">
            <v>Non-Household Travel</v>
          </cell>
          <cell r="J1071" t="str">
            <v>2037/38</v>
          </cell>
        </row>
        <row r="1072">
          <cell r="A1072" t="str">
            <v>15 SOUTHLAND</v>
          </cell>
          <cell r="B1072">
            <v>11</v>
          </cell>
          <cell r="C1072">
            <v>2043</v>
          </cell>
          <cell r="D1072">
            <v>3</v>
          </cell>
          <cell r="E1072">
            <v>9</v>
          </cell>
          <cell r="F1072">
            <v>0.25219247779999998</v>
          </cell>
          <cell r="G1072">
            <v>12.53051028</v>
          </cell>
          <cell r="H1072">
            <v>0.56036564119999999</v>
          </cell>
          <cell r="I1072" t="str">
            <v>Non-Household Travel</v>
          </cell>
          <cell r="J1072" t="str">
            <v>2042/43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"/>
  <sheetViews>
    <sheetView workbookViewId="0">
      <selection activeCell="A3" sqref="A3"/>
    </sheetView>
  </sheetViews>
  <sheetFormatPr defaultRowHeight="12.75" x14ac:dyDescent="0.2"/>
  <sheetData>
    <row r="3" spans="1:1" x14ac:dyDescent="0.2">
      <c r="A3" t="s">
        <v>117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K190"/>
  <sheetViews>
    <sheetView topLeftCell="A92" workbookViewId="0">
      <selection activeCell="K7" sqref="K7"/>
    </sheetView>
  </sheetViews>
  <sheetFormatPr defaultRowHeight="12.75" x14ac:dyDescent="0.2"/>
  <cols>
    <col min="1" max="1" width="26.140625" customWidth="1"/>
  </cols>
  <sheetData>
    <row r="2" spans="1:11" x14ac:dyDescent="0.2">
      <c r="A2" s="3" t="s">
        <v>13</v>
      </c>
    </row>
    <row r="3" spans="1:11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">
      <c r="A4" t="str">
        <f ca="1">OFFSET(Northland_Reference,0,0)</f>
        <v>01 NORTHLAND</v>
      </c>
    </row>
    <row r="5" spans="1:11" x14ac:dyDescent="0.2">
      <c r="A5" t="str">
        <f ca="1">OFFSET(Northland_Reference,0,2)</f>
        <v>Pedestrian</v>
      </c>
      <c r="B5" s="4">
        <f ca="1">OFFSET(Northland_Reference,0,6)</f>
        <v>17.849116999</v>
      </c>
      <c r="C5" s="4">
        <f ca="1">OFFSET(Northland_Reference,1,6)</f>
        <v>17.893276409999999</v>
      </c>
      <c r="D5" s="4">
        <f ca="1">OFFSET(Northland_Reference,2,6)</f>
        <v>17.789791768000001</v>
      </c>
      <c r="E5" s="4">
        <f ca="1">OFFSET(Northland_Reference,3,6)</f>
        <v>17.620681860000001</v>
      </c>
      <c r="F5" s="4">
        <f ca="1">OFFSET(Northland_Reference,4,6)</f>
        <v>17.174556585000001</v>
      </c>
      <c r="G5" s="4">
        <f ca="1">OFFSET(Northland_Reference,5,6)</f>
        <v>16.511837359000001</v>
      </c>
      <c r="H5" s="4">
        <f ca="1">OFFSET(Northland_Reference,6,6)</f>
        <v>15.803953069</v>
      </c>
      <c r="I5" s="1">
        <f ca="1">H5*('Updated Population'!I$4/'Updated Population'!H$4)</f>
        <v>15.87890956709478</v>
      </c>
      <c r="J5" s="1">
        <f ca="1">I5*('Updated Population'!J$4/'Updated Population'!I$4)</f>
        <v>15.903436539769574</v>
      </c>
      <c r="K5" s="1">
        <f ca="1">J5*('Updated Population'!K$4/'Updated Population'!J$4)</f>
        <v>15.893771093744347</v>
      </c>
    </row>
    <row r="6" spans="1:11" x14ac:dyDescent="0.2">
      <c r="A6" t="str">
        <f ca="1">OFFSET(Northland_Reference,7,2)</f>
        <v>Cyclist</v>
      </c>
      <c r="B6" s="4">
        <f ca="1">OFFSET(Northland_Reference,7,6)</f>
        <v>1.0072239942000001</v>
      </c>
      <c r="C6" s="4">
        <f ca="1">OFFSET(Northland_Reference,8,6)</f>
        <v>0.96181224119999997</v>
      </c>
      <c r="D6" s="4">
        <f ca="1">OFFSET(Northland_Reference,9,6)</f>
        <v>0.98944221590000003</v>
      </c>
      <c r="E6" s="4">
        <f ca="1">OFFSET(Northland_Reference,10,6)</f>
        <v>1.0861071413000001</v>
      </c>
      <c r="F6" s="4">
        <f ca="1">OFFSET(Northland_Reference,11,6)</f>
        <v>1.1556714961000001</v>
      </c>
      <c r="G6" s="4">
        <f ca="1">OFFSET(Northland_Reference,12,6)</f>
        <v>1.1116373831999999</v>
      </c>
      <c r="H6" s="4">
        <f ca="1">OFFSET(Northland_Reference,13,6)</f>
        <v>1.0694312686</v>
      </c>
      <c r="I6" s="1">
        <f ca="1">H6*('Updated Population'!I$4/'Updated Population'!H$4)</f>
        <v>1.0745034693650448</v>
      </c>
      <c r="J6" s="1">
        <f ca="1">I6*('Updated Population'!J$4/'Updated Population'!I$4)</f>
        <v>1.0761631750974019</v>
      </c>
      <c r="K6" s="1">
        <f ca="1">J6*('Updated Population'!K$4/'Updated Population'!J$4)</f>
        <v>1.0755091279638009</v>
      </c>
    </row>
    <row r="7" spans="1:11" x14ac:dyDescent="0.2">
      <c r="A7" t="str">
        <f ca="1">OFFSET(Northland_Reference,14,2)</f>
        <v>Light Vehicle Driver</v>
      </c>
      <c r="B7" s="4">
        <f ca="1">OFFSET(Northland_Reference,14,6)</f>
        <v>1011.4273062</v>
      </c>
      <c r="C7" s="4">
        <f ca="1">OFFSET(Northland_Reference,15,6)</f>
        <v>1067.1095683000001</v>
      </c>
      <c r="D7" s="4">
        <f ca="1">OFFSET(Northland_Reference,16,6)</f>
        <v>1099.1518424000001</v>
      </c>
      <c r="E7" s="4">
        <f ca="1">OFFSET(Northland_Reference,17,6)</f>
        <v>1122.4274077</v>
      </c>
      <c r="F7" s="4">
        <f ca="1">OFFSET(Northland_Reference,18,6)</f>
        <v>1145.495441</v>
      </c>
      <c r="G7" s="4">
        <f ca="1">OFFSET(Northland_Reference,19,6)</f>
        <v>1153.9508355</v>
      </c>
      <c r="H7" s="4">
        <f ca="1">OFFSET(Northland_Reference,20,6)</f>
        <v>1158.8991278000001</v>
      </c>
      <c r="I7" s="1">
        <f ca="1">H7*('Updated Population'!I$4/'Updated Population'!H$4)</f>
        <v>1164.3956652729805</v>
      </c>
      <c r="J7" s="1">
        <f ca="1">I7*('Updated Population'!J$4/'Updated Population'!I$4)</f>
        <v>1166.1942208062887</v>
      </c>
      <c r="K7" s="1">
        <f ca="1">J7*('Updated Population'!K$4/'Updated Population'!J$4)</f>
        <v>1165.4854565547416</v>
      </c>
    </row>
    <row r="8" spans="1:11" x14ac:dyDescent="0.2">
      <c r="A8" t="str">
        <f ca="1">OFFSET(Northland_Reference,21,2)</f>
        <v>Light Vehicle Passenger</v>
      </c>
      <c r="B8" s="4">
        <f ca="1">OFFSET(Northland_Reference,21,6)</f>
        <v>666.23785996000004</v>
      </c>
      <c r="C8" s="4">
        <f ca="1">OFFSET(Northland_Reference,22,6)</f>
        <v>669.37315689000002</v>
      </c>
      <c r="D8" s="4">
        <f ca="1">OFFSET(Northland_Reference,23,6)</f>
        <v>668.54005863999998</v>
      </c>
      <c r="E8" s="4">
        <f ca="1">OFFSET(Northland_Reference,24,6)</f>
        <v>667.91266727000004</v>
      </c>
      <c r="F8" s="4">
        <f ca="1">OFFSET(Northland_Reference,25,6)</f>
        <v>663.21524915999998</v>
      </c>
      <c r="G8" s="4">
        <f ca="1">OFFSET(Northland_Reference,26,6)</f>
        <v>656.73744303000001</v>
      </c>
      <c r="H8" s="4">
        <f ca="1">OFFSET(Northland_Reference,27,6)</f>
        <v>647.77325165000002</v>
      </c>
      <c r="I8" s="1">
        <f ca="1">H8*('Updated Population'!I$4/'Updated Population'!H$4)</f>
        <v>650.84557249853469</v>
      </c>
      <c r="J8" s="1">
        <f ca="1">I8*('Updated Population'!J$4/'Updated Population'!I$4)</f>
        <v>651.85088533218561</v>
      </c>
      <c r="K8" s="1">
        <f ca="1">J8*('Updated Population'!K$4/'Updated Population'!J$4)</f>
        <v>651.45471752701224</v>
      </c>
    </row>
    <row r="9" spans="1:11" x14ac:dyDescent="0.2">
      <c r="A9" t="str">
        <f ca="1">OFFSET(Northland_Reference,28,2)</f>
        <v>Taxi/Vehicle Share</v>
      </c>
      <c r="B9" s="4">
        <f ca="1">OFFSET(Northland_Reference,28,6)</f>
        <v>0.75976041549999995</v>
      </c>
      <c r="C9" s="4">
        <f ca="1">OFFSET(Northland_Reference,29,6)</f>
        <v>0.75837951619999999</v>
      </c>
      <c r="D9" s="4">
        <f ca="1">OFFSET(Northland_Reference,30,6)</f>
        <v>0.81707293270000003</v>
      </c>
      <c r="E9" s="4">
        <f ca="1">OFFSET(Northland_Reference,31,6)</f>
        <v>0.94094149719999998</v>
      </c>
      <c r="F9" s="4">
        <f ca="1">OFFSET(Northland_Reference,32,6)</f>
        <v>1.0112024128999999</v>
      </c>
      <c r="G9" s="4">
        <f ca="1">OFFSET(Northland_Reference,33,6)</f>
        <v>0.99464329399999996</v>
      </c>
      <c r="H9" s="4">
        <f ca="1">OFFSET(Northland_Reference,34,6)</f>
        <v>0.97017303300000002</v>
      </c>
      <c r="I9" s="1">
        <f ca="1">H9*('Updated Population'!I$4/'Updated Population'!H$4)</f>
        <v>0.97477446232481346</v>
      </c>
      <c r="J9" s="1">
        <f ca="1">I9*('Updated Population'!J$4/'Updated Population'!I$4)</f>
        <v>0.9762801240643999</v>
      </c>
      <c r="K9" s="1">
        <f ca="1">J9*('Updated Population'!K$4/'Updated Population'!J$4)</f>
        <v>0.97568678168704326</v>
      </c>
    </row>
    <row r="10" spans="1:11" x14ac:dyDescent="0.2">
      <c r="A10" t="str">
        <f ca="1">OFFSET(Northland_Reference,35,2)</f>
        <v>Motorcyclist</v>
      </c>
      <c r="B10" s="4">
        <f ca="1">OFFSET(Northland_Reference,35,6)</f>
        <v>9.2423909657000003</v>
      </c>
      <c r="C10" s="4">
        <f ca="1">OFFSET(Northland_Reference,36,6)</f>
        <v>9.5451597480999997</v>
      </c>
      <c r="D10" s="4">
        <f ca="1">OFFSET(Northland_Reference,37,6)</f>
        <v>9.316756002</v>
      </c>
      <c r="E10" s="4">
        <f ca="1">OFFSET(Northland_Reference,38,6)</f>
        <v>8.4790525605999996</v>
      </c>
      <c r="F10" s="4">
        <f ca="1">OFFSET(Northland_Reference,39,6)</f>
        <v>7.9014694030000001</v>
      </c>
      <c r="G10" s="4">
        <f ca="1">OFFSET(Northland_Reference,40,6)</f>
        <v>7.6014609684999996</v>
      </c>
      <c r="H10" s="4">
        <f ca="1">OFFSET(Northland_Reference,41,6)</f>
        <v>7.2104792200999999</v>
      </c>
      <c r="I10" s="1">
        <f ca="1">H10*('Updated Population'!I$4/'Updated Population'!H$4)</f>
        <v>7.244677769637839</v>
      </c>
      <c r="J10" s="1">
        <f ca="1">I10*('Updated Population'!J$4/'Updated Population'!I$4)</f>
        <v>7.255868085505738</v>
      </c>
      <c r="K10" s="1">
        <f ca="1">J10*('Updated Population'!K$4/'Updated Population'!J$4)</f>
        <v>7.2514582712387865</v>
      </c>
    </row>
    <row r="11" spans="1:11" x14ac:dyDescent="0.2">
      <c r="A11" t="str">
        <f ca="1">OFFSET(Auckland_Reference,42,2)</f>
        <v>Local Train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">
        <f>H11*('Updated Population'!I$4/'Updated Population'!H$4)</f>
        <v>0</v>
      </c>
      <c r="J11" s="1">
        <f>I11*('Updated Population'!J$4/'Updated Population'!I$4)</f>
        <v>0</v>
      </c>
      <c r="K11" s="1">
        <f>J11*('Updated Population'!K$4/'Updated Population'!J$4)</f>
        <v>0</v>
      </c>
    </row>
    <row r="12" spans="1:11" x14ac:dyDescent="0.2">
      <c r="A12" t="str">
        <f ca="1">OFFSET(Northland_Reference,42,2)</f>
        <v>Local Bus</v>
      </c>
      <c r="B12" s="4">
        <f ca="1">OFFSET(Northland_Reference,42,6)</f>
        <v>44.734594063999999</v>
      </c>
      <c r="C12" s="4">
        <f ca="1">OFFSET(Northland_Reference,43,6)</f>
        <v>39.205987982000003</v>
      </c>
      <c r="D12" s="4">
        <f ca="1">OFFSET(Northland_Reference,44,6)</f>
        <v>35.854320758999997</v>
      </c>
      <c r="E12" s="4">
        <f ca="1">OFFSET(Northland_Reference,45,6)</f>
        <v>33.098120516999998</v>
      </c>
      <c r="F12" s="4">
        <f ca="1">OFFSET(Northland_Reference,46,6)</f>
        <v>30.551498026000001</v>
      </c>
      <c r="G12" s="4">
        <f ca="1">OFFSET(Northland_Reference,47,6)</f>
        <v>28.582392772999999</v>
      </c>
      <c r="H12" s="4">
        <f ca="1">OFFSET(Northland_Reference,48,6)</f>
        <v>26.603315975000001</v>
      </c>
      <c r="I12" s="1">
        <f ca="1">H12*('Updated Population'!I$4/'Updated Population'!H$4)</f>
        <v>26.729492722962281</v>
      </c>
      <c r="J12" s="1">
        <f ca="1">I12*('Updated Population'!J$4/'Updated Population'!I$4)</f>
        <v>26.77077978583376</v>
      </c>
      <c r="K12" s="1">
        <f ca="1">J12*('Updated Population'!K$4/'Updated Population'!J$4)</f>
        <v>26.754509621430852</v>
      </c>
    </row>
    <row r="13" spans="1:11" x14ac:dyDescent="0.2">
      <c r="A13" t="str">
        <f ca="1">OFFSET(Northland_Reference,49,2)</f>
        <v>Local Ferry</v>
      </c>
      <c r="B13" s="4">
        <f ca="1">OFFSET(Northland_Reference,49,6)</f>
        <v>0</v>
      </c>
      <c r="C13" s="4">
        <f ca="1">OFFSET(Northland_Reference,50,6)</f>
        <v>0</v>
      </c>
      <c r="D13" s="4">
        <f ca="1">OFFSET(Northland_Reference,51,6)</f>
        <v>0</v>
      </c>
      <c r="E13" s="4">
        <f ca="1">OFFSET(Northland_Reference,52,6)</f>
        <v>0</v>
      </c>
      <c r="F13" s="4">
        <f ca="1">OFFSET(Northland_Reference,53,6)</f>
        <v>0</v>
      </c>
      <c r="G13" s="4">
        <f ca="1">OFFSET(Northland_Reference,54,6)</f>
        <v>0</v>
      </c>
      <c r="H13" s="4">
        <f ca="1">OFFSET(Northland_Reference,55,6)</f>
        <v>0</v>
      </c>
      <c r="I13" s="1">
        <f ca="1">H13*('Updated Population'!I$4/'Updated Population'!H$4)</f>
        <v>0</v>
      </c>
      <c r="J13" s="1">
        <f ca="1">I13*('Updated Population'!J$4/'Updated Population'!I$4)</f>
        <v>0</v>
      </c>
      <c r="K13" s="1">
        <f ca="1">J13*('Updated Population'!K$4/'Updated Population'!J$4)</f>
        <v>0</v>
      </c>
    </row>
    <row r="14" spans="1:11" x14ac:dyDescent="0.2">
      <c r="A14" t="str">
        <f ca="1">OFFSET(Northland_Reference,56,2)</f>
        <v>Other Household Travel</v>
      </c>
      <c r="B14" s="4">
        <f ca="1">OFFSET(Northland_Reference,56,6)</f>
        <v>0</v>
      </c>
      <c r="C14" s="4">
        <f ca="1">OFFSET(Northland_Reference,57,6)</f>
        <v>0</v>
      </c>
      <c r="D14" s="4">
        <f ca="1">OFFSET(Northland_Reference,58,6)</f>
        <v>0</v>
      </c>
      <c r="E14" s="4">
        <f ca="1">OFFSET(Northland_Reference,59,6)</f>
        <v>0</v>
      </c>
      <c r="F14" s="4">
        <f ca="1">OFFSET(Northland_Reference,60,6)</f>
        <v>0</v>
      </c>
      <c r="G14" s="4">
        <f ca="1">OFFSET(Northland_Reference,61,6)</f>
        <v>0</v>
      </c>
      <c r="H14" s="4">
        <f ca="1">OFFSET(Northland_Reference,62,6)</f>
        <v>0</v>
      </c>
      <c r="I14" s="1">
        <f ca="1">H14*('Updated Population'!I$4/'Updated Population'!H$4)</f>
        <v>0</v>
      </c>
      <c r="J14" s="1">
        <f ca="1">I14*('Updated Population'!J$4/'Updated Population'!I$4)</f>
        <v>0</v>
      </c>
      <c r="K14" s="1">
        <f ca="1">J14*('Updated Population'!K$4/'Updated Population'!J$4)</f>
        <v>0</v>
      </c>
    </row>
    <row r="15" spans="1:11" x14ac:dyDescent="0.2">
      <c r="A15" t="str">
        <f ca="1">OFFSET(Auckland_Reference,0,0)</f>
        <v>02 AUCKLAND</v>
      </c>
      <c r="I15" s="1"/>
      <c r="J15" s="1"/>
      <c r="K15" s="1"/>
    </row>
    <row r="16" spans="1:11" x14ac:dyDescent="0.2">
      <c r="A16" t="str">
        <f ca="1">OFFSET(Auckland_Reference,0,2)</f>
        <v>Pedestrian</v>
      </c>
      <c r="B16" s="4">
        <f ca="1">OFFSET(Auckland_Reference,0,6)</f>
        <v>294.55939388000002</v>
      </c>
      <c r="C16" s="4">
        <f ca="1">OFFSET(Auckland_Reference,1,6)</f>
        <v>324.23749728000001</v>
      </c>
      <c r="D16" s="4">
        <f ca="1">OFFSET(Auckland_Reference,2,6)</f>
        <v>345.21377604000003</v>
      </c>
      <c r="E16" s="4">
        <f ca="1">OFFSET(Auckland_Reference,3,6)</f>
        <v>364.10146356000001</v>
      </c>
      <c r="F16" s="4">
        <f ca="1">OFFSET(Auckland_Reference,4,6)</f>
        <v>380.6570595</v>
      </c>
      <c r="G16" s="4">
        <f ca="1">OFFSET(Auckland_Reference,5,6)</f>
        <v>397.44956268999999</v>
      </c>
      <c r="H16" s="4">
        <f ca="1">OFFSET(Auckland_Reference,6,6)</f>
        <v>412.01702911000001</v>
      </c>
      <c r="I16" s="1">
        <f ca="1">H16*('Updated Population'!I$15/'Updated Population'!H$15)</f>
        <v>429.72361609107321</v>
      </c>
      <c r="J16" s="1">
        <f ca="1">I16*('Updated Population'!J$15/'Updated Population'!I$15)</f>
        <v>446.76448065876173</v>
      </c>
      <c r="K16" s="1">
        <f ca="1">J16*('Updated Population'!K$15/'Updated Population'!J$15)</f>
        <v>463.48290773533716</v>
      </c>
    </row>
    <row r="17" spans="1:11" x14ac:dyDescent="0.2">
      <c r="A17" t="str">
        <f ca="1">OFFSET(Auckland_Reference,7,2)</f>
        <v>Cyclist</v>
      </c>
      <c r="B17" s="4">
        <f ca="1">OFFSET(Auckland_Reference,7,6)</f>
        <v>55.843008154000003</v>
      </c>
      <c r="C17" s="4">
        <f ca="1">OFFSET(Auckland_Reference,8,6)</f>
        <v>64.323243355000002</v>
      </c>
      <c r="D17" s="4">
        <f ca="1">OFFSET(Auckland_Reference,9,6)</f>
        <v>70.485647043</v>
      </c>
      <c r="E17" s="4">
        <f ca="1">OFFSET(Auckland_Reference,10,6)</f>
        <v>74.996569476000005</v>
      </c>
      <c r="F17" s="4">
        <f ca="1">OFFSET(Auckland_Reference,11,6)</f>
        <v>80.485757895999996</v>
      </c>
      <c r="G17" s="4">
        <f ca="1">OFFSET(Auckland_Reference,12,6)</f>
        <v>88.396800992999999</v>
      </c>
      <c r="H17" s="4">
        <f ca="1">OFFSET(Auckland_Reference,13,6)</f>
        <v>96.285089486000004</v>
      </c>
      <c r="I17" s="1">
        <f ca="1">H17*('Updated Population'!I$15/'Updated Population'!H$15)</f>
        <v>100.42297746516192</v>
      </c>
      <c r="J17" s="1">
        <f ca="1">I17*('Updated Population'!J$15/'Updated Population'!I$15)</f>
        <v>104.40529143253107</v>
      </c>
      <c r="K17" s="1">
        <f ca="1">J17*('Updated Population'!K$15/'Updated Population'!J$15)</f>
        <v>108.31225433309474</v>
      </c>
    </row>
    <row r="18" spans="1:11" x14ac:dyDescent="0.2">
      <c r="A18" t="str">
        <f ca="1">OFFSET(Auckland_Reference,14,2)</f>
        <v>Light Vehicle Driver</v>
      </c>
      <c r="B18" s="4">
        <f ca="1">OFFSET(Auckland_Reference,14,6)</f>
        <v>9374.4733825999992</v>
      </c>
      <c r="C18" s="4">
        <f ca="1">OFFSET(Auckland_Reference,15,6)</f>
        <v>10682.645270000001</v>
      </c>
      <c r="D18" s="4">
        <f ca="1">OFFSET(Auckland_Reference,16,6)</f>
        <v>11538.732435</v>
      </c>
      <c r="E18" s="4">
        <f ca="1">OFFSET(Auckland_Reference,17,6)</f>
        <v>12208.241561999999</v>
      </c>
      <c r="F18" s="4">
        <f ca="1">OFFSET(Auckland_Reference,18,6)</f>
        <v>12910.834150999999</v>
      </c>
      <c r="G18" s="4">
        <f ca="1">OFFSET(Auckland_Reference,19,6)</f>
        <v>13547.176586</v>
      </c>
      <c r="H18" s="4">
        <f ca="1">OFFSET(Auckland_Reference,20,6)</f>
        <v>14130.788447999999</v>
      </c>
      <c r="I18" s="1">
        <f ca="1">H18*('Updated Population'!I$15/'Updated Population'!H$15)</f>
        <v>14738.064402846167</v>
      </c>
      <c r="J18" s="1">
        <f ca="1">I18*('Updated Population'!J$15/'Updated Population'!I$15)</f>
        <v>15322.508333955471</v>
      </c>
      <c r="K18" s="1">
        <f ca="1">J18*('Updated Population'!K$15/'Updated Population'!J$15)</f>
        <v>15895.893751331825</v>
      </c>
    </row>
    <row r="19" spans="1:11" x14ac:dyDescent="0.2">
      <c r="A19" t="str">
        <f ca="1">OFFSET(Auckland_Reference,21,2)</f>
        <v>Light Vehicle Passenger</v>
      </c>
      <c r="B19" s="4">
        <f ca="1">OFFSET(Auckland_Reference,21,6)</f>
        <v>4814.6436660999998</v>
      </c>
      <c r="C19" s="4">
        <f ca="1">OFFSET(Auckland_Reference,22,6)</f>
        <v>5299.5171631000003</v>
      </c>
      <c r="D19" s="4">
        <f ca="1">OFFSET(Auckland_Reference,23,6)</f>
        <v>5674.9907599999997</v>
      </c>
      <c r="E19" s="4">
        <f ca="1">OFFSET(Auckland_Reference,24,6)</f>
        <v>6019.8205324999999</v>
      </c>
      <c r="F19" s="4">
        <f ca="1">OFFSET(Auckland_Reference,25,6)</f>
        <v>6327.6412596</v>
      </c>
      <c r="G19" s="4">
        <f ca="1">OFFSET(Auckland_Reference,26,6)</f>
        <v>6621.1981527999997</v>
      </c>
      <c r="H19" s="4">
        <f ca="1">OFFSET(Auckland_Reference,27,6)</f>
        <v>6875.3898245</v>
      </c>
      <c r="I19" s="1">
        <f ca="1">H19*('Updated Population'!I$15/'Updated Population'!H$15)</f>
        <v>7170.8622913037761</v>
      </c>
      <c r="J19" s="1">
        <f ca="1">I19*('Updated Population'!J$15/'Updated Population'!I$15)</f>
        <v>7455.2257485677919</v>
      </c>
      <c r="K19" s="1">
        <f ca="1">J19*('Updated Population'!K$15/'Updated Population'!J$15)</f>
        <v>7734.2086431637426</v>
      </c>
    </row>
    <row r="20" spans="1:11" x14ac:dyDescent="0.2">
      <c r="A20" t="str">
        <f ca="1">OFFSET(Auckland_Reference,28,2)</f>
        <v>Taxi/Vehicle Share</v>
      </c>
      <c r="B20" s="4">
        <f ca="1">OFFSET(Auckland_Reference,28,6)</f>
        <v>41.157157814999998</v>
      </c>
      <c r="C20" s="4">
        <f ca="1">OFFSET(Auckland_Reference,29,6)</f>
        <v>50.028657789</v>
      </c>
      <c r="D20" s="4">
        <f ca="1">OFFSET(Auckland_Reference,30,6)</f>
        <v>59.218597435</v>
      </c>
      <c r="E20" s="4">
        <f ca="1">OFFSET(Auckland_Reference,31,6)</f>
        <v>69.053840624000003</v>
      </c>
      <c r="F20" s="4">
        <f ca="1">OFFSET(Auckland_Reference,32,6)</f>
        <v>78.352185917</v>
      </c>
      <c r="G20" s="4">
        <f ca="1">OFFSET(Auckland_Reference,33,6)</f>
        <v>86.601620698000005</v>
      </c>
      <c r="H20" s="4">
        <f ca="1">OFFSET(Auckland_Reference,34,6)</f>
        <v>94.965837269000005</v>
      </c>
      <c r="I20" s="1">
        <f ca="1">H20*('Updated Population'!I$15/'Updated Population'!H$15)</f>
        <v>99.047029887339718</v>
      </c>
      <c r="J20" s="1">
        <f ca="1">I20*('Updated Population'!J$15/'Updated Population'!I$15)</f>
        <v>102.97478009454322</v>
      </c>
      <c r="K20" s="1">
        <f ca="1">J20*('Updated Population'!K$15/'Updated Population'!J$15)</f>
        <v>106.82821165919786</v>
      </c>
    </row>
    <row r="21" spans="1:11" x14ac:dyDescent="0.2">
      <c r="A21" t="str">
        <f ca="1">OFFSET(Auckland_Reference,35,2)</f>
        <v>Motorcyclist</v>
      </c>
      <c r="B21" s="4">
        <f ca="1">OFFSET(Auckland_Reference,35,6)</f>
        <v>43.570185572</v>
      </c>
      <c r="C21" s="4">
        <f ca="1">OFFSET(Auckland_Reference,36,6)</f>
        <v>49.945812476</v>
      </c>
      <c r="D21" s="4">
        <f ca="1">OFFSET(Auckland_Reference,37,6)</f>
        <v>54.167794825000001</v>
      </c>
      <c r="E21" s="4">
        <f ca="1">OFFSET(Auckland_Reference,38,6)</f>
        <v>58.128926276999998</v>
      </c>
      <c r="F21" s="4">
        <f ca="1">OFFSET(Auckland_Reference,39,6)</f>
        <v>62.295299972999999</v>
      </c>
      <c r="G21" s="4">
        <f ca="1">OFFSET(Auckland_Reference,40,6)</f>
        <v>64.702701042000001</v>
      </c>
      <c r="H21" s="4">
        <f ca="1">OFFSET(Auckland_Reference,41,6)</f>
        <v>66.909300877000007</v>
      </c>
      <c r="I21" s="1">
        <f ca="1">H21*('Updated Population'!I$15/'Updated Population'!H$15)</f>
        <v>69.784753278519801</v>
      </c>
      <c r="J21" s="1">
        <f ca="1">I21*('Updated Population'!J$15/'Updated Population'!I$15)</f>
        <v>72.55209601924733</v>
      </c>
      <c r="K21" s="1">
        <f ca="1">J21*('Updated Population'!K$15/'Updated Population'!J$15)</f>
        <v>75.267076683694867</v>
      </c>
    </row>
    <row r="22" spans="1:11" x14ac:dyDescent="0.2">
      <c r="A22" t="str">
        <f ca="1">OFFSET(Auckland_Reference,42,2)</f>
        <v>Local Train</v>
      </c>
      <c r="B22" s="4">
        <f ca="1">OFFSET(Auckland_Reference,42,6)</f>
        <v>126.27968744</v>
      </c>
      <c r="C22" s="4">
        <f ca="1">OFFSET(Auckland_Reference,43,6)</f>
        <v>144.32576847999999</v>
      </c>
      <c r="D22" s="4">
        <f ca="1">OFFSET(Auckland_Reference,44,6)</f>
        <v>156.37574419000001</v>
      </c>
      <c r="E22" s="4">
        <f ca="1">OFFSET(Auckland_Reference,45,6)</f>
        <v>167.89874710000001</v>
      </c>
      <c r="F22" s="4">
        <f ca="1">OFFSET(Auckland_Reference,46,6)</f>
        <v>178.86448240000001</v>
      </c>
      <c r="G22" s="4">
        <f ca="1">OFFSET(Auckland_Reference,47,6)</f>
        <v>187.36236491</v>
      </c>
      <c r="H22" s="4">
        <f ca="1">OFFSET(Auckland_Reference,48,6)</f>
        <v>194.74504454999999</v>
      </c>
      <c r="I22" s="1">
        <f ca="1">H22*('Updated Population'!I$15/'Updated Population'!H$15)</f>
        <v>203.1142861755371</v>
      </c>
      <c r="J22" s="1">
        <f ca="1">I22*('Updated Population'!J$15/'Updated Population'!I$15)</f>
        <v>211.1688657072948</v>
      </c>
      <c r="K22" s="1">
        <f ca="1">J22*('Updated Population'!K$15/'Updated Population'!J$15)</f>
        <v>219.07104109277958</v>
      </c>
    </row>
    <row r="23" spans="1:11" x14ac:dyDescent="0.2">
      <c r="A23" t="str">
        <f ca="1">OFFSET(Auckland_Reference,49,2)</f>
        <v>Local Bus</v>
      </c>
      <c r="B23" s="4">
        <f ca="1">OFFSET(Auckland_Reference,49,6)</f>
        <v>439.27566032999999</v>
      </c>
      <c r="C23" s="4">
        <f ca="1">OFFSET(Auckland_Reference,50,6)</f>
        <v>484.18754948999998</v>
      </c>
      <c r="D23" s="4">
        <f ca="1">OFFSET(Auckland_Reference,51,6)</f>
        <v>510.65408436000001</v>
      </c>
      <c r="E23" s="4">
        <f ca="1">OFFSET(Auckland_Reference,52,6)</f>
        <v>540.44903929999998</v>
      </c>
      <c r="F23" s="4">
        <f ca="1">OFFSET(Auckland_Reference,53,6)</f>
        <v>560.33770738999999</v>
      </c>
      <c r="G23" s="4">
        <f ca="1">OFFSET(Auckland_Reference,54,6)</f>
        <v>580.12991282999997</v>
      </c>
      <c r="H23" s="4">
        <f ca="1">OFFSET(Auckland_Reference,55,6)</f>
        <v>596.30149001999996</v>
      </c>
      <c r="I23" s="1">
        <f ca="1">H23*('Updated Population'!I$15/'Updated Population'!H$15)</f>
        <v>621.92777110549309</v>
      </c>
      <c r="J23" s="1">
        <f ca="1">I23*('Updated Population'!J$15/'Updated Population'!I$15)</f>
        <v>646.59056952159642</v>
      </c>
      <c r="K23" s="1">
        <f ca="1">J23*('Updated Population'!K$15/'Updated Population'!J$15)</f>
        <v>670.78671257443864</v>
      </c>
    </row>
    <row r="24" spans="1:11" x14ac:dyDescent="0.2">
      <c r="A24" t="str">
        <f ca="1">OFFSET(Auckland_Reference,56,2)</f>
        <v>Local Ferry</v>
      </c>
      <c r="B24" s="4">
        <f ca="1">OFFSET(Auckland_Reference,56,6)</f>
        <v>0</v>
      </c>
      <c r="C24" s="4">
        <f ca="1">OFFSET(Auckland_Reference,57,6)</f>
        <v>0</v>
      </c>
      <c r="D24" s="4">
        <f ca="1">OFFSET(Auckland_Reference,58,6)</f>
        <v>0</v>
      </c>
      <c r="E24" s="4">
        <f ca="1">OFFSET(Auckland_Reference,59,6)</f>
        <v>0</v>
      </c>
      <c r="F24" s="4">
        <f ca="1">OFFSET(Auckland_Reference,60,6)</f>
        <v>0</v>
      </c>
      <c r="G24" s="4">
        <f ca="1">OFFSET(Auckland_Reference,61,6)</f>
        <v>0</v>
      </c>
      <c r="H24" s="4">
        <f ca="1">OFFSET(Auckland_Reference,62,6)</f>
        <v>0</v>
      </c>
      <c r="I24" s="1">
        <f ca="1">H24*('Updated Population'!I$15/'Updated Population'!H$15)</f>
        <v>0</v>
      </c>
      <c r="J24" s="1">
        <f ca="1">I24*('Updated Population'!J$15/'Updated Population'!I$15)</f>
        <v>0</v>
      </c>
      <c r="K24" s="1">
        <f ca="1">J24*('Updated Population'!K$15/'Updated Population'!J$15)</f>
        <v>0</v>
      </c>
    </row>
    <row r="25" spans="1:11" x14ac:dyDescent="0.2">
      <c r="A25" t="str">
        <f ca="1">OFFSET(Auckland_Reference,63,2)</f>
        <v>Other Household Travel</v>
      </c>
      <c r="B25" s="4">
        <f ca="1">OFFSET(Auckland_Reference,63,6)</f>
        <v>1.8241938706</v>
      </c>
      <c r="C25" s="4">
        <f ca="1">OFFSET(Auckland_Reference,64,6)</f>
        <v>1.828931372</v>
      </c>
      <c r="D25" s="4">
        <f ca="1">OFFSET(Auckland_Reference,65,6)</f>
        <v>1.7646649882000001</v>
      </c>
      <c r="E25" s="4">
        <f ca="1">OFFSET(Auckland_Reference,66,6)</f>
        <v>1.7324432209</v>
      </c>
      <c r="F25" s="4">
        <f ca="1">OFFSET(Auckland_Reference,67,6)</f>
        <v>1.6212361179999999</v>
      </c>
      <c r="G25" s="4">
        <f ca="1">OFFSET(Auckland_Reference,68,6)</f>
        <v>1.4428453501</v>
      </c>
      <c r="H25" s="4">
        <f ca="1">OFFSET(Auckland_Reference,69,6)</f>
        <v>1.2707919969000001</v>
      </c>
      <c r="I25" s="1">
        <f ca="1">H25*('Updated Population'!I$15/'Updated Population'!H$15)</f>
        <v>1.3254047615145281</v>
      </c>
      <c r="J25" s="1">
        <f ca="1">I25*('Updated Population'!J$15/'Updated Population'!I$15)</f>
        <v>1.3779642257668996</v>
      </c>
      <c r="K25" s="1">
        <f ca="1">J25*('Updated Population'!K$15/'Updated Population'!J$15)</f>
        <v>1.4295291899033604</v>
      </c>
    </row>
    <row r="26" spans="1:11" x14ac:dyDescent="0.2">
      <c r="A26" t="str">
        <f ca="1">OFFSET(Waikato_Reference,0,0)</f>
        <v>03 WAIKATO</v>
      </c>
      <c r="I26" s="1"/>
      <c r="J26" s="1"/>
      <c r="K26" s="1"/>
    </row>
    <row r="27" spans="1:11" x14ac:dyDescent="0.2">
      <c r="A27" t="str">
        <f ca="1">OFFSET(Waikato_Reference,0,2)</f>
        <v>Pedestrian</v>
      </c>
      <c r="B27" s="4">
        <f ca="1">OFFSET(Waikato_Reference,0,6)</f>
        <v>52.675735545000002</v>
      </c>
      <c r="C27" s="4">
        <f ca="1">OFFSET(Waikato_Reference,1,6)</f>
        <v>55.911415208999998</v>
      </c>
      <c r="D27" s="4">
        <f ca="1">OFFSET(Waikato_Reference,2,6)</f>
        <v>58.183017065000001</v>
      </c>
      <c r="E27" s="4">
        <f ca="1">OFFSET(Waikato_Reference,3,6)</f>
        <v>59.541047353000003</v>
      </c>
      <c r="F27" s="4">
        <f ca="1">OFFSET(Waikato_Reference,4,6)</f>
        <v>60.242940095999998</v>
      </c>
      <c r="G27" s="4">
        <f ca="1">OFFSET(Waikato_Reference,5,6)</f>
        <v>60.670447520000003</v>
      </c>
      <c r="H27" s="4">
        <f ca="1">OFFSET(Waikato_Reference,6,6)</f>
        <v>60.843454364999999</v>
      </c>
      <c r="I27" s="1">
        <f ca="1">H27*('Updated Population'!I$26/'Updated Population'!H$26)</f>
        <v>62.138200179669674</v>
      </c>
      <c r="J27" s="1">
        <f ca="1">I27*('Updated Population'!J$26/'Updated Population'!I$26)</f>
        <v>63.258492423638415</v>
      </c>
      <c r="K27" s="1">
        <f ca="1">J27*('Updated Population'!K$26/'Updated Population'!J$26)</f>
        <v>64.260584891497857</v>
      </c>
    </row>
    <row r="28" spans="1:11" x14ac:dyDescent="0.2">
      <c r="A28" t="str">
        <f ca="1">OFFSET(Waikato_Reference,7,2)</f>
        <v>Cyclist</v>
      </c>
      <c r="B28" s="4">
        <f ca="1">OFFSET(Waikato_Reference,7,6)</f>
        <v>21.829422874999999</v>
      </c>
      <c r="C28" s="4">
        <f ca="1">OFFSET(Waikato_Reference,8,6)</f>
        <v>22.962464419</v>
      </c>
      <c r="D28" s="4">
        <f ca="1">OFFSET(Waikato_Reference,9,6)</f>
        <v>23.962271675</v>
      </c>
      <c r="E28" s="4">
        <f ca="1">OFFSET(Waikato_Reference,10,6)</f>
        <v>24.50879681</v>
      </c>
      <c r="F28" s="4">
        <f ca="1">OFFSET(Waikato_Reference,11,6)</f>
        <v>25.102605004000001</v>
      </c>
      <c r="G28" s="4">
        <f ca="1">OFFSET(Waikato_Reference,12,6)</f>
        <v>25.839488916000001</v>
      </c>
      <c r="H28" s="4">
        <f ca="1">OFFSET(Waikato_Reference,13,6)</f>
        <v>26.535505400000002</v>
      </c>
      <c r="I28" s="1">
        <f ca="1">H28*('Updated Population'!I$26/'Updated Population'!H$26)</f>
        <v>27.100179692664064</v>
      </c>
      <c r="J28" s="1">
        <f ca="1">I28*('Updated Population'!J$26/'Updated Population'!I$26)</f>
        <v>27.58876998063613</v>
      </c>
      <c r="K28" s="1">
        <f ca="1">J28*('Updated Population'!K$26/'Updated Population'!J$26)</f>
        <v>28.025810092340894</v>
      </c>
    </row>
    <row r="29" spans="1:11" x14ac:dyDescent="0.2">
      <c r="A29" t="str">
        <f ca="1">OFFSET(Waikato_Reference,14,2)</f>
        <v>Light Vehicle Driver</v>
      </c>
      <c r="B29" s="4">
        <f ca="1">OFFSET(Waikato_Reference,14,6)</f>
        <v>3709.9843593000001</v>
      </c>
      <c r="C29" s="4">
        <f ca="1">OFFSET(Waikato_Reference,15,6)</f>
        <v>4058.5916625</v>
      </c>
      <c r="D29" s="4">
        <f ca="1">OFFSET(Waikato_Reference,16,6)</f>
        <v>4292.6326912000004</v>
      </c>
      <c r="E29" s="4">
        <f ca="1">OFFSET(Waikato_Reference,17,6)</f>
        <v>4487.5972259</v>
      </c>
      <c r="F29" s="4">
        <f ca="1">OFFSET(Waikato_Reference,18,6)</f>
        <v>4666.1399758999996</v>
      </c>
      <c r="G29" s="4">
        <f ca="1">OFFSET(Waikato_Reference,19,6)</f>
        <v>4794.3030316000004</v>
      </c>
      <c r="H29" s="4">
        <f ca="1">OFFSET(Waikato_Reference,20,6)</f>
        <v>4907.4889635</v>
      </c>
      <c r="I29" s="1">
        <f ca="1">H29*('Updated Population'!I$26/'Updated Population'!H$26)</f>
        <v>5011.9200952025467</v>
      </c>
      <c r="J29" s="1">
        <f ca="1">I29*('Updated Population'!J$26/'Updated Population'!I$26)</f>
        <v>5102.2802149648105</v>
      </c>
      <c r="K29" s="1">
        <f ca="1">J29*('Updated Population'!K$26/'Updated Population'!J$26)</f>
        <v>5183.1066206604019</v>
      </c>
    </row>
    <row r="30" spans="1:11" x14ac:dyDescent="0.2">
      <c r="A30" t="str">
        <f ca="1">OFFSET(Waikato_Reference,21,2)</f>
        <v>Light Vehicle Passenger</v>
      </c>
      <c r="B30" s="4">
        <f ca="1">OFFSET(Waikato_Reference,21,6)</f>
        <v>1955.0668243</v>
      </c>
      <c r="C30" s="4">
        <f ca="1">OFFSET(Waikato_Reference,22,6)</f>
        <v>2059.3550424999999</v>
      </c>
      <c r="D30" s="4">
        <f ca="1">OFFSET(Waikato_Reference,23,6)</f>
        <v>2124.9436971999999</v>
      </c>
      <c r="E30" s="4">
        <f ca="1">OFFSET(Waikato_Reference,24,6)</f>
        <v>2167.9154852000001</v>
      </c>
      <c r="F30" s="4">
        <f ca="1">OFFSET(Waikato_Reference,25,6)</f>
        <v>2215.2838719000001</v>
      </c>
      <c r="G30" s="4">
        <f ca="1">OFFSET(Waikato_Reference,26,6)</f>
        <v>2244.0856131</v>
      </c>
      <c r="H30" s="4">
        <f ca="1">OFFSET(Waikato_Reference,27,6)</f>
        <v>2260.0942492999998</v>
      </c>
      <c r="I30" s="1">
        <f ca="1">H30*('Updated Population'!I$26/'Updated Population'!H$26)</f>
        <v>2308.1889474163427</v>
      </c>
      <c r="J30" s="1">
        <f ca="1">I30*('Updated Population'!J$26/'Updated Population'!I$26)</f>
        <v>2349.8033837522526</v>
      </c>
      <c r="K30" s="1">
        <f ca="1">J30*('Updated Population'!K$26/'Updated Population'!J$26)</f>
        <v>2387.0271648066496</v>
      </c>
    </row>
    <row r="31" spans="1:11" x14ac:dyDescent="0.2">
      <c r="A31" t="str">
        <f ca="1">OFFSET(Waikato_Reference,28,2)</f>
        <v>Taxi/Vehicle Share</v>
      </c>
      <c r="B31" s="4">
        <f ca="1">OFFSET(Waikato_Reference,28,6)</f>
        <v>2.4426175743999998</v>
      </c>
      <c r="C31" s="4">
        <f ca="1">OFFSET(Waikato_Reference,29,6)</f>
        <v>3.0155967268000001</v>
      </c>
      <c r="D31" s="4">
        <f ca="1">OFFSET(Waikato_Reference,30,6)</f>
        <v>3.4219008758</v>
      </c>
      <c r="E31" s="4">
        <f ca="1">OFFSET(Waikato_Reference,31,6)</f>
        <v>3.8014799571000002</v>
      </c>
      <c r="F31" s="4">
        <f ca="1">OFFSET(Waikato_Reference,32,6)</f>
        <v>4.1119055495000003</v>
      </c>
      <c r="G31" s="4">
        <f ca="1">OFFSET(Waikato_Reference,33,6)</f>
        <v>4.3095809516000001</v>
      </c>
      <c r="H31" s="4">
        <f ca="1">OFFSET(Waikato_Reference,34,6)</f>
        <v>4.5120411008000003</v>
      </c>
      <c r="I31" s="1">
        <f ca="1">H31*('Updated Population'!I$26/'Updated Population'!H$26)</f>
        <v>4.6080571207950598</v>
      </c>
      <c r="J31" s="1">
        <f ca="1">I31*('Updated Population'!J$26/'Updated Population'!I$26)</f>
        <v>4.6911359778791866</v>
      </c>
      <c r="K31" s="1">
        <f ca="1">J31*('Updated Population'!K$26/'Updated Population'!J$26)</f>
        <v>4.7654493522425074</v>
      </c>
    </row>
    <row r="32" spans="1:11" x14ac:dyDescent="0.2">
      <c r="A32" t="str">
        <f ca="1">OFFSET(Waikato_Reference,35,2)</f>
        <v>Motorcyclist</v>
      </c>
      <c r="B32" s="4">
        <f ca="1">OFFSET(Waikato_Reference,35,6)</f>
        <v>38.030338682999997</v>
      </c>
      <c r="C32" s="4">
        <f ca="1">OFFSET(Waikato_Reference,36,6)</f>
        <v>39.582526346000002</v>
      </c>
      <c r="D32" s="4">
        <f ca="1">OFFSET(Waikato_Reference,37,6)</f>
        <v>40.370271303000003</v>
      </c>
      <c r="E32" s="4">
        <f ca="1">OFFSET(Waikato_Reference,38,6)</f>
        <v>39.660286962999997</v>
      </c>
      <c r="F32" s="4">
        <f ca="1">OFFSET(Waikato_Reference,39,6)</f>
        <v>37.705855802999999</v>
      </c>
      <c r="G32" s="4">
        <f ca="1">OFFSET(Waikato_Reference,40,6)</f>
        <v>34.221121554</v>
      </c>
      <c r="H32" s="4">
        <f ca="1">OFFSET(Waikato_Reference,41,6)</f>
        <v>30.663202500000001</v>
      </c>
      <c r="I32" s="1">
        <f ca="1">H32*('Updated Population'!I$26/'Updated Population'!H$26)</f>
        <v>31.315713990604674</v>
      </c>
      <c r="J32" s="1">
        <f ca="1">I32*('Updated Population'!J$26/'Updated Population'!I$26)</f>
        <v>31.880306325055585</v>
      </c>
      <c r="K32" s="1">
        <f ca="1">J32*('Updated Population'!K$26/'Updated Population'!J$26)</f>
        <v>32.385329660538233</v>
      </c>
    </row>
    <row r="33" spans="1:11" x14ac:dyDescent="0.2">
      <c r="A33" t="str">
        <f ca="1">OFFSET(Waikato_Reference,42,2)</f>
        <v>Local Train</v>
      </c>
      <c r="B33" s="4">
        <f ca="1">OFFSET(Waikato_Reference,42,6)</f>
        <v>2.9773519310999998</v>
      </c>
      <c r="C33" s="4">
        <f ca="1">OFFSET(Waikato_Reference,43,6)</f>
        <v>3.2575234219999998</v>
      </c>
      <c r="D33" s="4">
        <f ca="1">OFFSET(Waikato_Reference,44,6)</f>
        <v>3.8685438181</v>
      </c>
      <c r="E33" s="4">
        <f ca="1">OFFSET(Waikato_Reference,45,6)</f>
        <v>4.3969988506000002</v>
      </c>
      <c r="F33" s="4">
        <f ca="1">OFFSET(Waikato_Reference,46,6)</f>
        <v>4.7603271114999997</v>
      </c>
      <c r="G33" s="4">
        <f ca="1">OFFSET(Waikato_Reference,47,6)</f>
        <v>5.0976279561000002</v>
      </c>
      <c r="H33" s="4">
        <f ca="1">OFFSET(Waikato_Reference,48,6)</f>
        <v>5.3820044290000002</v>
      </c>
      <c r="I33" s="1">
        <f ca="1">H33*('Updated Population'!I$26/'Updated Population'!H$26)</f>
        <v>5.4965332272365099</v>
      </c>
      <c r="J33" s="1">
        <f ca="1">I33*('Updated Population'!J$26/'Updated Population'!I$26)</f>
        <v>5.5956304576903175</v>
      </c>
      <c r="K33" s="1">
        <f ca="1">J33*('Updated Population'!K$26/'Updated Population'!J$26)</f>
        <v>5.6842721391427347</v>
      </c>
    </row>
    <row r="34" spans="1:11" x14ac:dyDescent="0.2">
      <c r="A34" t="str">
        <f ca="1">OFFSET(Waikato_Reference,49,2)</f>
        <v>Local Bus</v>
      </c>
      <c r="B34" s="4">
        <f ca="1">OFFSET(Waikato_Reference,49,6)</f>
        <v>54.303948532</v>
      </c>
      <c r="C34" s="4">
        <f ca="1">OFFSET(Waikato_Reference,50,6)</f>
        <v>52.211012922000002</v>
      </c>
      <c r="D34" s="4">
        <f ca="1">OFFSET(Waikato_Reference,51,6)</f>
        <v>51.340808866000003</v>
      </c>
      <c r="E34" s="4">
        <f ca="1">OFFSET(Waikato_Reference,52,6)</f>
        <v>51.014935751000003</v>
      </c>
      <c r="F34" s="4">
        <f ca="1">OFFSET(Waikato_Reference,53,6)</f>
        <v>50.441487391999999</v>
      </c>
      <c r="G34" s="4">
        <f ca="1">OFFSET(Waikato_Reference,54,6)</f>
        <v>49.944348787000003</v>
      </c>
      <c r="H34" s="4">
        <f ca="1">OFFSET(Waikato_Reference,55,6)</f>
        <v>49.117850707000002</v>
      </c>
      <c r="I34" s="1">
        <f ca="1">H34*('Updated Population'!I$26/'Updated Population'!H$26)</f>
        <v>50.163076233594047</v>
      </c>
      <c r="J34" s="1">
        <f ca="1">I34*('Updated Population'!J$26/'Updated Population'!I$26)</f>
        <v>51.067468460527174</v>
      </c>
      <c r="K34" s="1">
        <f ca="1">J34*('Updated Population'!K$26/'Updated Population'!J$26)</f>
        <v>51.876440086885765</v>
      </c>
    </row>
    <row r="35" spans="1:11" x14ac:dyDescent="0.2">
      <c r="A35" t="str">
        <f ca="1">OFFSET(Waikato_Reference,56,2)</f>
        <v>Local Ferry</v>
      </c>
      <c r="B35" s="4">
        <f ca="1">OFFSET(Waikato_Reference,56,6)</f>
        <v>0</v>
      </c>
      <c r="C35" s="4">
        <f ca="1">OFFSET(Waikato_Reference,57,6)</f>
        <v>0</v>
      </c>
      <c r="D35" s="4">
        <f ca="1">OFFSET(Waikato_Reference,58,6)</f>
        <v>0</v>
      </c>
      <c r="E35" s="4">
        <f ca="1">OFFSET(Waikato_Reference,59,6)</f>
        <v>0</v>
      </c>
      <c r="F35" s="4">
        <f ca="1">OFFSET(Waikato_Reference,60,6)</f>
        <v>0</v>
      </c>
      <c r="G35" s="4">
        <f ca="1">OFFSET(Waikato_Reference,61,6)</f>
        <v>0</v>
      </c>
      <c r="H35" s="4">
        <f ca="1">OFFSET(Waikato_Reference,62,6)</f>
        <v>0</v>
      </c>
      <c r="I35" s="1">
        <f ca="1">H35*('Updated Population'!I$26/'Updated Population'!H$26)</f>
        <v>0</v>
      </c>
      <c r="J35" s="1">
        <f ca="1">I35*('Updated Population'!J$26/'Updated Population'!I$26)</f>
        <v>0</v>
      </c>
      <c r="K35" s="1">
        <f ca="1">J35*('Updated Population'!K$26/'Updated Population'!J$26)</f>
        <v>0</v>
      </c>
    </row>
    <row r="36" spans="1:11" x14ac:dyDescent="0.2">
      <c r="A36" t="str">
        <f ca="1">OFFSET(Waikato_Reference,63,2)</f>
        <v>Other Household Travel</v>
      </c>
      <c r="B36" s="4">
        <f ca="1">OFFSET(Waikato_Reference,63,6)</f>
        <v>0</v>
      </c>
      <c r="C36" s="4">
        <f ca="1">OFFSET(Waikato_Reference,64,6)</f>
        <v>0</v>
      </c>
      <c r="D36" s="4">
        <f ca="1">OFFSET(Waikato_Reference,65,6)</f>
        <v>0</v>
      </c>
      <c r="E36" s="4">
        <f ca="1">OFFSET(Waikato_Reference,66,6)</f>
        <v>0</v>
      </c>
      <c r="F36" s="4">
        <f ca="1">OFFSET(Waikato_Reference,67,6)</f>
        <v>0</v>
      </c>
      <c r="G36" s="4">
        <f ca="1">OFFSET(Waikato_Reference,68,6)</f>
        <v>0</v>
      </c>
      <c r="H36" s="4">
        <f ca="1">OFFSET(Waikato_Reference,69,6)</f>
        <v>0</v>
      </c>
      <c r="I36" s="1">
        <f ca="1">H36*('Updated Population'!I$26/'Updated Population'!H$26)</f>
        <v>0</v>
      </c>
      <c r="J36" s="1">
        <f ca="1">I36*('Updated Population'!J$26/'Updated Population'!I$26)</f>
        <v>0</v>
      </c>
      <c r="K36" s="1">
        <f ca="1">J36*('Updated Population'!K$26/'Updated Population'!J$26)</f>
        <v>0</v>
      </c>
    </row>
    <row r="37" spans="1:11" x14ac:dyDescent="0.2">
      <c r="A37" t="str">
        <f ca="1">OFFSET(BOP_Reference,0,0)</f>
        <v>04 BAY OF PLENTY</v>
      </c>
      <c r="I37" s="1"/>
      <c r="J37" s="1"/>
      <c r="K37" s="1"/>
    </row>
    <row r="38" spans="1:11" x14ac:dyDescent="0.2">
      <c r="A38" t="str">
        <f ca="1">OFFSET(BOP_Reference,0,2)</f>
        <v>Pedestrian</v>
      </c>
      <c r="B38" s="4">
        <f ca="1">OFFSET(BOP_Reference,0,6)</f>
        <v>35.579183637</v>
      </c>
      <c r="C38" s="4">
        <f ca="1">OFFSET(BOP_Reference,1,6)</f>
        <v>35.091949002</v>
      </c>
      <c r="D38" s="4">
        <f ca="1">OFFSET(BOP_Reference,2,6)</f>
        <v>35.379661630000001</v>
      </c>
      <c r="E38" s="4">
        <f ca="1">OFFSET(BOP_Reference,3,6)</f>
        <v>35.767243018999999</v>
      </c>
      <c r="F38" s="4">
        <f ca="1">OFFSET(BOP_Reference,4,6)</f>
        <v>35.656544596000003</v>
      </c>
      <c r="G38" s="4">
        <f ca="1">OFFSET(BOP_Reference,5,6)</f>
        <v>35.650290413999997</v>
      </c>
      <c r="H38" s="4">
        <f ca="1">OFFSET(BOP_Reference,6,6)</f>
        <v>35.494976754</v>
      </c>
      <c r="I38" s="1">
        <f ca="1">H38*('Updated Population'!I$37/'Updated Population'!H$37)</f>
        <v>36.005443710191663</v>
      </c>
      <c r="J38" s="1">
        <f ca="1">I38*('Updated Population'!J$37/'Updated Population'!I$37)</f>
        <v>36.406992084763353</v>
      </c>
      <c r="K38" s="1">
        <f ca="1">J38*('Updated Population'!K$37/'Updated Population'!J$37)</f>
        <v>36.733905146812191</v>
      </c>
    </row>
    <row r="39" spans="1:11" x14ac:dyDescent="0.2">
      <c r="A39" t="str">
        <f ca="1">OFFSET(BOP_Reference,7,2)</f>
        <v>Cyclist</v>
      </c>
      <c r="B39" s="4">
        <f ca="1">OFFSET(BOP_Reference,7,6)</f>
        <v>8.5028812633000008</v>
      </c>
      <c r="C39" s="4">
        <f ca="1">OFFSET(BOP_Reference,8,6)</f>
        <v>8.2383239123000003</v>
      </c>
      <c r="D39" s="4">
        <f ca="1">OFFSET(BOP_Reference,9,6)</f>
        <v>8.1703735748999993</v>
      </c>
      <c r="E39" s="4">
        <f ca="1">OFFSET(BOP_Reference,10,6)</f>
        <v>8.1780492083999992</v>
      </c>
      <c r="F39" s="4">
        <f ca="1">OFFSET(BOP_Reference,11,6)</f>
        <v>8.0248130994999993</v>
      </c>
      <c r="G39" s="4">
        <f ca="1">OFFSET(BOP_Reference,12,6)</f>
        <v>7.9550943397999996</v>
      </c>
      <c r="H39" s="4">
        <f ca="1">OFFSET(BOP_Reference,13,6)</f>
        <v>7.8627291831999999</v>
      </c>
      <c r="I39" s="1">
        <f ca="1">H39*('Updated Population'!I$37/'Updated Population'!H$37)</f>
        <v>7.9758061253635182</v>
      </c>
      <c r="J39" s="1">
        <f ca="1">I39*('Updated Population'!J$37/'Updated Population'!I$37)</f>
        <v>8.0647557856236993</v>
      </c>
      <c r="K39" s="1">
        <f ca="1">J39*('Updated Population'!K$37/'Updated Population'!J$37)</f>
        <v>8.1371724797141098</v>
      </c>
    </row>
    <row r="40" spans="1:11" x14ac:dyDescent="0.2">
      <c r="A40" t="str">
        <f ca="1">OFFSET(BOP_Reference,14,2)</f>
        <v>Light Vehicle Driver</v>
      </c>
      <c r="B40" s="4">
        <f ca="1">OFFSET(BOP_Reference,14,6)</f>
        <v>1972.0747595</v>
      </c>
      <c r="C40" s="4">
        <f ca="1">OFFSET(BOP_Reference,15,6)</f>
        <v>2064.0753077999998</v>
      </c>
      <c r="D40" s="4">
        <f ca="1">OFFSET(BOP_Reference,16,6)</f>
        <v>2188.1354393000001</v>
      </c>
      <c r="E40" s="4">
        <f ca="1">OFFSET(BOP_Reference,17,6)</f>
        <v>2299.6263038000002</v>
      </c>
      <c r="F40" s="4">
        <f ca="1">OFFSET(BOP_Reference,18,6)</f>
        <v>2371.1070076999999</v>
      </c>
      <c r="G40" s="4">
        <f ca="1">OFFSET(BOP_Reference,19,6)</f>
        <v>2396.9395162000001</v>
      </c>
      <c r="H40" s="4">
        <f ca="1">OFFSET(BOP_Reference,20,6)</f>
        <v>2413.4689564</v>
      </c>
      <c r="I40" s="1">
        <f ca="1">H40*('Updated Population'!I$37/'Updated Population'!H$37)</f>
        <v>2448.1779846823679</v>
      </c>
      <c r="J40" s="1">
        <f ca="1">I40*('Updated Population'!J$37/'Updated Population'!I$37)</f>
        <v>2475.481130793386</v>
      </c>
      <c r="K40" s="1">
        <f ca="1">J40*('Updated Population'!K$37/'Updated Population'!J$37)</f>
        <v>2497.7094740365637</v>
      </c>
    </row>
    <row r="41" spans="1:11" x14ac:dyDescent="0.2">
      <c r="A41" t="str">
        <f ca="1">OFFSET(BOP_Reference,21,2)</f>
        <v>Light Vehicle Passenger</v>
      </c>
      <c r="B41" s="4">
        <f ca="1">OFFSET(BOP_Reference,21,6)</f>
        <v>1385.2330090999999</v>
      </c>
      <c r="C41" s="4">
        <f ca="1">OFFSET(BOP_Reference,22,6)</f>
        <v>1447.2760802</v>
      </c>
      <c r="D41" s="4">
        <f ca="1">OFFSET(BOP_Reference,23,6)</f>
        <v>1513.6325391</v>
      </c>
      <c r="E41" s="4">
        <f ca="1">OFFSET(BOP_Reference,24,6)</f>
        <v>1565.0249733999999</v>
      </c>
      <c r="F41" s="4">
        <f ca="1">OFFSET(BOP_Reference,25,6)</f>
        <v>1590.0374552000001</v>
      </c>
      <c r="G41" s="4">
        <f ca="1">OFFSET(BOP_Reference,26,6)</f>
        <v>1604.7756535000001</v>
      </c>
      <c r="H41" s="4">
        <f ca="1">OFFSET(BOP_Reference,27,6)</f>
        <v>1613.8698139999999</v>
      </c>
      <c r="I41" s="1">
        <f ca="1">H41*('Updated Population'!I$37/'Updated Population'!H$37)</f>
        <v>1637.0794984956897</v>
      </c>
      <c r="J41" s="1">
        <f ca="1">I41*('Updated Population'!J$37/'Updated Population'!I$37)</f>
        <v>1655.3369213719841</v>
      </c>
      <c r="K41" s="1">
        <f ca="1">J41*('Updated Population'!K$37/'Updated Population'!J$37)</f>
        <v>1670.2008590581377</v>
      </c>
    </row>
    <row r="42" spans="1:11" x14ac:dyDescent="0.2">
      <c r="A42" t="str">
        <f ca="1">OFFSET(BOP_Reference,28,2)</f>
        <v>Taxi/Vehicle Share</v>
      </c>
      <c r="B42" s="4">
        <f ca="1">OFFSET(BOP_Reference,28,6)</f>
        <v>0.98369936449999995</v>
      </c>
      <c r="C42" s="4">
        <f ca="1">OFFSET(BOP_Reference,29,6)</f>
        <v>0.89997979139999995</v>
      </c>
      <c r="D42" s="4">
        <f ca="1">OFFSET(BOP_Reference,30,6)</f>
        <v>0.8770570607</v>
      </c>
      <c r="E42" s="4">
        <f ca="1">OFFSET(BOP_Reference,31,6)</f>
        <v>0.88911281529999997</v>
      </c>
      <c r="F42" s="4">
        <f ca="1">OFFSET(BOP_Reference,32,6)</f>
        <v>0.86073790999999999</v>
      </c>
      <c r="G42" s="4">
        <f ca="1">OFFSET(BOP_Reference,33,6)</f>
        <v>0.83545778150000005</v>
      </c>
      <c r="H42" s="4">
        <f ca="1">OFFSET(BOP_Reference,34,6)</f>
        <v>0.80513026679999999</v>
      </c>
      <c r="I42" s="1">
        <f ca="1">H42*('Updated Population'!I$37/'Updated Population'!H$37)</f>
        <v>0.81670915582082071</v>
      </c>
      <c r="J42" s="1">
        <f ca="1">I42*('Updated Population'!J$37/'Updated Population'!I$37)</f>
        <v>0.82581745168456089</v>
      </c>
      <c r="K42" s="1">
        <f ca="1">J42*('Updated Population'!K$37/'Updated Population'!J$37)</f>
        <v>0.83323279957144525</v>
      </c>
    </row>
    <row r="43" spans="1:11" x14ac:dyDescent="0.2">
      <c r="A43" t="str">
        <f ca="1">OFFSET(BOP_Reference,35,2)</f>
        <v>Motorcyclist</v>
      </c>
      <c r="B43" s="4">
        <f ca="1">OFFSET(BOP_Reference,35,6)</f>
        <v>35.608960758999999</v>
      </c>
      <c r="C43" s="4">
        <f ca="1">OFFSET(BOP_Reference,36,6)</f>
        <v>38.315136817999999</v>
      </c>
      <c r="D43" s="4">
        <f ca="1">OFFSET(BOP_Reference,37,6)</f>
        <v>39.956933358999997</v>
      </c>
      <c r="E43" s="4">
        <f ca="1">OFFSET(BOP_Reference,38,6)</f>
        <v>39.345682910999997</v>
      </c>
      <c r="F43" s="4">
        <f ca="1">OFFSET(BOP_Reference,39,6)</f>
        <v>37.776716829999998</v>
      </c>
      <c r="G43" s="4">
        <f ca="1">OFFSET(BOP_Reference,40,6)</f>
        <v>35.826111204999997</v>
      </c>
      <c r="H43" s="4">
        <f ca="1">OFFSET(BOP_Reference,41,6)</f>
        <v>33.865968353</v>
      </c>
      <c r="I43" s="1">
        <f ca="1">H43*('Updated Population'!I$37/'Updated Population'!H$37)</f>
        <v>34.35300791083521</v>
      </c>
      <c r="J43" s="1">
        <f ca="1">I43*('Updated Population'!J$37/'Updated Population'!I$37)</f>
        <v>34.736127602381728</v>
      </c>
      <c r="K43" s="1">
        <f ca="1">J43*('Updated Population'!K$37/'Updated Population'!J$37)</f>
        <v>35.048037298513044</v>
      </c>
    </row>
    <row r="44" spans="1:11" x14ac:dyDescent="0.2">
      <c r="A44" t="str">
        <f ca="1">OFFSET(Auckland_Reference,42,2)</f>
        <v>Local Train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1">
        <f>H44*('Updated Population'!I$37/'Updated Population'!H$37)</f>
        <v>0</v>
      </c>
      <c r="J44" s="1">
        <f>I44*('Updated Population'!J$37/'Updated Population'!I$37)</f>
        <v>0</v>
      </c>
      <c r="K44" s="1">
        <f>J44*('Updated Population'!K$37/'Updated Population'!J$37)</f>
        <v>0</v>
      </c>
    </row>
    <row r="45" spans="1:11" x14ac:dyDescent="0.2">
      <c r="A45" t="str">
        <f ca="1">OFFSET(BOP_Reference,42,2)</f>
        <v>Local Bus</v>
      </c>
      <c r="B45" s="4">
        <f ca="1">OFFSET(BOP_Reference,42,6)</f>
        <v>52.669440211999998</v>
      </c>
      <c r="C45" s="4">
        <f ca="1">OFFSET(BOP_Reference,43,6)</f>
        <v>50.020171181000002</v>
      </c>
      <c r="D45" s="4">
        <f ca="1">OFFSET(BOP_Reference,44,6)</f>
        <v>48.557222426999999</v>
      </c>
      <c r="E45" s="4">
        <f ca="1">OFFSET(BOP_Reference,45,6)</f>
        <v>47.480551876</v>
      </c>
      <c r="F45" s="4">
        <f ca="1">OFFSET(BOP_Reference,46,6)</f>
        <v>45.957881567999998</v>
      </c>
      <c r="G45" s="4">
        <f ca="1">OFFSET(BOP_Reference,47,6)</f>
        <v>45.102182765999999</v>
      </c>
      <c r="H45" s="4">
        <f ca="1">OFFSET(BOP_Reference,48,6)</f>
        <v>43.992389525</v>
      </c>
      <c r="I45" s="1">
        <f ca="1">H45*('Updated Population'!I$37/'Updated Population'!H$37)</f>
        <v>44.625061052919627</v>
      </c>
      <c r="J45" s="1">
        <f ca="1">I45*('Updated Population'!J$37/'Updated Population'!I$37)</f>
        <v>45.12273915057601</v>
      </c>
      <c r="K45" s="1">
        <f ca="1">J45*('Updated Population'!K$37/'Updated Population'!J$37)</f>
        <v>45.527914419914431</v>
      </c>
    </row>
    <row r="46" spans="1:11" x14ac:dyDescent="0.2">
      <c r="A46" t="str">
        <f ca="1">OFFSET(Waikato_Reference,56,2)</f>
        <v>Local Ferry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1">
        <f>H46*('Updated Population'!I$37/'Updated Population'!H$37)</f>
        <v>0</v>
      </c>
      <c r="J46" s="1">
        <f>I46*('Updated Population'!J$37/'Updated Population'!I$37)</f>
        <v>0</v>
      </c>
      <c r="K46" s="1">
        <f>J46*('Updated Population'!K$37/'Updated Population'!J$37)</f>
        <v>0</v>
      </c>
    </row>
    <row r="47" spans="1:11" x14ac:dyDescent="0.2">
      <c r="A47" t="str">
        <f ca="1">OFFSET(BOP_Reference,49,2)</f>
        <v>Other Household Travel</v>
      </c>
      <c r="B47" s="4">
        <f ca="1">OFFSET(BOP_Reference,49,6)</f>
        <v>0</v>
      </c>
      <c r="C47" s="4">
        <f ca="1">OFFSET(BOP_Reference,50,6)</f>
        <v>0</v>
      </c>
      <c r="D47" s="4">
        <f ca="1">OFFSET(BOP_Reference,51,6)</f>
        <v>0</v>
      </c>
      <c r="E47" s="4">
        <f ca="1">OFFSET(BOP_Reference,52,6)</f>
        <v>0</v>
      </c>
      <c r="F47" s="4">
        <f ca="1">OFFSET(BOP_Reference,53,6)</f>
        <v>0</v>
      </c>
      <c r="G47" s="4">
        <f ca="1">OFFSET(BOP_Reference,54,6)</f>
        <v>0</v>
      </c>
      <c r="H47" s="4">
        <f ca="1">OFFSET(BOP_Reference,55,6)</f>
        <v>0</v>
      </c>
      <c r="I47" s="1">
        <f ca="1">H47*('Updated Population'!I$37/'Updated Population'!H$37)</f>
        <v>0</v>
      </c>
      <c r="J47" s="1">
        <f ca="1">I47*('Updated Population'!J$37/'Updated Population'!I$37)</f>
        <v>0</v>
      </c>
      <c r="K47" s="1">
        <f ca="1">J47*('Updated Population'!K$37/'Updated Population'!J$37)</f>
        <v>0</v>
      </c>
    </row>
    <row r="48" spans="1:11" x14ac:dyDescent="0.2">
      <c r="A48" t="str">
        <f ca="1">OFFSET(Gisborne_Reference,0,0)</f>
        <v>05 GISBORNE</v>
      </c>
      <c r="I48" s="1"/>
      <c r="J48" s="1"/>
      <c r="K48" s="1"/>
    </row>
    <row r="49" spans="1:11" x14ac:dyDescent="0.2">
      <c r="A49" t="str">
        <f ca="1">OFFSET(Gisborne_Reference,0,2)</f>
        <v>Pedestrian</v>
      </c>
      <c r="B49" s="4">
        <f ca="1">OFFSET(Gisborne_Reference,0,6)</f>
        <v>7.5635235767999998</v>
      </c>
      <c r="C49" s="4">
        <f ca="1">OFFSET(Gisborne_Reference,1,6)</f>
        <v>7.3214013378000002</v>
      </c>
      <c r="D49" s="4">
        <f ca="1">OFFSET(Gisborne_Reference,2,6)</f>
        <v>7.1354192753000003</v>
      </c>
      <c r="E49" s="4">
        <f ca="1">OFFSET(Gisborne_Reference,3,6)</f>
        <v>7.0845506903000004</v>
      </c>
      <c r="F49" s="4">
        <f ca="1">OFFSET(Gisborne_Reference,4,6)</f>
        <v>7.0042001376999998</v>
      </c>
      <c r="G49" s="4">
        <f ca="1">OFFSET(Gisborne_Reference,5,6)</f>
        <v>6.8425320151999998</v>
      </c>
      <c r="H49" s="4">
        <f ca="1">OFFSET(Gisborne_Reference,6,6)</f>
        <v>6.7007903966000004</v>
      </c>
      <c r="I49" s="1">
        <f ca="1">H49*('Updated Population'!I$48/'Updated Population'!H$48)</f>
        <v>6.637900148626767</v>
      </c>
      <c r="J49" s="1">
        <f ca="1">I49*('Updated Population'!J$48/'Updated Population'!I$48)</f>
        <v>6.5546688885814675</v>
      </c>
      <c r="K49" s="1">
        <f ca="1">J49*('Updated Population'!K$48/'Updated Population'!J$48)</f>
        <v>6.4585714679091906</v>
      </c>
    </row>
    <row r="50" spans="1:11" x14ac:dyDescent="0.2">
      <c r="A50" t="str">
        <f ca="1">OFFSET(Gisborne_Reference,7,2)</f>
        <v>Cyclist</v>
      </c>
      <c r="B50" s="4">
        <f ca="1">OFFSET(Gisborne_Reference,7,6)</f>
        <v>3.8031873472000002</v>
      </c>
      <c r="C50" s="4">
        <f ca="1">OFFSET(Gisborne_Reference,8,6)</f>
        <v>3.4550945738999999</v>
      </c>
      <c r="D50" s="4">
        <f ca="1">OFFSET(Gisborne_Reference,9,6)</f>
        <v>3.2670618392000002</v>
      </c>
      <c r="E50" s="4">
        <f ca="1">OFFSET(Gisborne_Reference,10,6)</f>
        <v>3.1325375879999999</v>
      </c>
      <c r="F50" s="4">
        <f ca="1">OFFSET(Gisborne_Reference,11,6)</f>
        <v>2.9482601467</v>
      </c>
      <c r="G50" s="4">
        <f ca="1">OFFSET(Gisborne_Reference,12,6)</f>
        <v>2.7203872609999999</v>
      </c>
      <c r="H50" s="4">
        <f ca="1">OFFSET(Gisborne_Reference,13,6)</f>
        <v>2.4983628373000002</v>
      </c>
      <c r="I50" s="1">
        <f ca="1">H50*('Updated Population'!I$48/'Updated Population'!H$48)</f>
        <v>2.4749144604570783</v>
      </c>
      <c r="J50" s="1">
        <f ca="1">I50*('Updated Population'!J$48/'Updated Population'!I$48)</f>
        <v>2.4438820188059651</v>
      </c>
      <c r="K50" s="1">
        <f ca="1">J50*('Updated Population'!K$48/'Updated Population'!J$48)</f>
        <v>2.4080524807428403</v>
      </c>
    </row>
    <row r="51" spans="1:11" x14ac:dyDescent="0.2">
      <c r="A51" t="str">
        <f ca="1">OFFSET(Gisborne_Reference,14,2)</f>
        <v>Light Vehicle Driver</v>
      </c>
      <c r="B51" s="4">
        <f ca="1">OFFSET(Gisborne_Reference,14,6)</f>
        <v>241.40144318</v>
      </c>
      <c r="C51" s="4">
        <f ca="1">OFFSET(Gisborne_Reference,15,6)</f>
        <v>251.56359605</v>
      </c>
      <c r="D51" s="4">
        <f ca="1">OFFSET(Gisborne_Reference,16,6)</f>
        <v>254.27543401</v>
      </c>
      <c r="E51" s="4">
        <f ca="1">OFFSET(Gisborne_Reference,17,6)</f>
        <v>253.19937268999999</v>
      </c>
      <c r="F51" s="4">
        <f ca="1">OFFSET(Gisborne_Reference,18,6)</f>
        <v>251.24364360999999</v>
      </c>
      <c r="G51" s="4">
        <f ca="1">OFFSET(Gisborne_Reference,19,6)</f>
        <v>249.18902521000001</v>
      </c>
      <c r="H51" s="4">
        <f ca="1">OFFSET(Gisborne_Reference,20,6)</f>
        <v>246.26123222000001</v>
      </c>
      <c r="I51" s="1">
        <f ca="1">H51*('Updated Population'!I$48/'Updated Population'!H$48)</f>
        <v>243.94994817082753</v>
      </c>
      <c r="J51" s="1">
        <f ca="1">I51*('Updated Population'!J$48/'Updated Population'!I$48)</f>
        <v>240.89111011668115</v>
      </c>
      <c r="K51" s="1">
        <f ca="1">J51*('Updated Population'!K$48/'Updated Population'!J$48)</f>
        <v>237.3594268633255</v>
      </c>
    </row>
    <row r="52" spans="1:11" x14ac:dyDescent="0.2">
      <c r="A52" t="str">
        <f ca="1">OFFSET(Gisborne_Reference,21,2)</f>
        <v>Light Vehicle Passenger</v>
      </c>
      <c r="B52" s="4">
        <f ca="1">OFFSET(Gisborne_Reference,21,6)</f>
        <v>174.74236519999999</v>
      </c>
      <c r="C52" s="4">
        <f ca="1">OFFSET(Gisborne_Reference,22,6)</f>
        <v>165.91769871</v>
      </c>
      <c r="D52" s="4">
        <f ca="1">OFFSET(Gisborne_Reference,23,6)</f>
        <v>158.59136022000001</v>
      </c>
      <c r="E52" s="4">
        <f ca="1">OFFSET(Gisborne_Reference,24,6)</f>
        <v>154.27993871000001</v>
      </c>
      <c r="F52" s="4">
        <f ca="1">OFFSET(Gisborne_Reference,25,6)</f>
        <v>148.29510931999999</v>
      </c>
      <c r="G52" s="4">
        <f ca="1">OFFSET(Gisborne_Reference,26,6)</f>
        <v>143.30285739999999</v>
      </c>
      <c r="H52" s="4">
        <f ca="1">OFFSET(Gisborne_Reference,27,6)</f>
        <v>137.94193118000001</v>
      </c>
      <c r="I52" s="1">
        <f ca="1">H52*('Updated Population'!I$48/'Updated Population'!H$48)</f>
        <v>136.64727760268192</v>
      </c>
      <c r="J52" s="1">
        <f ca="1">I52*('Updated Population'!J$48/'Updated Population'!I$48)</f>
        <v>134.93388558985029</v>
      </c>
      <c r="K52" s="1">
        <f ca="1">J52*('Updated Population'!K$48/'Updated Population'!J$48)</f>
        <v>132.95563183105835</v>
      </c>
    </row>
    <row r="53" spans="1:11" x14ac:dyDescent="0.2">
      <c r="A53" t="str">
        <f ca="1">OFFSET(Gisborne_Reference,28,2)</f>
        <v>Taxi/Vehicle Share</v>
      </c>
      <c r="B53" s="4">
        <f ca="1">OFFSET(Gisborne_Reference,28,6)</f>
        <v>0.1174510768</v>
      </c>
      <c r="C53" s="4">
        <f ca="1">OFFSET(Gisborne_Reference,29,6)</f>
        <v>0.1638076577</v>
      </c>
      <c r="D53" s="4">
        <f ca="1">OFFSET(Gisborne_Reference,30,6)</f>
        <v>0.23694604799999999</v>
      </c>
      <c r="E53" s="4">
        <f ca="1">OFFSET(Gisborne_Reference,31,6)</f>
        <v>0.34430738779999998</v>
      </c>
      <c r="F53" s="4">
        <f ca="1">OFFSET(Gisborne_Reference,32,6)</f>
        <v>0.46271353910000002</v>
      </c>
      <c r="G53" s="4">
        <f ca="1">OFFSET(Gisborne_Reference,33,6)</f>
        <v>0.54845742289999999</v>
      </c>
      <c r="H53" s="4">
        <f ca="1">OFFSET(Gisborne_Reference,34,6)</f>
        <v>0.64775924309999999</v>
      </c>
      <c r="I53" s="1">
        <f ca="1">H53*('Updated Population'!I$48/'Updated Population'!H$48)</f>
        <v>0.64167970068569269</v>
      </c>
      <c r="J53" s="1">
        <f ca="1">I53*('Updated Population'!J$48/'Updated Population'!I$48)</f>
        <v>0.6336338113475396</v>
      </c>
      <c r="K53" s="1">
        <f ca="1">J53*('Updated Population'!K$48/'Updated Population'!J$48)</f>
        <v>0.62434416209808374</v>
      </c>
    </row>
    <row r="54" spans="1:11" x14ac:dyDescent="0.2">
      <c r="A54" t="str">
        <f ca="1">OFFSET(Gisborne_Reference,35,2)</f>
        <v>Motorcyclist</v>
      </c>
      <c r="B54" s="4">
        <f ca="1">OFFSET(Gisborne_Reference,35,6)</f>
        <v>0.95186353219999997</v>
      </c>
      <c r="C54" s="4">
        <f ca="1">OFFSET(Gisborne_Reference,36,6)</f>
        <v>0.98749501529999995</v>
      </c>
      <c r="D54" s="4">
        <f ca="1">OFFSET(Gisborne_Reference,37,6)</f>
        <v>0.97068374609999997</v>
      </c>
      <c r="E54" s="4">
        <f ca="1">OFFSET(Gisborne_Reference,38,6)</f>
        <v>0.92017352600000002</v>
      </c>
      <c r="F54" s="4">
        <f ca="1">OFFSET(Gisborne_Reference,39,6)</f>
        <v>0.85173746500000003</v>
      </c>
      <c r="G54" s="4">
        <f ca="1">OFFSET(Gisborne_Reference,40,6)</f>
        <v>0.78405372780000004</v>
      </c>
      <c r="H54" s="4">
        <f ca="1">OFFSET(Gisborne_Reference,41,6)</f>
        <v>0.71635773290000004</v>
      </c>
      <c r="I54" s="1">
        <f ca="1">H54*('Updated Population'!I$48/'Updated Population'!H$48)</f>
        <v>0.7096343595674327</v>
      </c>
      <c r="J54" s="1">
        <f ca="1">I54*('Updated Population'!J$48/'Updated Population'!I$48)</f>
        <v>0.70073640078592625</v>
      </c>
      <c r="K54" s="1">
        <f ca="1">J54*('Updated Population'!K$48/'Updated Population'!J$48)</f>
        <v>0.69046296640939964</v>
      </c>
    </row>
    <row r="55" spans="1:11" x14ac:dyDescent="0.2">
      <c r="A55" t="str">
        <f ca="1">OFFSET(Gisborne_Reference,42,2)</f>
        <v>Local Train</v>
      </c>
      <c r="B55" s="4">
        <f ca="1">OFFSET(Gisborne_Reference,42,6)</f>
        <v>0</v>
      </c>
      <c r="C55" s="4">
        <f ca="1">OFFSET(Gisborne_Reference,43,6)</f>
        <v>0</v>
      </c>
      <c r="D55" s="4">
        <f ca="1">OFFSET(Gisborne_Reference,44,6)</f>
        <v>0</v>
      </c>
      <c r="E55" s="4">
        <f ca="1">OFFSET(Gisborne_Reference,45,6)</f>
        <v>0</v>
      </c>
      <c r="F55" s="4">
        <f ca="1">OFFSET(Gisborne_Reference,46,6)</f>
        <v>0</v>
      </c>
      <c r="G55" s="4">
        <f ca="1">OFFSET(Gisborne_Reference,47,6)</f>
        <v>0</v>
      </c>
      <c r="H55" s="4">
        <f ca="1">OFFSET(Gisborne_Reference,48,6)</f>
        <v>0</v>
      </c>
      <c r="I55" s="1">
        <f ca="1">H55*('Updated Population'!I$48/'Updated Population'!H$48)</f>
        <v>0</v>
      </c>
      <c r="J55" s="1">
        <f ca="1">I55*('Updated Population'!J$48/'Updated Population'!I$48)</f>
        <v>0</v>
      </c>
      <c r="K55" s="1">
        <f ca="1">J55*('Updated Population'!K$48/'Updated Population'!J$48)</f>
        <v>0</v>
      </c>
    </row>
    <row r="56" spans="1:11" x14ac:dyDescent="0.2">
      <c r="A56" t="str">
        <f ca="1">OFFSET(Gisborne_Reference,49,2)</f>
        <v>Local Bus</v>
      </c>
      <c r="B56" s="4">
        <f ca="1">OFFSET(Gisborne_Reference,49,6)</f>
        <v>4.8778387282000004</v>
      </c>
      <c r="C56" s="4">
        <f ca="1">OFFSET(Gisborne_Reference,50,6)</f>
        <v>4.3745403245999999</v>
      </c>
      <c r="D56" s="4">
        <f ca="1">OFFSET(Gisborne_Reference,51,6)</f>
        <v>4.0372990479000004</v>
      </c>
      <c r="E56" s="4">
        <f ca="1">OFFSET(Gisborne_Reference,52,6)</f>
        <v>3.9517236578000001</v>
      </c>
      <c r="F56" s="4">
        <f ca="1">OFFSET(Gisborne_Reference,53,6)</f>
        <v>3.6798282111999998</v>
      </c>
      <c r="G56" s="4">
        <f ca="1">OFFSET(Gisborne_Reference,54,6)</f>
        <v>3.6314756244000002</v>
      </c>
      <c r="H56" s="4">
        <f ca="1">OFFSET(Gisborne_Reference,55,6)</f>
        <v>3.5762527427999999</v>
      </c>
      <c r="I56" s="1">
        <f ca="1">H56*('Updated Population'!I$48/'Updated Population'!H$48)</f>
        <v>3.5426878335135124</v>
      </c>
      <c r="J56" s="1">
        <f ca="1">I56*('Updated Population'!J$48/'Updated Population'!I$48)</f>
        <v>3.4982668019028633</v>
      </c>
      <c r="K56" s="1">
        <f ca="1">J56*('Updated Population'!K$48/'Updated Population'!J$48)</f>
        <v>3.446979021818052</v>
      </c>
    </row>
    <row r="57" spans="1:11" x14ac:dyDescent="0.2">
      <c r="A57" t="str">
        <f ca="1">OFFSET(Gisborne_Reference,56,2)</f>
        <v>Local Ferry</v>
      </c>
      <c r="B57" s="4">
        <f ca="1">OFFSET(Gisborne_Reference,56,6)</f>
        <v>0</v>
      </c>
      <c r="C57" s="4">
        <f ca="1">OFFSET(Gisborne_Reference,57,6)</f>
        <v>0</v>
      </c>
      <c r="D57" s="4">
        <f ca="1">OFFSET(Gisborne_Reference,58,6)</f>
        <v>0</v>
      </c>
      <c r="E57" s="4">
        <f ca="1">OFFSET(Gisborne_Reference,59,6)</f>
        <v>0</v>
      </c>
      <c r="F57" s="4">
        <f ca="1">OFFSET(Gisborne_Reference,60,6)</f>
        <v>0</v>
      </c>
      <c r="G57" s="4">
        <f ca="1">OFFSET(Gisborne_Reference,61,6)</f>
        <v>0</v>
      </c>
      <c r="H57" s="4">
        <f ca="1">OFFSET(Gisborne_Reference,62,6)</f>
        <v>0</v>
      </c>
      <c r="I57" s="1">
        <f ca="1">H57*('Updated Population'!I$48/'Updated Population'!H$48)</f>
        <v>0</v>
      </c>
      <c r="J57" s="1">
        <f ca="1">I57*('Updated Population'!J$48/'Updated Population'!I$48)</f>
        <v>0</v>
      </c>
      <c r="K57" s="1">
        <f ca="1">J57*('Updated Population'!K$48/'Updated Population'!J$48)</f>
        <v>0</v>
      </c>
    </row>
    <row r="58" spans="1:11" x14ac:dyDescent="0.2">
      <c r="A58" t="str">
        <f ca="1">OFFSET(Gisborne_Reference,63,2)</f>
        <v>Other Household Travel</v>
      </c>
      <c r="B58" s="4">
        <f ca="1">OFFSET(Gisborne_Reference,63,6)</f>
        <v>0</v>
      </c>
      <c r="C58" s="4">
        <f ca="1">OFFSET(Gisborne_Reference,64,6)</f>
        <v>0</v>
      </c>
      <c r="D58" s="4">
        <f ca="1">OFFSET(Gisborne_Reference,65,6)</f>
        <v>0</v>
      </c>
      <c r="E58" s="4">
        <f ca="1">OFFSET(Gisborne_Reference,66,6)</f>
        <v>0</v>
      </c>
      <c r="F58" s="4">
        <f ca="1">OFFSET(Gisborne_Reference,67,6)</f>
        <v>0</v>
      </c>
      <c r="G58" s="4">
        <f ca="1">OFFSET(Gisborne_Reference,68,6)</f>
        <v>0</v>
      </c>
      <c r="H58" s="4">
        <f ca="1">OFFSET(Gisborne_Reference,69,6)</f>
        <v>0</v>
      </c>
      <c r="I58" s="1">
        <f ca="1">H58*('Updated Population'!I$48/'Updated Population'!H$48)</f>
        <v>0</v>
      </c>
      <c r="J58" s="1">
        <f ca="1">I58*('Updated Population'!J$48/'Updated Population'!I$48)</f>
        <v>0</v>
      </c>
      <c r="K58" s="1">
        <f ca="1">J58*('Updated Population'!K$48/'Updated Population'!J$48)</f>
        <v>0</v>
      </c>
    </row>
    <row r="59" spans="1:11" x14ac:dyDescent="0.2">
      <c r="A59" t="str">
        <f ca="1">OFFSET(Hawkes_Bay_Reference,0,0)</f>
        <v>06 HAWKE`S BAY</v>
      </c>
      <c r="I59" s="1"/>
      <c r="J59" s="1"/>
      <c r="K59" s="1"/>
    </row>
    <row r="60" spans="1:11" x14ac:dyDescent="0.2">
      <c r="A60" t="str">
        <f ca="1">OFFSET(Hawkes_Bay_Reference,0,2)</f>
        <v>Pedestrian</v>
      </c>
      <c r="B60" s="4">
        <f ca="1">OFFSET(Hawkes_Bay_Reference,0,6)</f>
        <v>22.691613215</v>
      </c>
      <c r="C60" s="4">
        <f ca="1">OFFSET(Hawkes_Bay_Reference,1,6)</f>
        <v>23.418206013999999</v>
      </c>
      <c r="D60" s="4">
        <f ca="1">OFFSET(Hawkes_Bay_Reference,2,6)</f>
        <v>23.946917025000001</v>
      </c>
      <c r="E60" s="4">
        <f ca="1">OFFSET(Hawkes_Bay_Reference,3,6)</f>
        <v>24.127110074000001</v>
      </c>
      <c r="F60" s="4">
        <f ca="1">OFFSET(Hawkes_Bay_Reference,4,6)</f>
        <v>24.069405184000001</v>
      </c>
      <c r="G60" s="4">
        <f ca="1">OFFSET(Hawkes_Bay_Reference,5,6)</f>
        <v>24.129550263999999</v>
      </c>
      <c r="H60" s="4">
        <f ca="1">OFFSET(Hawkes_Bay_Reference,6,6)</f>
        <v>24.054112357000001</v>
      </c>
      <c r="I60" s="1">
        <f ca="1">H60*('Updated Population'!I$59/'Updated Population'!H$59)</f>
        <v>23.88769456900706</v>
      </c>
      <c r="J60" s="1">
        <f ca="1">I60*('Updated Population'!J$59/'Updated Population'!I$59)</f>
        <v>23.646915562167486</v>
      </c>
      <c r="K60" s="1">
        <f ca="1">J60*('Updated Population'!K$59/'Updated Population'!J$59)</f>
        <v>23.358257002647065</v>
      </c>
    </row>
    <row r="61" spans="1:11" x14ac:dyDescent="0.2">
      <c r="A61" t="str">
        <f ca="1">OFFSET(Hawkes_Bay_Reference,7,2)</f>
        <v>Cyclist</v>
      </c>
      <c r="B61" s="4">
        <f ca="1">OFFSET(Hawkes_Bay_Reference,7,6)</f>
        <v>9.5482363540000001</v>
      </c>
      <c r="C61" s="4">
        <f ca="1">OFFSET(Hawkes_Bay_Reference,8,6)</f>
        <v>10.138616153999999</v>
      </c>
      <c r="D61" s="4">
        <f ca="1">OFFSET(Hawkes_Bay_Reference,9,6)</f>
        <v>10.485251509999999</v>
      </c>
      <c r="E61" s="4">
        <f ca="1">OFFSET(Hawkes_Bay_Reference,10,6)</f>
        <v>10.829339596000001</v>
      </c>
      <c r="F61" s="4">
        <f ca="1">OFFSET(Hawkes_Bay_Reference,11,6)</f>
        <v>11.138281901999999</v>
      </c>
      <c r="G61" s="4">
        <f ca="1">OFFSET(Hawkes_Bay_Reference,12,6)</f>
        <v>11.151492352</v>
      </c>
      <c r="H61" s="4">
        <f ca="1">OFFSET(Hawkes_Bay_Reference,13,6)</f>
        <v>11.104819279000001</v>
      </c>
      <c r="I61" s="1">
        <f ca="1">H61*('Updated Population'!I$59/'Updated Population'!H$59)</f>
        <v>11.027990858435368</v>
      </c>
      <c r="J61" s="1">
        <f ca="1">I61*('Updated Population'!J$59/'Updated Population'!I$59)</f>
        <v>10.916832844477206</v>
      </c>
      <c r="K61" s="1">
        <f ca="1">J61*('Updated Population'!K$59/'Updated Population'!J$59)</f>
        <v>10.783570760670655</v>
      </c>
    </row>
    <row r="62" spans="1:11" x14ac:dyDescent="0.2">
      <c r="A62" t="str">
        <f ca="1">OFFSET(Hawkes_Bay_Reference,14,2)</f>
        <v>Light Vehicle Driver</v>
      </c>
      <c r="B62" s="4">
        <f ca="1">OFFSET(Hawkes_Bay_Reference,14,6)</f>
        <v>1001.7566771</v>
      </c>
      <c r="C62" s="4">
        <f ca="1">OFFSET(Hawkes_Bay_Reference,15,6)</f>
        <v>1074.0285553000001</v>
      </c>
      <c r="D62" s="4">
        <f ca="1">OFFSET(Hawkes_Bay_Reference,16,6)</f>
        <v>1118.7781339999999</v>
      </c>
      <c r="E62" s="4">
        <f ca="1">OFFSET(Hawkes_Bay_Reference,17,6)</f>
        <v>1148.0499122000001</v>
      </c>
      <c r="F62" s="4">
        <f ca="1">OFFSET(Hawkes_Bay_Reference,18,6)</f>
        <v>1167.1010573999999</v>
      </c>
      <c r="G62" s="4">
        <f ca="1">OFFSET(Hawkes_Bay_Reference,19,6)</f>
        <v>1166.6433945000001</v>
      </c>
      <c r="H62" s="4">
        <f ca="1">OFFSET(Hawkes_Bay_Reference,20,6)</f>
        <v>1160.6864674000001</v>
      </c>
      <c r="I62" s="1">
        <f ca="1">H62*('Updated Population'!I$59/'Updated Population'!H$59)</f>
        <v>1152.6562864649784</v>
      </c>
      <c r="J62" s="1">
        <f ca="1">I62*('Updated Population'!J$59/'Updated Population'!I$59)</f>
        <v>1141.0379431761071</v>
      </c>
      <c r="K62" s="1">
        <f ca="1">J62*('Updated Population'!K$59/'Updated Population'!J$59)</f>
        <v>1127.1092610962203</v>
      </c>
    </row>
    <row r="63" spans="1:11" x14ac:dyDescent="0.2">
      <c r="A63" t="str">
        <f ca="1">OFFSET(Hawkes_Bay_Reference,21,2)</f>
        <v>Light Vehicle Passenger</v>
      </c>
      <c r="B63" s="4">
        <f ca="1">OFFSET(Hawkes_Bay_Reference,21,6)</f>
        <v>607.82570181000006</v>
      </c>
      <c r="C63" s="4">
        <f ca="1">OFFSET(Hawkes_Bay_Reference,22,6)</f>
        <v>633.52389414000004</v>
      </c>
      <c r="D63" s="4">
        <f ca="1">OFFSET(Hawkes_Bay_Reference,23,6)</f>
        <v>649.72763724000004</v>
      </c>
      <c r="E63" s="4">
        <f ca="1">OFFSET(Hawkes_Bay_Reference,24,6)</f>
        <v>651.97721736000005</v>
      </c>
      <c r="F63" s="4">
        <f ca="1">OFFSET(Hawkes_Bay_Reference,25,6)</f>
        <v>641.75951333</v>
      </c>
      <c r="G63" s="4">
        <f ca="1">OFFSET(Hawkes_Bay_Reference,26,6)</f>
        <v>627.44158480999999</v>
      </c>
      <c r="H63" s="4">
        <f ca="1">OFFSET(Hawkes_Bay_Reference,27,6)</f>
        <v>609.97157515000004</v>
      </c>
      <c r="I63" s="1">
        <f ca="1">H63*('Updated Population'!I$59/'Updated Population'!H$59)</f>
        <v>605.75150172685869</v>
      </c>
      <c r="J63" s="1">
        <f ca="1">I63*('Updated Population'!J$59/'Updated Population'!I$59)</f>
        <v>599.6457536582858</v>
      </c>
      <c r="K63" s="1">
        <f ca="1">J63*('Updated Population'!K$59/'Updated Population'!J$59)</f>
        <v>592.32586117512119</v>
      </c>
    </row>
    <row r="64" spans="1:11" x14ac:dyDescent="0.2">
      <c r="A64" t="str">
        <f ca="1">OFFSET(Hawkes_Bay_Reference,28,2)</f>
        <v>Taxi/Vehicle Share</v>
      </c>
      <c r="B64" s="4">
        <f ca="1">OFFSET(Hawkes_Bay_Reference,28,6)</f>
        <v>1.7589425135000001</v>
      </c>
      <c r="C64" s="4">
        <f ca="1">OFFSET(Hawkes_Bay_Reference,29,6)</f>
        <v>1.7173685516999999</v>
      </c>
      <c r="D64" s="4">
        <f ca="1">OFFSET(Hawkes_Bay_Reference,30,6)</f>
        <v>1.7012103219000001</v>
      </c>
      <c r="E64" s="4">
        <f ca="1">OFFSET(Hawkes_Bay_Reference,31,6)</f>
        <v>1.7247248821000001</v>
      </c>
      <c r="F64" s="4">
        <f ca="1">OFFSET(Hawkes_Bay_Reference,32,6)</f>
        <v>1.7962449283999999</v>
      </c>
      <c r="G64" s="4">
        <f ca="1">OFFSET(Hawkes_Bay_Reference,33,6)</f>
        <v>1.8102472839999999</v>
      </c>
      <c r="H64" s="4">
        <f ca="1">OFFSET(Hawkes_Bay_Reference,34,6)</f>
        <v>1.8223769205</v>
      </c>
      <c r="I64" s="1">
        <f ca="1">H64*('Updated Population'!I$59/'Updated Population'!H$59)</f>
        <v>1.8097688503497522</v>
      </c>
      <c r="J64" s="1">
        <f ca="1">I64*('Updated Population'!J$59/'Updated Population'!I$59)</f>
        <v>1.7915270587386949</v>
      </c>
      <c r="K64" s="1">
        <f ca="1">J64*('Updated Population'!K$59/'Updated Population'!J$59)</f>
        <v>1.769657837835114</v>
      </c>
    </row>
    <row r="65" spans="1:11" x14ac:dyDescent="0.2">
      <c r="A65" t="str">
        <f ca="1">OFFSET(Hawkes_Bay_Reference,35,2)</f>
        <v>Motorcyclist</v>
      </c>
      <c r="B65" s="4">
        <f ca="1">OFFSET(Hawkes_Bay_Reference,35,6)</f>
        <v>3.0321841239</v>
      </c>
      <c r="C65" s="4">
        <f ca="1">OFFSET(Hawkes_Bay_Reference,36,6)</f>
        <v>3.1914722688000001</v>
      </c>
      <c r="D65" s="4">
        <f ca="1">OFFSET(Hawkes_Bay_Reference,37,6)</f>
        <v>3.2802338867</v>
      </c>
      <c r="E65" s="4">
        <f ca="1">OFFSET(Hawkes_Bay_Reference,38,6)</f>
        <v>3.1331678662</v>
      </c>
      <c r="F65" s="4">
        <f ca="1">OFFSET(Hawkes_Bay_Reference,39,6)</f>
        <v>2.9334277147000001</v>
      </c>
      <c r="G65" s="4">
        <f ca="1">OFFSET(Hawkes_Bay_Reference,40,6)</f>
        <v>2.8018503563000001</v>
      </c>
      <c r="H65" s="4">
        <f ca="1">OFFSET(Hawkes_Bay_Reference,41,6)</f>
        <v>2.6798811333999999</v>
      </c>
      <c r="I65" s="1">
        <f ca="1">H65*('Updated Population'!I$59/'Updated Population'!H$59)</f>
        <v>2.6613404413268351</v>
      </c>
      <c r="J65" s="1">
        <f ca="1">I65*('Updated Population'!J$59/'Updated Population'!I$59)</f>
        <v>2.6345151272943932</v>
      </c>
      <c r="K65" s="1">
        <f ca="1">J65*('Updated Population'!K$59/'Updated Population'!J$59)</f>
        <v>2.6023555274649661</v>
      </c>
    </row>
    <row r="66" spans="1:11" x14ac:dyDescent="0.2">
      <c r="A66" t="str">
        <f ca="1">OFFSET(Auckland_Reference,42,2)</f>
        <v>Local Train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1">
        <f>H66*('Updated Population'!I$59/'Updated Population'!H$59)</f>
        <v>0</v>
      </c>
      <c r="J66" s="1">
        <f>I66*('Updated Population'!J$59/'Updated Population'!I$59)</f>
        <v>0</v>
      </c>
      <c r="K66" s="1">
        <f>J66*('Updated Population'!K$59/'Updated Population'!J$59)</f>
        <v>0</v>
      </c>
    </row>
    <row r="67" spans="1:11" x14ac:dyDescent="0.2">
      <c r="A67" t="str">
        <f ca="1">OFFSET(Hawkes_Bay_Reference,42,2)</f>
        <v>Local Bus</v>
      </c>
      <c r="B67" s="4">
        <f ca="1">OFFSET(Hawkes_Bay_Reference,42,6)</f>
        <v>39.591997026999998</v>
      </c>
      <c r="C67" s="4">
        <f ca="1">OFFSET(Hawkes_Bay_Reference,43,6)</f>
        <v>38.361259404000002</v>
      </c>
      <c r="D67" s="4">
        <f ca="1">OFFSET(Hawkes_Bay_Reference,44,6)</f>
        <v>37.386645309999999</v>
      </c>
      <c r="E67" s="4">
        <f ca="1">OFFSET(Hawkes_Bay_Reference,45,6)</f>
        <v>36.841733109000003</v>
      </c>
      <c r="F67" s="4">
        <f ca="1">OFFSET(Hawkes_Bay_Reference,46,6)</f>
        <v>35.118572356000001</v>
      </c>
      <c r="G67" s="4">
        <f ca="1">OFFSET(Hawkes_Bay_Reference,47,6)</f>
        <v>34.300981016000001</v>
      </c>
      <c r="H67" s="4">
        <f ca="1">OFFSET(Hawkes_Bay_Reference,48,6)</f>
        <v>33.339615952000003</v>
      </c>
      <c r="I67" s="1">
        <f ca="1">H67*('Updated Population'!I$59/'Updated Population'!H$59)</f>
        <v>33.108956634502825</v>
      </c>
      <c r="J67" s="1">
        <f ca="1">I67*('Updated Population'!J$59/'Updated Population'!I$59)</f>
        <v>32.775230762677033</v>
      </c>
      <c r="K67" s="1">
        <f ca="1">J67*('Updated Population'!K$59/'Updated Population'!J$59)</f>
        <v>32.375142604243379</v>
      </c>
    </row>
    <row r="68" spans="1:11" x14ac:dyDescent="0.2">
      <c r="A68" t="str">
        <f ca="1">OFFSET(Waikato_Reference,56,2)</f>
        <v>Local Ferry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1">
        <f>H68*('Updated Population'!I$59/'Updated Population'!H$59)</f>
        <v>0</v>
      </c>
      <c r="J68" s="1">
        <f>I68*('Updated Population'!J$59/'Updated Population'!I$59)</f>
        <v>0</v>
      </c>
      <c r="K68" s="1">
        <f>J68*('Updated Population'!K$59/'Updated Population'!J$59)</f>
        <v>0</v>
      </c>
    </row>
    <row r="69" spans="1:11" x14ac:dyDescent="0.2">
      <c r="A69" t="str">
        <f ca="1">OFFSET(Hawkes_Bay_Reference,49,2)</f>
        <v>Other Household Travel</v>
      </c>
      <c r="B69" s="4">
        <f ca="1">OFFSET(Hawkes_Bay_Reference,49,6)</f>
        <v>0</v>
      </c>
      <c r="C69" s="4">
        <f ca="1">OFFSET(Hawkes_Bay_Reference,50,6)</f>
        <v>0</v>
      </c>
      <c r="D69" s="4">
        <f ca="1">OFFSET(Hawkes_Bay_Reference,51,6)</f>
        <v>0</v>
      </c>
      <c r="E69" s="4">
        <f ca="1">OFFSET(Hawkes_Bay_Reference,52,6)</f>
        <v>0</v>
      </c>
      <c r="F69" s="4">
        <f ca="1">OFFSET(Hawkes_Bay_Reference,53,6)</f>
        <v>0</v>
      </c>
      <c r="G69" s="4">
        <f ca="1">OFFSET(Hawkes_Bay_Reference,54,6)</f>
        <v>0</v>
      </c>
      <c r="H69" s="4">
        <f ca="1">OFFSET(Hawkes_Bay_Reference,55,6)</f>
        <v>0</v>
      </c>
      <c r="I69" s="1">
        <f ca="1">H69*('Updated Population'!I$59/'Updated Population'!H$59)</f>
        <v>0</v>
      </c>
      <c r="J69" s="1">
        <f ca="1">I69*('Updated Population'!J$59/'Updated Population'!I$59)</f>
        <v>0</v>
      </c>
      <c r="K69" s="1">
        <f ca="1">J69*('Updated Population'!K$59/'Updated Population'!J$59)</f>
        <v>0</v>
      </c>
    </row>
    <row r="70" spans="1:11" x14ac:dyDescent="0.2">
      <c r="A70" t="str">
        <f ca="1">OFFSET(Taranaki_Reference,0,0)</f>
        <v>07 TARANAKI</v>
      </c>
      <c r="I70" s="1"/>
      <c r="J70" s="1"/>
      <c r="K70" s="1"/>
    </row>
    <row r="71" spans="1:11" x14ac:dyDescent="0.2">
      <c r="A71" t="str">
        <f ca="1">OFFSET(Taranaki_Reference,0,2)</f>
        <v>Pedestrian</v>
      </c>
      <c r="B71" s="4">
        <f ca="1">OFFSET(Taranaki_Reference,0,6)</f>
        <v>16.820589198</v>
      </c>
      <c r="C71" s="4">
        <f ca="1">OFFSET(Taranaki_Reference,1,6)</f>
        <v>17.692860114999998</v>
      </c>
      <c r="D71" s="4">
        <f ca="1">OFFSET(Taranaki_Reference,2,6)</f>
        <v>18.161813358</v>
      </c>
      <c r="E71" s="4">
        <f ca="1">OFFSET(Taranaki_Reference,3,6)</f>
        <v>18.460673945</v>
      </c>
      <c r="F71" s="4">
        <f ca="1">OFFSET(Taranaki_Reference,4,6)</f>
        <v>18.583565827000001</v>
      </c>
      <c r="G71" s="4">
        <f ca="1">OFFSET(Taranaki_Reference,5,6)</f>
        <v>18.685750297999999</v>
      </c>
      <c r="H71" s="4">
        <f ca="1">OFFSET(Taranaki_Reference,6,6)</f>
        <v>18.718498239999999</v>
      </c>
      <c r="I71" s="1">
        <f ca="1">H71*('Updated Population'!I$70/'Updated Population'!H$70)</f>
        <v>18.841558886095857</v>
      </c>
      <c r="J71" s="1">
        <f ca="1">I71*('Updated Population'!J$70/'Updated Population'!I$70)</f>
        <v>18.905058340363777</v>
      </c>
      <c r="K71" s="1">
        <f ca="1">J71*('Updated Population'!K$70/'Updated Population'!J$70)</f>
        <v>18.9280066835823</v>
      </c>
    </row>
    <row r="72" spans="1:11" x14ac:dyDescent="0.2">
      <c r="A72" t="str">
        <f ca="1">OFFSET(Taranaki_Reference,7,2)</f>
        <v>Cyclist</v>
      </c>
      <c r="B72" s="4">
        <f ca="1">OFFSET(Taranaki_Reference,7,6)</f>
        <v>5.5737915155</v>
      </c>
      <c r="C72" s="4">
        <f ca="1">OFFSET(Taranaki_Reference,8,6)</f>
        <v>5.7568896104</v>
      </c>
      <c r="D72" s="4">
        <f ca="1">OFFSET(Taranaki_Reference,9,6)</f>
        <v>5.8132661280000004</v>
      </c>
      <c r="E72" s="4">
        <f ca="1">OFFSET(Taranaki_Reference,10,6)</f>
        <v>5.6996068239</v>
      </c>
      <c r="F72" s="4">
        <f ca="1">OFFSET(Taranaki_Reference,11,6)</f>
        <v>5.7519651597000001</v>
      </c>
      <c r="G72" s="4">
        <f ca="1">OFFSET(Taranaki_Reference,12,6)</f>
        <v>5.9056402023999999</v>
      </c>
      <c r="H72" s="4">
        <f ca="1">OFFSET(Taranaki_Reference,13,6)</f>
        <v>6.0717625328000002</v>
      </c>
      <c r="I72" s="1">
        <f ca="1">H72*('Updated Population'!I$70/'Updated Population'!H$70)</f>
        <v>6.1116799989688566</v>
      </c>
      <c r="J72" s="1">
        <f ca="1">I72*('Updated Population'!J$70/'Updated Population'!I$70)</f>
        <v>6.1322774636978004</v>
      </c>
      <c r="K72" s="1">
        <f ca="1">J72*('Updated Population'!K$70/'Updated Population'!J$70)</f>
        <v>6.1397212708215099</v>
      </c>
    </row>
    <row r="73" spans="1:11" x14ac:dyDescent="0.2">
      <c r="A73" t="str">
        <f ca="1">OFFSET(Taranaki_Reference,14,2)</f>
        <v>Light Vehicle Driver</v>
      </c>
      <c r="B73" s="4">
        <f ca="1">OFFSET(Taranaki_Reference,14,6)</f>
        <v>933.36875414999997</v>
      </c>
      <c r="C73" s="4">
        <f ca="1">OFFSET(Taranaki_Reference,15,6)</f>
        <v>1016.0998587</v>
      </c>
      <c r="D73" s="4">
        <f ca="1">OFFSET(Taranaki_Reference,16,6)</f>
        <v>1075.0754944</v>
      </c>
      <c r="E73" s="4">
        <f ca="1">OFFSET(Taranaki_Reference,17,6)</f>
        <v>1097.911617</v>
      </c>
      <c r="F73" s="4">
        <f ca="1">OFFSET(Taranaki_Reference,18,6)</f>
        <v>1102.4804220999999</v>
      </c>
      <c r="G73" s="4">
        <f ca="1">OFFSET(Taranaki_Reference,19,6)</f>
        <v>1119.7332316</v>
      </c>
      <c r="H73" s="4">
        <f ca="1">OFFSET(Taranaki_Reference,20,6)</f>
        <v>1133.2985885999999</v>
      </c>
      <c r="I73" s="1">
        <f ca="1">H73*('Updated Population'!I$70/'Updated Population'!H$70)</f>
        <v>1140.7492106928885</v>
      </c>
      <c r="J73" s="1">
        <f ca="1">I73*('Updated Population'!J$70/'Updated Population'!I$70)</f>
        <v>1144.5937414333364</v>
      </c>
      <c r="K73" s="1">
        <f ca="1">J73*('Updated Population'!K$70/'Updated Population'!J$70)</f>
        <v>1145.9831330739908</v>
      </c>
    </row>
    <row r="74" spans="1:11" x14ac:dyDescent="0.2">
      <c r="A74" t="str">
        <f ca="1">OFFSET(Taranaki_Reference,21,2)</f>
        <v>Light Vehicle Passenger</v>
      </c>
      <c r="B74" s="4">
        <f ca="1">OFFSET(Taranaki_Reference,21,6)</f>
        <v>656.25872372000003</v>
      </c>
      <c r="C74" s="4">
        <f ca="1">OFFSET(Taranaki_Reference,22,6)</f>
        <v>659.98628889999998</v>
      </c>
      <c r="D74" s="4">
        <f ca="1">OFFSET(Taranaki_Reference,23,6)</f>
        <v>652.95767995000006</v>
      </c>
      <c r="E74" s="4">
        <f ca="1">OFFSET(Taranaki_Reference,24,6)</f>
        <v>644.54715467000005</v>
      </c>
      <c r="F74" s="4">
        <f ca="1">OFFSET(Taranaki_Reference,25,6)</f>
        <v>639.51516071000003</v>
      </c>
      <c r="G74" s="4">
        <f ca="1">OFFSET(Taranaki_Reference,26,6)</f>
        <v>629.40956846999995</v>
      </c>
      <c r="H74" s="4">
        <f ca="1">OFFSET(Taranaki_Reference,27,6)</f>
        <v>616.93854875</v>
      </c>
      <c r="I74" s="1">
        <f ca="1">H74*('Updated Population'!I$70/'Updated Population'!H$70)</f>
        <v>620.99447542943733</v>
      </c>
      <c r="J74" s="1">
        <f ca="1">I74*('Updated Population'!J$70/'Updated Population'!I$70)</f>
        <v>623.08733889851374</v>
      </c>
      <c r="K74" s="1">
        <f ca="1">J74*('Updated Population'!K$70/'Updated Population'!J$70)</f>
        <v>623.84368790578606</v>
      </c>
    </row>
    <row r="75" spans="1:11" x14ac:dyDescent="0.2">
      <c r="A75" t="str">
        <f ca="1">OFFSET(Taranaki_Reference,28,2)</f>
        <v>Taxi/Vehicle Share</v>
      </c>
      <c r="B75" s="4">
        <f ca="1">OFFSET(Taranaki_Reference,28,6)</f>
        <v>1.1335038904000001</v>
      </c>
      <c r="C75" s="4">
        <f ca="1">OFFSET(Taranaki_Reference,29,6)</f>
        <v>1.3774725749000001</v>
      </c>
      <c r="D75" s="4">
        <f ca="1">OFFSET(Taranaki_Reference,30,6)</f>
        <v>1.5229465226000001</v>
      </c>
      <c r="E75" s="4">
        <f ca="1">OFFSET(Taranaki_Reference,31,6)</f>
        <v>1.6576578834</v>
      </c>
      <c r="F75" s="4">
        <f ca="1">OFFSET(Taranaki_Reference,32,6)</f>
        <v>1.6994461579</v>
      </c>
      <c r="G75" s="4">
        <f ca="1">OFFSET(Taranaki_Reference,33,6)</f>
        <v>1.7276466235000001</v>
      </c>
      <c r="H75" s="4">
        <f ca="1">OFFSET(Taranaki_Reference,34,6)</f>
        <v>1.7404999216999999</v>
      </c>
      <c r="I75" s="1">
        <f ca="1">H75*('Updated Population'!I$70/'Updated Population'!H$70)</f>
        <v>1.7519424552915299</v>
      </c>
      <c r="J75" s="1">
        <f ca="1">I75*('Updated Population'!J$70/'Updated Population'!I$70)</f>
        <v>1.7578468175840738</v>
      </c>
      <c r="K75" s="1">
        <f ca="1">J75*('Updated Population'!K$70/'Updated Population'!J$70)</f>
        <v>1.7599806206842408</v>
      </c>
    </row>
    <row r="76" spans="1:11" x14ac:dyDescent="0.2">
      <c r="A76" t="str">
        <f ca="1">OFFSET(Taranaki_Reference,35,2)</f>
        <v>Motorcyclist</v>
      </c>
      <c r="B76" s="4">
        <f ca="1">OFFSET(Taranaki_Reference,35,6)</f>
        <v>7.0100687938000004</v>
      </c>
      <c r="C76" s="4">
        <f ca="1">OFFSET(Taranaki_Reference,36,6)</f>
        <v>7.3616165814999999</v>
      </c>
      <c r="D76" s="4">
        <f ca="1">OFFSET(Taranaki_Reference,37,6)</f>
        <v>7.5482259983000004</v>
      </c>
      <c r="E76" s="4">
        <f ca="1">OFFSET(Taranaki_Reference,38,6)</f>
        <v>7.5912994403000003</v>
      </c>
      <c r="F76" s="4">
        <f ca="1">OFFSET(Taranaki_Reference,39,6)</f>
        <v>7.3651743781999999</v>
      </c>
      <c r="G76" s="4">
        <f ca="1">OFFSET(Taranaki_Reference,40,6)</f>
        <v>7.1202191655</v>
      </c>
      <c r="H76" s="4">
        <f ca="1">OFFSET(Taranaki_Reference,41,6)</f>
        <v>6.8540262323999999</v>
      </c>
      <c r="I76" s="1">
        <f ca="1">H76*('Updated Population'!I$70/'Updated Population'!H$70)</f>
        <v>6.8990865190588249</v>
      </c>
      <c r="J76" s="1">
        <f ca="1">I76*('Updated Population'!J$70/'Updated Population'!I$70)</f>
        <v>6.9223376858840213</v>
      </c>
      <c r="K76" s="1">
        <f ca="1">J76*('Updated Population'!K$70/'Updated Population'!J$70)</f>
        <v>6.9307405259192203</v>
      </c>
    </row>
    <row r="77" spans="1:11" x14ac:dyDescent="0.2">
      <c r="A77" t="str">
        <f ca="1">OFFSET(Taranaki_Reference,42,2)</f>
        <v>Local Train</v>
      </c>
      <c r="B77" s="4">
        <f ca="1">OFFSET(Taranaki_Reference,42,6)</f>
        <v>0.36455468079999997</v>
      </c>
      <c r="C77" s="4">
        <f ca="1">OFFSET(Taranaki_Reference,43,6)</f>
        <v>0.35412292249999999</v>
      </c>
      <c r="D77" s="4">
        <f ca="1">OFFSET(Taranaki_Reference,44,6)</f>
        <v>0.31926642459999999</v>
      </c>
      <c r="E77" s="4">
        <f ca="1">OFFSET(Taranaki_Reference,45,6)</f>
        <v>0.2956646852</v>
      </c>
      <c r="F77" s="4">
        <f ca="1">OFFSET(Taranaki_Reference,46,6)</f>
        <v>0.30803952200000001</v>
      </c>
      <c r="G77" s="4">
        <f ca="1">OFFSET(Taranaki_Reference,47,6)</f>
        <v>0.34296885119999998</v>
      </c>
      <c r="H77" s="4">
        <f ca="1">OFFSET(Taranaki_Reference,48,6)</f>
        <v>0.3729923798</v>
      </c>
      <c r="I77" s="1">
        <f ca="1">H77*('Updated Population'!I$70/'Updated Population'!H$70)</f>
        <v>0.37544453609258838</v>
      </c>
      <c r="J77" s="1">
        <f ca="1">I77*('Updated Population'!J$70/'Updated Population'!I$70)</f>
        <v>0.37670985194537293</v>
      </c>
      <c r="K77" s="1">
        <f ca="1">J77*('Updated Population'!K$70/'Updated Population'!J$70)</f>
        <v>0.37716712992995249</v>
      </c>
    </row>
    <row r="78" spans="1:11" x14ac:dyDescent="0.2">
      <c r="A78" t="str">
        <f ca="1">OFFSET(Taranaki_Reference,49,2)</f>
        <v>Local Bus</v>
      </c>
      <c r="B78" s="4">
        <f ca="1">OFFSET(Taranaki_Reference,49,6)</f>
        <v>14.084735078</v>
      </c>
      <c r="C78" s="4">
        <f ca="1">OFFSET(Taranaki_Reference,50,6)</f>
        <v>15.253779988</v>
      </c>
      <c r="D78" s="4">
        <f ca="1">OFFSET(Taranaki_Reference,51,6)</f>
        <v>16.078152168999999</v>
      </c>
      <c r="E78" s="4">
        <f ca="1">OFFSET(Taranaki_Reference,52,6)</f>
        <v>15.948698133000001</v>
      </c>
      <c r="F78" s="4">
        <f ca="1">OFFSET(Taranaki_Reference,53,6)</f>
        <v>15.591665045999999</v>
      </c>
      <c r="G78" s="4">
        <f ca="1">OFFSET(Taranaki_Reference,54,6)</f>
        <v>16.466354347999999</v>
      </c>
      <c r="H78" s="4">
        <f ca="1">OFFSET(Taranaki_Reference,55,6)</f>
        <v>17.371395704000001</v>
      </c>
      <c r="I78" s="1">
        <f ca="1">H78*('Updated Population'!I$70/'Updated Population'!H$70)</f>
        <v>17.485600121016368</v>
      </c>
      <c r="J78" s="1">
        <f ca="1">I78*('Updated Population'!J$70/'Updated Population'!I$70)</f>
        <v>17.544529749501141</v>
      </c>
      <c r="K78" s="1">
        <f ca="1">J78*('Updated Population'!K$70/'Updated Population'!J$70)</f>
        <v>17.565826583557428</v>
      </c>
    </row>
    <row r="79" spans="1:11" x14ac:dyDescent="0.2">
      <c r="A79" t="str">
        <f ca="1">OFFSET(Waikato_Reference,56,2)</f>
        <v>Local Ferry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1">
        <f>H79*('Updated Population'!I$70/'Updated Population'!H$70)</f>
        <v>0</v>
      </c>
      <c r="J79" s="1">
        <f>I79*('Updated Population'!J$70/'Updated Population'!I$70)</f>
        <v>0</v>
      </c>
      <c r="K79" s="1">
        <f>J79*('Updated Population'!K$70/'Updated Population'!J$70)</f>
        <v>0</v>
      </c>
    </row>
    <row r="80" spans="1:11" x14ac:dyDescent="0.2">
      <c r="A80" t="str">
        <f ca="1">OFFSET(Taranaki_Reference,56,2)</f>
        <v>Other Household Travel</v>
      </c>
      <c r="B80" s="4">
        <f ca="1">OFFSET(Taranaki_Reference,56,6)</f>
        <v>0</v>
      </c>
      <c r="C80" s="4">
        <f ca="1">OFFSET(Taranaki_Reference,57,6)</f>
        <v>0</v>
      </c>
      <c r="D80" s="4">
        <f ca="1">OFFSET(Taranaki_Reference,58,6)</f>
        <v>0</v>
      </c>
      <c r="E80" s="4">
        <f ca="1">OFFSET(Taranaki_Reference,59,6)</f>
        <v>0</v>
      </c>
      <c r="F80" s="4">
        <f ca="1">OFFSET(Taranaki_Reference,60,6)</f>
        <v>0</v>
      </c>
      <c r="G80" s="4">
        <f ca="1">OFFSET(Taranaki_Reference,61,6)</f>
        <v>0</v>
      </c>
      <c r="H80" s="4">
        <f ca="1">OFFSET(Taranaki_Reference,62,6)</f>
        <v>0</v>
      </c>
      <c r="I80" s="1">
        <f ca="1">H80*('Updated Population'!I$70/'Updated Population'!H$70)</f>
        <v>0</v>
      </c>
      <c r="J80" s="1">
        <f ca="1">I80*('Updated Population'!J$70/'Updated Population'!I$70)</f>
        <v>0</v>
      </c>
      <c r="K80" s="1">
        <f ca="1">J80*('Updated Population'!K$70/'Updated Population'!J$70)</f>
        <v>0</v>
      </c>
    </row>
    <row r="81" spans="1:11" x14ac:dyDescent="0.2">
      <c r="A81" t="str">
        <f ca="1">OFFSET(Manawatu_Reference,0,0)</f>
        <v>08 MANAWATU-WANGANUI</v>
      </c>
      <c r="I81" s="1"/>
      <c r="J81" s="1"/>
      <c r="K81" s="1"/>
    </row>
    <row r="82" spans="1:11" x14ac:dyDescent="0.2">
      <c r="A82" t="str">
        <f ca="1">OFFSET(Manawatu_Reference,0,2)</f>
        <v>Pedestrian</v>
      </c>
      <c r="B82" s="4">
        <f ca="1">OFFSET(Manawatu_Reference,0,6)</f>
        <v>32.265609755</v>
      </c>
      <c r="C82" s="4">
        <f ca="1">OFFSET(Manawatu_Reference,1,6)</f>
        <v>32.257016430999997</v>
      </c>
      <c r="D82" s="4">
        <f ca="1">OFFSET(Manawatu_Reference,2,6)</f>
        <v>31.715956725000002</v>
      </c>
      <c r="E82" s="4">
        <f ca="1">OFFSET(Manawatu_Reference,3,6)</f>
        <v>30.917619644999998</v>
      </c>
      <c r="F82" s="4">
        <f ca="1">OFFSET(Manawatu_Reference,4,6)</f>
        <v>29.996205966000002</v>
      </c>
      <c r="G82" s="4">
        <f ca="1">OFFSET(Manawatu_Reference,5,6)</f>
        <v>29.078439356000001</v>
      </c>
      <c r="H82" s="4">
        <f ca="1">OFFSET(Manawatu_Reference,6,6)</f>
        <v>28.108525367999999</v>
      </c>
      <c r="I82" s="1">
        <f ca="1">H82*('Updated Population'!I$81/'Updated Population'!H$81)</f>
        <v>27.877009303110814</v>
      </c>
      <c r="J82" s="1">
        <f ca="1">I82*('Updated Population'!J$81/'Updated Population'!I$81)</f>
        <v>27.559393683546311</v>
      </c>
      <c r="K82" s="1">
        <f ca="1">J82*('Updated Population'!K$81/'Updated Population'!J$81)</f>
        <v>27.186844687825666</v>
      </c>
    </row>
    <row r="83" spans="1:11" x14ac:dyDescent="0.2">
      <c r="A83" t="str">
        <f ca="1">OFFSET(Manawatu_Reference,7,2)</f>
        <v>Cyclist</v>
      </c>
      <c r="B83" s="4">
        <f ca="1">OFFSET(Manawatu_Reference,7,6)</f>
        <v>20.722330986999999</v>
      </c>
      <c r="C83" s="4">
        <f ca="1">OFFSET(Manawatu_Reference,8,6)</f>
        <v>23.088944231999999</v>
      </c>
      <c r="D83" s="4">
        <f ca="1">OFFSET(Manawatu_Reference,9,6)</f>
        <v>24.655979531</v>
      </c>
      <c r="E83" s="4">
        <f ca="1">OFFSET(Manawatu_Reference,10,6)</f>
        <v>24.982433145000002</v>
      </c>
      <c r="F83" s="4">
        <f ca="1">OFFSET(Manawatu_Reference,11,6)</f>
        <v>25.192419341000001</v>
      </c>
      <c r="G83" s="4">
        <f ca="1">OFFSET(Manawatu_Reference,12,6)</f>
        <v>25.398751116</v>
      </c>
      <c r="H83" s="4">
        <f ca="1">OFFSET(Manawatu_Reference,13,6)</f>
        <v>25.519875636999998</v>
      </c>
      <c r="I83" s="1">
        <f ca="1">H83*('Updated Population'!I$81/'Updated Population'!H$81)</f>
        <v>25.309681003642751</v>
      </c>
      <c r="J83" s="1">
        <f ca="1">I83*('Updated Population'!J$81/'Updated Population'!I$81)</f>
        <v>25.021316139049659</v>
      </c>
      <c r="K83" s="1">
        <f ca="1">J83*('Updated Population'!K$81/'Updated Population'!J$81)</f>
        <v>24.683076977976352</v>
      </c>
    </row>
    <row r="84" spans="1:11" x14ac:dyDescent="0.2">
      <c r="A84" t="str">
        <f ca="1">OFFSET(Manawatu_Reference,14,2)</f>
        <v>Light Vehicle Driver</v>
      </c>
      <c r="B84" s="4">
        <f ca="1">OFFSET(Manawatu_Reference,14,6)</f>
        <v>1782.4745101999999</v>
      </c>
      <c r="C84" s="4">
        <f ca="1">OFFSET(Manawatu_Reference,15,6)</f>
        <v>1921.6056977999999</v>
      </c>
      <c r="D84" s="4">
        <f ca="1">OFFSET(Manawatu_Reference,16,6)</f>
        <v>2008.5325579</v>
      </c>
      <c r="E84" s="4">
        <f ca="1">OFFSET(Manawatu_Reference,17,6)</f>
        <v>2051.1508617999998</v>
      </c>
      <c r="F84" s="4">
        <f ca="1">OFFSET(Manawatu_Reference,18,6)</f>
        <v>2080.9406641999999</v>
      </c>
      <c r="G84" s="4">
        <f ca="1">OFFSET(Manawatu_Reference,19,6)</f>
        <v>2087.7514050999998</v>
      </c>
      <c r="H84" s="4">
        <f ca="1">OFFSET(Manawatu_Reference,20,6)</f>
        <v>2085.8321083000001</v>
      </c>
      <c r="I84" s="1">
        <f ca="1">H84*('Updated Population'!I$81/'Updated Population'!H$81)</f>
        <v>2068.6521376181199</v>
      </c>
      <c r="J84" s="1">
        <f ca="1">I84*('Updated Population'!J$81/'Updated Population'!I$81)</f>
        <v>2045.0830300711459</v>
      </c>
      <c r="K84" s="1">
        <f ca="1">J84*('Updated Population'!K$81/'Updated Population'!J$81)</f>
        <v>2017.4375151600827</v>
      </c>
    </row>
    <row r="85" spans="1:11" x14ac:dyDescent="0.2">
      <c r="A85" t="str">
        <f ca="1">OFFSET(Manawatu_Reference,21,2)</f>
        <v>Light Vehicle Passenger</v>
      </c>
      <c r="B85" s="4">
        <f ca="1">OFFSET(Manawatu_Reference,21,6)</f>
        <v>885.65568203999999</v>
      </c>
      <c r="C85" s="4">
        <f ca="1">OFFSET(Manawatu_Reference,22,6)</f>
        <v>904.80493391000005</v>
      </c>
      <c r="D85" s="4">
        <f ca="1">OFFSET(Manawatu_Reference,23,6)</f>
        <v>910.37082107000003</v>
      </c>
      <c r="E85" s="4">
        <f ca="1">OFFSET(Manawatu_Reference,24,6)</f>
        <v>905.54878393000001</v>
      </c>
      <c r="F85" s="4">
        <f ca="1">OFFSET(Manawatu_Reference,25,6)</f>
        <v>910.10950706999995</v>
      </c>
      <c r="G85" s="4">
        <f ca="1">OFFSET(Manawatu_Reference,26,6)</f>
        <v>911.53890762000003</v>
      </c>
      <c r="H85" s="4">
        <f ca="1">OFFSET(Manawatu_Reference,27,6)</f>
        <v>910.54565156000001</v>
      </c>
      <c r="I85" s="1">
        <f ca="1">H85*('Updated Population'!I$81/'Updated Population'!H$81)</f>
        <v>903.0459359615744</v>
      </c>
      <c r="J85" s="1">
        <f ca="1">I85*('Updated Population'!J$81/'Updated Population'!I$81)</f>
        <v>892.75711726775432</v>
      </c>
      <c r="K85" s="1">
        <f ca="1">J85*('Updated Population'!K$81/'Updated Population'!J$81)</f>
        <v>880.68879053750663</v>
      </c>
    </row>
    <row r="86" spans="1:11" x14ac:dyDescent="0.2">
      <c r="A86" t="str">
        <f ca="1">OFFSET(Manawatu_Reference,28,2)</f>
        <v>Taxi/Vehicle Share</v>
      </c>
      <c r="B86" s="4">
        <f ca="1">OFFSET(Manawatu_Reference,28,6)</f>
        <v>5.6344181790999999</v>
      </c>
      <c r="C86" s="4">
        <f ca="1">OFFSET(Manawatu_Reference,29,6)</f>
        <v>6.7762108150999998</v>
      </c>
      <c r="D86" s="4">
        <f ca="1">OFFSET(Manawatu_Reference,30,6)</f>
        <v>7.5072467897999999</v>
      </c>
      <c r="E86" s="4">
        <f ca="1">OFFSET(Manawatu_Reference,31,6)</f>
        <v>7.7162094202000002</v>
      </c>
      <c r="F86" s="4">
        <f ca="1">OFFSET(Manawatu_Reference,32,6)</f>
        <v>7.8582624336000002</v>
      </c>
      <c r="G86" s="4">
        <f ca="1">OFFSET(Manawatu_Reference,33,6)</f>
        <v>8.4667641685999993</v>
      </c>
      <c r="H86" s="4">
        <f ca="1">OFFSET(Manawatu_Reference,34,6)</f>
        <v>9.1007542028999993</v>
      </c>
      <c r="I86" s="1">
        <f ca="1">H86*('Updated Population'!I$81/'Updated Population'!H$81)</f>
        <v>9.0257957775470352</v>
      </c>
      <c r="J86" s="1">
        <f ca="1">I86*('Updated Population'!J$81/'Updated Population'!I$81)</f>
        <v>8.9229607249494673</v>
      </c>
      <c r="K86" s="1">
        <f ca="1">J86*('Updated Population'!K$81/'Updated Population'!J$81)</f>
        <v>8.8023397818653919</v>
      </c>
    </row>
    <row r="87" spans="1:11" x14ac:dyDescent="0.2">
      <c r="A87" t="str">
        <f ca="1">OFFSET(Manawatu_Reference,35,2)</f>
        <v>Motorcyclist</v>
      </c>
      <c r="B87" s="4">
        <f ca="1">OFFSET(Manawatu_Reference,35,6)</f>
        <v>3.8744282972000001</v>
      </c>
      <c r="C87" s="4">
        <f ca="1">OFFSET(Manawatu_Reference,36,6)</f>
        <v>4.2395155517000003</v>
      </c>
      <c r="D87" s="4">
        <f ca="1">OFFSET(Manawatu_Reference,37,6)</f>
        <v>4.3969972676999998</v>
      </c>
      <c r="E87" s="4">
        <f ca="1">OFFSET(Manawatu_Reference,38,6)</f>
        <v>4.2585667136999996</v>
      </c>
      <c r="F87" s="4">
        <f ca="1">OFFSET(Manawatu_Reference,39,6)</f>
        <v>4.1046427563999996</v>
      </c>
      <c r="G87" s="4">
        <f ca="1">OFFSET(Manawatu_Reference,40,6)</f>
        <v>4.0563195208999998</v>
      </c>
      <c r="H87" s="4">
        <f ca="1">OFFSET(Manawatu_Reference,41,6)</f>
        <v>3.9798361119000001</v>
      </c>
      <c r="I87" s="1">
        <f ca="1">H87*('Updated Population'!I$81/'Updated Population'!H$81)</f>
        <v>3.9470561640561361</v>
      </c>
      <c r="J87" s="1">
        <f ca="1">I87*('Updated Population'!J$81/'Updated Population'!I$81)</f>
        <v>3.9020855334059292</v>
      </c>
      <c r="K87" s="1">
        <f ca="1">J87*('Updated Population'!K$81/'Updated Population'!J$81)</f>
        <v>3.8493369837324889</v>
      </c>
    </row>
    <row r="88" spans="1:11" x14ac:dyDescent="0.2">
      <c r="A88" t="str">
        <f ca="1">OFFSET(Taranaki_Reference,42,2)</f>
        <v>Local Train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1">
        <f>H88*('Updated Population'!I$81/'Updated Population'!H$81)</f>
        <v>0</v>
      </c>
      <c r="J88" s="1">
        <f>I88*('Updated Population'!J$81/'Updated Population'!I$81)</f>
        <v>0</v>
      </c>
      <c r="K88" s="1">
        <f>J88*('Updated Population'!K$81/'Updated Population'!J$81)</f>
        <v>0</v>
      </c>
    </row>
    <row r="89" spans="1:11" x14ac:dyDescent="0.2">
      <c r="A89" t="str">
        <f ca="1">OFFSET(Manawatu_Reference,42,2)</f>
        <v>Local Bus</v>
      </c>
      <c r="B89" s="4">
        <f ca="1">OFFSET(Manawatu_Reference,42,6)</f>
        <v>39.768452936000003</v>
      </c>
      <c r="C89" s="4">
        <f ca="1">OFFSET(Manawatu_Reference,43,6)</f>
        <v>35.234082682999997</v>
      </c>
      <c r="D89" s="4">
        <f ca="1">OFFSET(Manawatu_Reference,44,6)</f>
        <v>31.898156853</v>
      </c>
      <c r="E89" s="4">
        <f ca="1">OFFSET(Manawatu_Reference,45,6)</f>
        <v>29.490945885999999</v>
      </c>
      <c r="F89" s="4">
        <f ca="1">OFFSET(Manawatu_Reference,46,6)</f>
        <v>27.18549161</v>
      </c>
      <c r="G89" s="4">
        <f ca="1">OFFSET(Manawatu_Reference,47,6)</f>
        <v>25.286290874999999</v>
      </c>
      <c r="H89" s="4">
        <f ca="1">OFFSET(Manawatu_Reference,48,6)</f>
        <v>23.364764091000001</v>
      </c>
      <c r="I89" s="1">
        <f ca="1">H89*('Updated Population'!I$81/'Updated Population'!H$81)</f>
        <v>23.172320048895585</v>
      </c>
      <c r="J89" s="1">
        <f ca="1">I89*('Updated Population'!J$81/'Updated Population'!I$81)</f>
        <v>22.90830712308092</v>
      </c>
      <c r="K89" s="1">
        <f ca="1">J89*('Updated Population'!K$81/'Updated Population'!J$81)</f>
        <v>22.598631703136569</v>
      </c>
    </row>
    <row r="90" spans="1:11" x14ac:dyDescent="0.2">
      <c r="A90" t="str">
        <f ca="1">OFFSET(Manawatu_Reference,49,2)</f>
        <v>Local Ferry</v>
      </c>
      <c r="B90" s="4">
        <f ca="1">OFFSET(Manawatu_Reference,49,6)</f>
        <v>0</v>
      </c>
      <c r="C90" s="4">
        <f ca="1">OFFSET(Manawatu_Reference,50,6)</f>
        <v>0</v>
      </c>
      <c r="D90" s="4">
        <f ca="1">OFFSET(Manawatu_Reference,51,6)</f>
        <v>0</v>
      </c>
      <c r="E90" s="4">
        <f ca="1">OFFSET(Manawatu_Reference,52,6)</f>
        <v>0</v>
      </c>
      <c r="F90" s="4">
        <f ca="1">OFFSET(Manawatu_Reference,53,6)</f>
        <v>0</v>
      </c>
      <c r="G90" s="4">
        <f ca="1">OFFSET(Manawatu_Reference,54,6)</f>
        <v>0</v>
      </c>
      <c r="H90" s="4">
        <f ca="1">OFFSET(Manawatu_Reference,55,6)</f>
        <v>0</v>
      </c>
      <c r="I90" s="1">
        <f ca="1">H90*('Updated Population'!I$81/'Updated Population'!H$81)</f>
        <v>0</v>
      </c>
      <c r="J90" s="1">
        <f ca="1">I90*('Updated Population'!J$81/'Updated Population'!I$81)</f>
        <v>0</v>
      </c>
      <c r="K90" s="1">
        <f ca="1">J90*('Updated Population'!K$81/'Updated Population'!J$81)</f>
        <v>0</v>
      </c>
    </row>
    <row r="91" spans="1:11" x14ac:dyDescent="0.2">
      <c r="A91" t="str">
        <f ca="1">OFFSET(Manawatu_Reference,56,2)</f>
        <v>Other Household Travel</v>
      </c>
      <c r="B91" s="4">
        <f ca="1">OFFSET(Manawatu_Reference,56,6)</f>
        <v>0</v>
      </c>
      <c r="C91" s="4">
        <f ca="1">OFFSET(Manawatu_Reference,57,6)</f>
        <v>0</v>
      </c>
      <c r="D91" s="4">
        <f ca="1">OFFSET(Manawatu_Reference,58,6)</f>
        <v>0</v>
      </c>
      <c r="E91" s="4">
        <f ca="1">OFFSET(Manawatu_Reference,59,6)</f>
        <v>0</v>
      </c>
      <c r="F91" s="4">
        <f ca="1">OFFSET(Manawatu_Reference,60,6)</f>
        <v>0</v>
      </c>
      <c r="G91" s="4">
        <f ca="1">OFFSET(Manawatu_Reference,61,6)</f>
        <v>0</v>
      </c>
      <c r="H91" s="4">
        <f ca="1">OFFSET(Manawatu_Reference,62,6)</f>
        <v>0</v>
      </c>
      <c r="I91" s="1">
        <f ca="1">H91*('Updated Population'!I$81/'Updated Population'!H$81)</f>
        <v>0</v>
      </c>
      <c r="J91" s="1">
        <f ca="1">I91*('Updated Population'!J$81/'Updated Population'!I$81)</f>
        <v>0</v>
      </c>
      <c r="K91" s="1">
        <f ca="1">J91*('Updated Population'!K$81/'Updated Population'!J$81)</f>
        <v>0</v>
      </c>
    </row>
    <row r="92" spans="1:11" x14ac:dyDescent="0.2">
      <c r="A92" t="str">
        <f ca="1">OFFSET(Wellington_Reference,0,0)</f>
        <v>09 WELLINGTON</v>
      </c>
      <c r="I92" s="1"/>
      <c r="J92" s="1"/>
      <c r="K92" s="1"/>
    </row>
    <row r="93" spans="1:11" x14ac:dyDescent="0.2">
      <c r="A93" t="str">
        <f ca="1">OFFSET(Wellington_Reference,0,2)</f>
        <v>Pedestrian</v>
      </c>
      <c r="B93" s="4">
        <f ca="1">OFFSET(Wellington_Reference,0,6)</f>
        <v>126.13499251</v>
      </c>
      <c r="C93" s="4">
        <f ca="1">OFFSET(Wellington_Reference,1,6)</f>
        <v>133.83003762999999</v>
      </c>
      <c r="D93" s="4">
        <f ca="1">OFFSET(Wellington_Reference,2,6)</f>
        <v>137.97801552000001</v>
      </c>
      <c r="E93" s="4">
        <f ca="1">OFFSET(Wellington_Reference,3,6)</f>
        <v>141.28098703000001</v>
      </c>
      <c r="F93" s="4">
        <f ca="1">OFFSET(Wellington_Reference,4,6)</f>
        <v>143.92966451000001</v>
      </c>
      <c r="G93" s="4">
        <f ca="1">OFFSET(Wellington_Reference,5,6)</f>
        <v>147.08846663</v>
      </c>
      <c r="H93" s="4">
        <f ca="1">OFFSET(Wellington_Reference,6,6)</f>
        <v>149.91478167</v>
      </c>
      <c r="I93" s="1">
        <f ca="1">H93*('Updated Population'!I$92/'Updated Population'!H$92)</f>
        <v>150.90621743197332</v>
      </c>
      <c r="J93" s="1">
        <f ca="1">I93*('Updated Population'!J$92/'Updated Population'!I$92)</f>
        <v>151.42067261092808</v>
      </c>
      <c r="K93" s="1">
        <f ca="1">J93*('Updated Population'!K$92/'Updated Population'!J$92)</f>
        <v>151.61035945047325</v>
      </c>
    </row>
    <row r="94" spans="1:11" x14ac:dyDescent="0.2">
      <c r="A94" t="str">
        <f ca="1">OFFSET(Wellington_Reference,7,2)</f>
        <v>Cyclist</v>
      </c>
      <c r="B94" s="4">
        <f ca="1">OFFSET(Wellington_Reference,7,6)</f>
        <v>52.092312808000003</v>
      </c>
      <c r="C94" s="4">
        <f ca="1">OFFSET(Wellington_Reference,8,6)</f>
        <v>55.193920392000003</v>
      </c>
      <c r="D94" s="4">
        <f ca="1">OFFSET(Wellington_Reference,9,6)</f>
        <v>56.672170543999997</v>
      </c>
      <c r="E94" s="4">
        <f ca="1">OFFSET(Wellington_Reference,10,6)</f>
        <v>57.670971889</v>
      </c>
      <c r="F94" s="4">
        <f ca="1">OFFSET(Wellington_Reference,11,6)</f>
        <v>60.974773286999998</v>
      </c>
      <c r="G94" s="4">
        <f ca="1">OFFSET(Wellington_Reference,12,6)</f>
        <v>65.907009590000001</v>
      </c>
      <c r="H94" s="4">
        <f ca="1">OFFSET(Wellington_Reference,13,6)</f>
        <v>70.809958576</v>
      </c>
      <c r="I94" s="1">
        <f ca="1">H94*('Updated Population'!I$92/'Updated Population'!H$92)</f>
        <v>71.278248123261804</v>
      </c>
      <c r="J94" s="1">
        <f ca="1">I94*('Updated Population'!J$92/'Updated Population'!I$92)</f>
        <v>71.521243173550999</v>
      </c>
      <c r="K94" s="1">
        <f ca="1">J94*('Updated Population'!K$92/'Updated Population'!J$92)</f>
        <v>71.610838856518228</v>
      </c>
    </row>
    <row r="95" spans="1:11" x14ac:dyDescent="0.2">
      <c r="A95" t="str">
        <f ca="1">OFFSET(Wellington_Reference,14,2)</f>
        <v>Light Vehicle Driver</v>
      </c>
      <c r="B95" s="4">
        <f ca="1">OFFSET(Wellington_Reference,14,6)</f>
        <v>3481.4296611999998</v>
      </c>
      <c r="C95" s="4">
        <f ca="1">OFFSET(Wellington_Reference,15,6)</f>
        <v>3683.0713480999998</v>
      </c>
      <c r="D95" s="4">
        <f ca="1">OFFSET(Wellington_Reference,16,6)</f>
        <v>3817.6447951</v>
      </c>
      <c r="E95" s="4">
        <f ca="1">OFFSET(Wellington_Reference,17,6)</f>
        <v>3915.2399673999998</v>
      </c>
      <c r="F95" s="4">
        <f ca="1">OFFSET(Wellington_Reference,18,6)</f>
        <v>4010.0146537999999</v>
      </c>
      <c r="G95" s="4">
        <f ca="1">OFFSET(Wellington_Reference,19,6)</f>
        <v>4075.1895859000001</v>
      </c>
      <c r="H95" s="4">
        <f ca="1">OFFSET(Wellington_Reference,20,6)</f>
        <v>4128.0291792999997</v>
      </c>
      <c r="I95" s="1">
        <f ca="1">H95*('Updated Population'!I$92/'Updated Population'!H$92)</f>
        <v>4155.3291940766376</v>
      </c>
      <c r="J95" s="1">
        <f ca="1">I95*('Updated Population'!J$92/'Updated Population'!I$92)</f>
        <v>4169.4951486710415</v>
      </c>
      <c r="K95" s="1">
        <f ca="1">J95*('Updated Population'!K$92/'Updated Population'!J$92)</f>
        <v>4174.7183348028493</v>
      </c>
    </row>
    <row r="96" spans="1:11" x14ac:dyDescent="0.2">
      <c r="A96" t="str">
        <f ca="1">OFFSET(Wellington_Reference,21,2)</f>
        <v>Light Vehicle Passenger</v>
      </c>
      <c r="B96" s="4">
        <f ca="1">OFFSET(Wellington_Reference,21,6)</f>
        <v>2005.8850408000001</v>
      </c>
      <c r="C96" s="4">
        <f ca="1">OFFSET(Wellington_Reference,22,6)</f>
        <v>2017.4024456</v>
      </c>
      <c r="D96" s="4">
        <f ca="1">OFFSET(Wellington_Reference,23,6)</f>
        <v>2007.9494519</v>
      </c>
      <c r="E96" s="4">
        <f ca="1">OFFSET(Wellington_Reference,24,6)</f>
        <v>1987.3763220000001</v>
      </c>
      <c r="F96" s="4">
        <f ca="1">OFFSET(Wellington_Reference,25,6)</f>
        <v>1975.8178078000001</v>
      </c>
      <c r="G96" s="4">
        <f ca="1">OFFSET(Wellington_Reference,26,6)</f>
        <v>1956.0942953000001</v>
      </c>
      <c r="H96" s="4">
        <f ca="1">OFFSET(Wellington_Reference,27,6)</f>
        <v>1929.4702445</v>
      </c>
      <c r="I96" s="1">
        <f ca="1">H96*('Updated Population'!I$92/'Updated Population'!H$92)</f>
        <v>1942.2304658787803</v>
      </c>
      <c r="J96" s="1">
        <f ca="1">I96*('Updated Population'!J$92/'Updated Population'!I$92)</f>
        <v>1948.8517339676544</v>
      </c>
      <c r="K96" s="1">
        <f ca="1">J96*('Updated Population'!K$92/'Updated Population'!J$92)</f>
        <v>1951.2930883731281</v>
      </c>
    </row>
    <row r="97" spans="1:11" x14ac:dyDescent="0.2">
      <c r="A97" t="str">
        <f ca="1">OFFSET(Wellington_Reference,28,2)</f>
        <v>Taxi/Vehicle Share</v>
      </c>
      <c r="B97" s="4">
        <f ca="1">OFFSET(Wellington_Reference,28,6)</f>
        <v>19.359252680000001</v>
      </c>
      <c r="C97" s="4">
        <f ca="1">OFFSET(Wellington_Reference,29,6)</f>
        <v>20.581800350000002</v>
      </c>
      <c r="D97" s="4">
        <f ca="1">OFFSET(Wellington_Reference,30,6)</f>
        <v>21.774824543000001</v>
      </c>
      <c r="E97" s="4">
        <f ca="1">OFFSET(Wellington_Reference,31,6)</f>
        <v>22.884429347000001</v>
      </c>
      <c r="F97" s="4">
        <f ca="1">OFFSET(Wellington_Reference,32,6)</f>
        <v>23.911994052000001</v>
      </c>
      <c r="G97" s="4">
        <f ca="1">OFFSET(Wellington_Reference,33,6)</f>
        <v>24.628848443999999</v>
      </c>
      <c r="H97" s="4">
        <f ca="1">OFFSET(Wellington_Reference,34,6)</f>
        <v>25.20193269</v>
      </c>
      <c r="I97" s="1">
        <f ca="1">H97*('Updated Population'!I$92/'Updated Population'!H$92)</f>
        <v>25.368601360436458</v>
      </c>
      <c r="J97" s="1">
        <f ca="1">I97*('Updated Population'!J$92/'Updated Population'!I$92)</f>
        <v>25.455085592662332</v>
      </c>
      <c r="K97" s="1">
        <f ca="1">J97*('Updated Population'!K$92/'Updated Population'!J$92)</f>
        <v>25.486973541996907</v>
      </c>
    </row>
    <row r="98" spans="1:11" x14ac:dyDescent="0.2">
      <c r="A98" t="str">
        <f ca="1">OFFSET(Wellington_Reference,35,2)</f>
        <v>Motorcyclist</v>
      </c>
      <c r="B98" s="4">
        <f ca="1">OFFSET(Wellington_Reference,35,6)</f>
        <v>24.444631151999999</v>
      </c>
      <c r="C98" s="4">
        <f ca="1">OFFSET(Wellington_Reference,36,6)</f>
        <v>24.603665926000001</v>
      </c>
      <c r="D98" s="4">
        <f ca="1">OFFSET(Wellington_Reference,37,6)</f>
        <v>24.372716968999999</v>
      </c>
      <c r="E98" s="4">
        <f ca="1">OFFSET(Wellington_Reference,38,6)</f>
        <v>24.678830053999999</v>
      </c>
      <c r="F98" s="4">
        <f ca="1">OFFSET(Wellington_Reference,39,6)</f>
        <v>25.645875901</v>
      </c>
      <c r="G98" s="4">
        <f ca="1">OFFSET(Wellington_Reference,40,6)</f>
        <v>26.407085099</v>
      </c>
      <c r="H98" s="4">
        <f ca="1">OFFSET(Wellington_Reference,41,6)</f>
        <v>26.80446555</v>
      </c>
      <c r="I98" s="1">
        <f ca="1">H98*('Updated Population'!I$92/'Updated Population'!H$92)</f>
        <v>26.981732297353506</v>
      </c>
      <c r="J98" s="1">
        <f ca="1">I98*('Updated Population'!J$92/'Updated Population'!I$92)</f>
        <v>27.073715862734446</v>
      </c>
      <c r="K98" s="1">
        <f ca="1">J98*('Updated Population'!K$92/'Updated Population'!J$92)</f>
        <v>27.107631493329627</v>
      </c>
    </row>
    <row r="99" spans="1:11" x14ac:dyDescent="0.2">
      <c r="A99" t="str">
        <f ca="1">OFFSET(Wellington_Reference,42,2)</f>
        <v>Local Train</v>
      </c>
      <c r="B99" s="4">
        <f ca="1">OFFSET(Wellington_Reference,42,6)</f>
        <v>251.12727889999999</v>
      </c>
      <c r="C99" s="4">
        <f ca="1">OFFSET(Wellington_Reference,43,6)</f>
        <v>268.37680104999998</v>
      </c>
      <c r="D99" s="4">
        <f ca="1">OFFSET(Wellington_Reference,44,6)</f>
        <v>281.69209850999999</v>
      </c>
      <c r="E99" s="4">
        <f ca="1">OFFSET(Wellington_Reference,45,6)</f>
        <v>293.63243101</v>
      </c>
      <c r="F99" s="4">
        <f ca="1">OFFSET(Wellington_Reference,46,6)</f>
        <v>299.69443267000003</v>
      </c>
      <c r="G99" s="4">
        <f ca="1">OFFSET(Wellington_Reference,47,6)</f>
        <v>306.32187286999999</v>
      </c>
      <c r="H99" s="4">
        <f ca="1">OFFSET(Wellington_Reference,48,6)</f>
        <v>311.45008668999998</v>
      </c>
      <c r="I99" s="1">
        <f ca="1">H99*('Updated Population'!I$92/'Updated Population'!H$92)</f>
        <v>313.50980855714624</v>
      </c>
      <c r="J99" s="1">
        <f ca="1">I99*('Updated Population'!J$92/'Updated Population'!I$92)</f>
        <v>314.57859649319033</v>
      </c>
      <c r="K99" s="1">
        <f ca="1">J99*('Updated Population'!K$92/'Updated Population'!J$92)</f>
        <v>314.97267359460881</v>
      </c>
    </row>
    <row r="100" spans="1:11" x14ac:dyDescent="0.2">
      <c r="A100" t="str">
        <f ca="1">OFFSET(Wellington_Reference,49,2)</f>
        <v>Local Bus</v>
      </c>
      <c r="B100" s="4">
        <f ca="1">OFFSET(Wellington_Reference,49,6)</f>
        <v>187.412398</v>
      </c>
      <c r="C100" s="4">
        <f ca="1">OFFSET(Wellington_Reference,50,6)</f>
        <v>196.28837895999999</v>
      </c>
      <c r="D100" s="4">
        <f ca="1">OFFSET(Wellington_Reference,51,6)</f>
        <v>200.10319190000001</v>
      </c>
      <c r="E100" s="4">
        <f ca="1">OFFSET(Wellington_Reference,52,6)</f>
        <v>203.08920596999999</v>
      </c>
      <c r="F100" s="4">
        <f ca="1">OFFSET(Wellington_Reference,53,6)</f>
        <v>204.15487131</v>
      </c>
      <c r="G100" s="4">
        <f ca="1">OFFSET(Wellington_Reference,54,6)</f>
        <v>204.32570204000001</v>
      </c>
      <c r="H100" s="4">
        <f ca="1">OFFSET(Wellington_Reference,55,6)</f>
        <v>203.4099812</v>
      </c>
      <c r="I100" s="1">
        <f ca="1">H100*('Updated Population'!I$92/'Updated Population'!H$92)</f>
        <v>204.75519831239873</v>
      </c>
      <c r="J100" s="1">
        <f ca="1">I100*('Updated Population'!J$92/'Updated Population'!I$92)</f>
        <v>205.4532303350833</v>
      </c>
      <c r="K100" s="1">
        <f ca="1">J100*('Updated Population'!K$92/'Updated Population'!J$92)</f>
        <v>205.71060453151648</v>
      </c>
    </row>
    <row r="101" spans="1:11" x14ac:dyDescent="0.2">
      <c r="A101" t="str">
        <f ca="1">OFFSET(Wellington_Reference,56,2)</f>
        <v>Local Ferry</v>
      </c>
      <c r="B101" s="4">
        <f ca="1">OFFSET(Wellington_Reference,56,6)</f>
        <v>0</v>
      </c>
      <c r="C101" s="4">
        <f ca="1">OFFSET(Wellington_Reference,57,6)</f>
        <v>0</v>
      </c>
      <c r="D101" s="4">
        <f ca="1">OFFSET(Wellington_Reference,58,6)</f>
        <v>0</v>
      </c>
      <c r="E101" s="4">
        <f ca="1">OFFSET(Wellington_Reference,59,6)</f>
        <v>0</v>
      </c>
      <c r="F101" s="4">
        <f ca="1">OFFSET(Wellington_Reference,60,6)</f>
        <v>0</v>
      </c>
      <c r="G101" s="4">
        <f ca="1">OFFSET(Wellington_Reference,61,6)</f>
        <v>0</v>
      </c>
      <c r="H101" s="4">
        <f ca="1">OFFSET(Wellington_Reference,62,6)</f>
        <v>0</v>
      </c>
      <c r="I101" s="1">
        <f ca="1">H101*('Updated Population'!I$92/'Updated Population'!H$92)</f>
        <v>0</v>
      </c>
      <c r="J101" s="1">
        <f ca="1">I101*('Updated Population'!J$92/'Updated Population'!I$92)</f>
        <v>0</v>
      </c>
      <c r="K101" s="1">
        <f ca="1">J101*('Updated Population'!K$92/'Updated Population'!J$92)</f>
        <v>0</v>
      </c>
    </row>
    <row r="102" spans="1:11" x14ac:dyDescent="0.2">
      <c r="A102" t="str">
        <f ca="1">OFFSET(Wellington_Reference,63,2)</f>
        <v>Other Household Travel</v>
      </c>
      <c r="B102" s="4">
        <f ca="1">OFFSET(Wellington_Reference,63,6)</f>
        <v>0</v>
      </c>
      <c r="C102" s="4">
        <f ca="1">OFFSET(Wellington_Reference,64,6)</f>
        <v>0</v>
      </c>
      <c r="D102" s="4">
        <f ca="1">OFFSET(Wellington_Reference,65,6)</f>
        <v>0</v>
      </c>
      <c r="E102" s="4">
        <f ca="1">OFFSET(Wellington_Reference,66,6)</f>
        <v>0</v>
      </c>
      <c r="F102" s="4">
        <f ca="1">OFFSET(Wellington_Reference,67,6)</f>
        <v>0</v>
      </c>
      <c r="G102" s="4">
        <f ca="1">OFFSET(Wellington_Reference,68,6)</f>
        <v>0</v>
      </c>
      <c r="H102" s="4">
        <f ca="1">OFFSET(Wellington_Reference,69,6)</f>
        <v>0</v>
      </c>
      <c r="I102" s="1">
        <f ca="1">H102*('Updated Population'!I$92/'Updated Population'!H$92)</f>
        <v>0</v>
      </c>
      <c r="J102" s="1">
        <f ca="1">I102*('Updated Population'!J$92/'Updated Population'!I$92)</f>
        <v>0</v>
      </c>
      <c r="K102" s="1">
        <f ca="1">J102*('Updated Population'!K$92/'Updated Population'!J$92)</f>
        <v>0</v>
      </c>
    </row>
    <row r="103" spans="1:11" x14ac:dyDescent="0.2">
      <c r="A103" t="str">
        <f ca="1">OFFSET(Nelson_Reference,0,0)</f>
        <v>10 NELS-MARLB-TAS</v>
      </c>
      <c r="I103" s="1"/>
      <c r="J103" s="1"/>
      <c r="K103" s="1"/>
    </row>
    <row r="104" spans="1:11" x14ac:dyDescent="0.2">
      <c r="A104" t="str">
        <f ca="1">OFFSET(Nelson_Reference,0,2)</f>
        <v>Pedestrian</v>
      </c>
      <c r="B104" s="4">
        <f ca="1">OFFSET(Nelson_Reference,0,6)</f>
        <v>28.582749250999999</v>
      </c>
      <c r="C104" s="4">
        <f ca="1">OFFSET(Nelson_Reference,1,6)</f>
        <v>29.487039233000001</v>
      </c>
      <c r="D104" s="4">
        <f ca="1">OFFSET(Nelson_Reference,2,6)</f>
        <v>30.493250413999998</v>
      </c>
      <c r="E104" s="4">
        <f ca="1">OFFSET(Nelson_Reference,3,6)</f>
        <v>31.764734746999999</v>
      </c>
      <c r="F104" s="4">
        <f ca="1">OFFSET(Nelson_Reference,4,6)</f>
        <v>32.467291529000001</v>
      </c>
      <c r="G104" s="4">
        <f ca="1">OFFSET(Nelson_Reference,5,6)</f>
        <v>32.538125057999999</v>
      </c>
      <c r="H104" s="4">
        <f ca="1">OFFSET(Nelson_Reference,6,6)</f>
        <v>32.44515225</v>
      </c>
      <c r="I104" s="1">
        <f ca="1">H104*('Updated Population'!I$103/'Updated Population'!H$103)</f>
        <v>32.395758200428212</v>
      </c>
      <c r="J104" s="1">
        <f ca="1">I104*('Updated Population'!J$103/'Updated Population'!I$103)</f>
        <v>32.244997335325451</v>
      </c>
      <c r="K104" s="1">
        <f ca="1">J104*('Updated Population'!K$103/'Updated Population'!J$103)</f>
        <v>32.027477629734413</v>
      </c>
    </row>
    <row r="105" spans="1:11" x14ac:dyDescent="0.2">
      <c r="A105" t="str">
        <f ca="1">OFFSET(Nelson_Reference,7,2)</f>
        <v>Cyclist</v>
      </c>
      <c r="B105" s="4">
        <f ca="1">OFFSET(Nelson_Reference,7,6)</f>
        <v>10.809874027999999</v>
      </c>
      <c r="C105" s="4">
        <f ca="1">OFFSET(Nelson_Reference,8,6)</f>
        <v>11.025910378000001</v>
      </c>
      <c r="D105" s="4">
        <f ca="1">OFFSET(Nelson_Reference,9,6)</f>
        <v>11.263563236</v>
      </c>
      <c r="E105" s="4">
        <f ca="1">OFFSET(Nelson_Reference,10,6)</f>
        <v>11.436236825</v>
      </c>
      <c r="F105" s="4">
        <f ca="1">OFFSET(Nelson_Reference,11,6)</f>
        <v>11.750432175</v>
      </c>
      <c r="G105" s="4">
        <f ca="1">OFFSET(Nelson_Reference,12,6)</f>
        <v>12.267119198</v>
      </c>
      <c r="H105" s="4">
        <f ca="1">OFFSET(Nelson_Reference,13,6)</f>
        <v>12.799462023</v>
      </c>
      <c r="I105" s="1">
        <f ca="1">H105*('Updated Population'!I$103/'Updated Population'!H$103)</f>
        <v>12.779976299623366</v>
      </c>
      <c r="J105" s="1">
        <f ca="1">I105*('Updated Population'!J$103/'Updated Population'!I$103)</f>
        <v>12.720501837843411</v>
      </c>
      <c r="K105" s="1">
        <f ca="1">J105*('Updated Population'!K$103/'Updated Population'!J$103)</f>
        <v>12.634691323239752</v>
      </c>
    </row>
    <row r="106" spans="1:11" x14ac:dyDescent="0.2">
      <c r="A106" t="str">
        <f ca="1">OFFSET(Nelson_Reference,14,2)</f>
        <v>Light Vehicle Driver</v>
      </c>
      <c r="B106" s="4">
        <f ca="1">OFFSET(Nelson_Reference,14,6)</f>
        <v>1012.1329009999999</v>
      </c>
      <c r="C106" s="4">
        <f ca="1">OFFSET(Nelson_Reference,15,6)</f>
        <v>1039.4358823</v>
      </c>
      <c r="D106" s="4">
        <f ca="1">OFFSET(Nelson_Reference,16,6)</f>
        <v>1047.1023041999999</v>
      </c>
      <c r="E106" s="4">
        <f ca="1">OFFSET(Nelson_Reference,17,6)</f>
        <v>1038.5408978999999</v>
      </c>
      <c r="F106" s="4">
        <f ca="1">OFFSET(Nelson_Reference,18,6)</f>
        <v>1029.0749077999999</v>
      </c>
      <c r="G106" s="4">
        <f ca="1">OFFSET(Nelson_Reference,19,6)</f>
        <v>1012.2548518</v>
      </c>
      <c r="H106" s="4">
        <f ca="1">OFFSET(Nelson_Reference,20,6)</f>
        <v>993.79964559999996</v>
      </c>
      <c r="I106" s="1">
        <f ca="1">H106*('Updated Population'!I$103/'Updated Population'!H$103)</f>
        <v>992.28669880964571</v>
      </c>
      <c r="J106" s="1">
        <f ca="1">I106*('Updated Population'!J$103/'Updated Population'!I$103)</f>
        <v>987.66887198747463</v>
      </c>
      <c r="K106" s="1">
        <f ca="1">J106*('Updated Population'!K$103/'Updated Population'!J$103)</f>
        <v>981.00621235001256</v>
      </c>
    </row>
    <row r="107" spans="1:11" x14ac:dyDescent="0.2">
      <c r="A107" t="str">
        <f ca="1">OFFSET(Nelson_Reference,21,2)</f>
        <v>Light Vehicle Passenger</v>
      </c>
      <c r="B107" s="4">
        <f ca="1">OFFSET(Nelson_Reference,21,6)</f>
        <v>528.66856442999995</v>
      </c>
      <c r="C107" s="4">
        <f ca="1">OFFSET(Nelson_Reference,22,6)</f>
        <v>523.16512147000003</v>
      </c>
      <c r="D107" s="4">
        <f ca="1">OFFSET(Nelson_Reference,23,6)</f>
        <v>514.45301027999994</v>
      </c>
      <c r="E107" s="4">
        <f ca="1">OFFSET(Nelson_Reference,24,6)</f>
        <v>507.56907154999999</v>
      </c>
      <c r="F107" s="4">
        <f ca="1">OFFSET(Nelson_Reference,25,6)</f>
        <v>496.85654599999998</v>
      </c>
      <c r="G107" s="4">
        <f ca="1">OFFSET(Nelson_Reference,26,6)</f>
        <v>479.67705539999997</v>
      </c>
      <c r="H107" s="4">
        <f ca="1">OFFSET(Nelson_Reference,27,6)</f>
        <v>461.58232865999997</v>
      </c>
      <c r="I107" s="1">
        <f ca="1">H107*('Updated Population'!I$103/'Updated Population'!H$103)</f>
        <v>460.87962212783094</v>
      </c>
      <c r="J107" s="1">
        <f ca="1">I107*('Updated Population'!J$103/'Updated Population'!I$103)</f>
        <v>458.73481631373807</v>
      </c>
      <c r="K107" s="1">
        <f ca="1">J107*('Updated Population'!K$103/'Updated Population'!J$103)</f>
        <v>455.64026303617879</v>
      </c>
    </row>
    <row r="108" spans="1:11" x14ac:dyDescent="0.2">
      <c r="A108" t="str">
        <f ca="1">OFFSET(Nelson_Reference,28,2)</f>
        <v>Taxi/Vehicle Share</v>
      </c>
      <c r="B108" s="4">
        <f ca="1">OFFSET(Nelson_Reference,28,6)</f>
        <v>2.5483198348</v>
      </c>
      <c r="C108" s="4">
        <f ca="1">OFFSET(Nelson_Reference,29,6)</f>
        <v>2.9184411004999999</v>
      </c>
      <c r="D108" s="4">
        <f ca="1">OFFSET(Nelson_Reference,30,6)</f>
        <v>3.1743211404</v>
      </c>
      <c r="E108" s="4">
        <f ca="1">OFFSET(Nelson_Reference,31,6)</f>
        <v>3.2982721249</v>
      </c>
      <c r="F108" s="4">
        <f ca="1">OFFSET(Nelson_Reference,32,6)</f>
        <v>3.4050587388000002</v>
      </c>
      <c r="G108" s="4">
        <f ca="1">OFFSET(Nelson_Reference,33,6)</f>
        <v>3.4104089606999999</v>
      </c>
      <c r="H108" s="4">
        <f ca="1">OFFSET(Nelson_Reference,34,6)</f>
        <v>3.4105036838</v>
      </c>
      <c r="I108" s="1">
        <f ca="1">H108*('Updated Population'!I$103/'Updated Population'!H$103)</f>
        <v>3.405311580316424</v>
      </c>
      <c r="J108" s="1">
        <f ca="1">I108*('Updated Population'!J$103/'Updated Population'!I$103)</f>
        <v>3.3894642055886375</v>
      </c>
      <c r="K108" s="1">
        <f ca="1">J108*('Updated Population'!K$103/'Updated Population'!J$103)</f>
        <v>3.3665994105184489</v>
      </c>
    </row>
    <row r="109" spans="1:11" x14ac:dyDescent="0.2">
      <c r="A109" t="str">
        <f ca="1">OFFSET(Nelson_Reference,35,2)</f>
        <v>Motorcyclist</v>
      </c>
      <c r="B109" s="4">
        <f ca="1">OFFSET(Nelson_Reference,35,6)</f>
        <v>34.127286998000002</v>
      </c>
      <c r="C109" s="4">
        <f ca="1">OFFSET(Nelson_Reference,36,6)</f>
        <v>35.040064723</v>
      </c>
      <c r="D109" s="4">
        <f ca="1">OFFSET(Nelson_Reference,37,6)</f>
        <v>35.756166774</v>
      </c>
      <c r="E109" s="4">
        <f ca="1">OFFSET(Nelson_Reference,38,6)</f>
        <v>35.632496912000001</v>
      </c>
      <c r="F109" s="4">
        <f ca="1">OFFSET(Nelson_Reference,39,6)</f>
        <v>36.012328945999997</v>
      </c>
      <c r="G109" s="4">
        <f ca="1">OFFSET(Nelson_Reference,40,6)</f>
        <v>36.205974521999998</v>
      </c>
      <c r="H109" s="4">
        <f ca="1">OFFSET(Nelson_Reference,41,6)</f>
        <v>36.242441687000003</v>
      </c>
      <c r="I109" s="1">
        <f ca="1">H109*('Updated Population'!I$103/'Updated Population'!H$103)</f>
        <v>36.187266696681064</v>
      </c>
      <c r="J109" s="1">
        <f ca="1">I109*('Updated Population'!J$103/'Updated Population'!I$103)</f>
        <v>36.018861203617966</v>
      </c>
      <c r="K109" s="1">
        <f ca="1">J109*('Updated Population'!K$103/'Updated Population'!J$103)</f>
        <v>35.775883602991776</v>
      </c>
    </row>
    <row r="110" spans="1:11" x14ac:dyDescent="0.2">
      <c r="A110" t="str">
        <f ca="1">OFFSET(Nelson_Reference,42,2)</f>
        <v>Local Train</v>
      </c>
      <c r="B110" s="4">
        <f ca="1">OFFSET(Nelson_Reference,42,6)</f>
        <v>5.3733082988999996</v>
      </c>
      <c r="C110" s="4">
        <f ca="1">OFFSET(Nelson_Reference,43,6)</f>
        <v>4.8058733740999999</v>
      </c>
      <c r="D110" s="4">
        <f ca="1">OFFSET(Nelson_Reference,44,6)</f>
        <v>4.0364240529000002</v>
      </c>
      <c r="E110" s="4">
        <f ca="1">OFFSET(Nelson_Reference,45,6)</f>
        <v>3.4110414519000001</v>
      </c>
      <c r="F110" s="4">
        <f ca="1">OFFSET(Nelson_Reference,46,6)</f>
        <v>3.1743689171999998</v>
      </c>
      <c r="G110" s="4">
        <f ca="1">OFFSET(Nelson_Reference,47,6)</f>
        <v>3.2575461151999998</v>
      </c>
      <c r="H110" s="4">
        <f ca="1">OFFSET(Nelson_Reference,48,6)</f>
        <v>3.2172607883</v>
      </c>
      <c r="I110" s="1">
        <f ca="1">H110*('Updated Population'!I$103/'Updated Population'!H$103)</f>
        <v>3.2123628751190667</v>
      </c>
      <c r="J110" s="1">
        <f ca="1">I110*('Updated Population'!J$103/'Updated Population'!I$103)</f>
        <v>3.1974134300997328</v>
      </c>
      <c r="K110" s="1">
        <f ca="1">J110*('Updated Population'!K$103/'Updated Population'!J$103)</f>
        <v>3.1758441795045043</v>
      </c>
    </row>
    <row r="111" spans="1:11" x14ac:dyDescent="0.2">
      <c r="A111" t="str">
        <f ca="1">OFFSET(Nelson_Reference,49,2)</f>
        <v>Local Bus</v>
      </c>
      <c r="B111" s="4">
        <f ca="1">OFFSET(Nelson_Reference,49,6)</f>
        <v>19.807462209000001</v>
      </c>
      <c r="C111" s="4">
        <f ca="1">OFFSET(Nelson_Reference,50,6)</f>
        <v>18.134141539000002</v>
      </c>
      <c r="D111" s="4">
        <f ca="1">OFFSET(Nelson_Reference,51,6)</f>
        <v>16.935144326</v>
      </c>
      <c r="E111" s="4">
        <f ca="1">OFFSET(Nelson_Reference,52,6)</f>
        <v>16.341535078</v>
      </c>
      <c r="F111" s="4">
        <f ca="1">OFFSET(Nelson_Reference,53,6)</f>
        <v>15.110227087</v>
      </c>
      <c r="G111" s="4">
        <f ca="1">OFFSET(Nelson_Reference,54,6)</f>
        <v>14.719039219000001</v>
      </c>
      <c r="H111" s="4">
        <f ca="1">OFFSET(Nelson_Reference,55,6)</f>
        <v>14.309672047999999</v>
      </c>
      <c r="I111" s="1">
        <f ca="1">H111*('Updated Population'!I$103/'Updated Population'!H$103)</f>
        <v>14.287887201837197</v>
      </c>
      <c r="J111" s="1">
        <f ca="1">I111*('Updated Population'!J$103/'Updated Population'!I$103)</f>
        <v>14.221395341337658</v>
      </c>
      <c r="K111" s="1">
        <f ca="1">J111*('Updated Population'!K$103/'Updated Population'!J$103)</f>
        <v>14.125460034053495</v>
      </c>
    </row>
    <row r="112" spans="1:11" x14ac:dyDescent="0.2">
      <c r="A112" t="str">
        <f ca="1">OFFSET(Wellington_Reference,56,2)</f>
        <v>Local Ferry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1">
        <f>H112*('Updated Population'!I$103/'Updated Population'!H$103)</f>
        <v>0</v>
      </c>
      <c r="J112" s="1">
        <f>I112*('Updated Population'!J$103/'Updated Population'!I$103)</f>
        <v>0</v>
      </c>
      <c r="K112" s="1">
        <f>J112*('Updated Population'!K$103/'Updated Population'!J$103)</f>
        <v>0</v>
      </c>
    </row>
    <row r="113" spans="1:11" x14ac:dyDescent="0.2">
      <c r="A113" t="str">
        <f ca="1">OFFSET(Nelson_Reference,56,2)</f>
        <v>Other Household Travel</v>
      </c>
      <c r="B113" s="4">
        <f ca="1">OFFSET(Nelson_Reference,56,6)</f>
        <v>0</v>
      </c>
      <c r="C113" s="4">
        <f ca="1">OFFSET(Nelson_Reference,57,6)</f>
        <v>0</v>
      </c>
      <c r="D113" s="4">
        <f ca="1">OFFSET(Nelson_Reference,58,6)</f>
        <v>0</v>
      </c>
      <c r="E113" s="4">
        <f ca="1">OFFSET(Nelson_Reference,59,6)</f>
        <v>0</v>
      </c>
      <c r="F113" s="4">
        <f ca="1">OFFSET(Nelson_Reference,60,6)</f>
        <v>0</v>
      </c>
      <c r="G113" s="4">
        <f ca="1">OFFSET(Nelson_Reference,61,6)</f>
        <v>0</v>
      </c>
      <c r="H113" s="4">
        <f ca="1">OFFSET(Nelson_Reference,62,6)</f>
        <v>0</v>
      </c>
      <c r="I113" s="1">
        <f ca="1">H113*('Updated Population'!I$103/'Updated Population'!H$103)</f>
        <v>0</v>
      </c>
      <c r="J113" s="1">
        <f ca="1">I113*('Updated Population'!J$103/'Updated Population'!I$103)</f>
        <v>0</v>
      </c>
      <c r="K113" s="1">
        <f ca="1">J113*('Updated Population'!K$103/'Updated Population'!J$103)</f>
        <v>0</v>
      </c>
    </row>
    <row r="114" spans="1:11" x14ac:dyDescent="0.2">
      <c r="A114" t="str">
        <f ca="1">OFFSET(West_Coast_Reference,0,0)</f>
        <v>12 WEST COAST</v>
      </c>
      <c r="I114" s="1"/>
      <c r="J114" s="1"/>
      <c r="K114" s="1"/>
    </row>
    <row r="115" spans="1:11" x14ac:dyDescent="0.2">
      <c r="A115" t="str">
        <f ca="1">OFFSET(West_Coast_Reference,0,2)</f>
        <v>Pedestrian</v>
      </c>
      <c r="B115" s="4">
        <f ca="1">OFFSET(West_Coast_Reference,0,6)</f>
        <v>4.6474841125999999</v>
      </c>
      <c r="C115" s="4">
        <f ca="1">OFFSET(West_Coast_Reference,1,6)</f>
        <v>4.4414568081999999</v>
      </c>
      <c r="D115" s="4">
        <f ca="1">OFFSET(West_Coast_Reference,2,6)</f>
        <v>4.084577393</v>
      </c>
      <c r="E115" s="4">
        <f ca="1">OFFSET(West_Coast_Reference,3,6)</f>
        <v>3.9346455683000001</v>
      </c>
      <c r="F115" s="4">
        <f ca="1">OFFSET(West_Coast_Reference,4,6)</f>
        <v>3.7422715271999998</v>
      </c>
      <c r="G115" s="4">
        <f ca="1">OFFSET(West_Coast_Reference,5,6)</f>
        <v>3.543936236</v>
      </c>
      <c r="H115" s="4">
        <f ca="1">OFFSET(West_Coast_Reference,6,6)</f>
        <v>3.3654930918999999</v>
      </c>
      <c r="I115" s="1">
        <f ca="1">H115*('Updated Population'!I$114/'Updated Population'!H$114)</f>
        <v>3.2789413295412073</v>
      </c>
      <c r="J115" s="1">
        <f ca="1">I115*('Updated Population'!J$114/'Updated Population'!I$114)</f>
        <v>3.1844464428183099</v>
      </c>
      <c r="K115" s="1">
        <f ca="1">J115*('Updated Population'!K$114/'Updated Population'!J$114)</f>
        <v>3.0860284197893901</v>
      </c>
    </row>
    <row r="116" spans="1:11" x14ac:dyDescent="0.2">
      <c r="A116" t="str">
        <f ca="1">OFFSET(West_Coast_Reference,7,2)</f>
        <v>Cyclist</v>
      </c>
      <c r="B116" s="4">
        <f ca="1">OFFSET(West_Coast_Reference,7,6)</f>
        <v>1.9571055828999999</v>
      </c>
      <c r="C116" s="4">
        <f ca="1">OFFSET(West_Coast_Reference,8,6)</f>
        <v>1.9829750068000001</v>
      </c>
      <c r="D116" s="4">
        <f ca="1">OFFSET(West_Coast_Reference,9,6)</f>
        <v>1.9435373278000001</v>
      </c>
      <c r="E116" s="4">
        <f ca="1">OFFSET(West_Coast_Reference,10,6)</f>
        <v>1.846950251</v>
      </c>
      <c r="F116" s="4">
        <f ca="1">OFFSET(West_Coast_Reference,11,6)</f>
        <v>1.7599470812</v>
      </c>
      <c r="G116" s="4">
        <f ca="1">OFFSET(West_Coast_Reference,12,6)</f>
        <v>1.7803038049</v>
      </c>
      <c r="H116" s="4">
        <f ca="1">OFFSET(West_Coast_Reference,13,6)</f>
        <v>1.7850135654999999</v>
      </c>
      <c r="I116" s="1">
        <f ca="1">H116*('Updated Population'!I$114/'Updated Population'!H$114)</f>
        <v>1.7391076415507827</v>
      </c>
      <c r="J116" s="1">
        <f ca="1">I116*('Updated Population'!J$114/'Updated Population'!I$114)</f>
        <v>1.6889887882164167</v>
      </c>
      <c r="K116" s="1">
        <f ca="1">J116*('Updated Population'!K$114/'Updated Population'!J$114)</f>
        <v>1.6367891546414348</v>
      </c>
    </row>
    <row r="117" spans="1:11" x14ac:dyDescent="0.2">
      <c r="A117" t="str">
        <f ca="1">OFFSET(West_Coast_Reference,14,2)</f>
        <v>Light Vehicle Driver</v>
      </c>
      <c r="B117" s="4">
        <f ca="1">OFFSET(West_Coast_Reference,14,6)</f>
        <v>226.22434741999999</v>
      </c>
      <c r="C117" s="4">
        <f ca="1">OFFSET(West_Coast_Reference,15,6)</f>
        <v>229.12692038</v>
      </c>
      <c r="D117" s="4">
        <f ca="1">OFFSET(West_Coast_Reference,16,6)</f>
        <v>223.16558164</v>
      </c>
      <c r="E117" s="4">
        <f ca="1">OFFSET(West_Coast_Reference,17,6)</f>
        <v>218.50345934000001</v>
      </c>
      <c r="F117" s="4">
        <f ca="1">OFFSET(West_Coast_Reference,18,6)</f>
        <v>209.72816198999999</v>
      </c>
      <c r="G117" s="4">
        <f ca="1">OFFSET(West_Coast_Reference,19,6)</f>
        <v>205.19390440000001</v>
      </c>
      <c r="H117" s="4">
        <f ca="1">OFFSET(West_Coast_Reference,20,6)</f>
        <v>200.76895583999999</v>
      </c>
      <c r="I117" s="1">
        <f ca="1">H117*('Updated Population'!I$114/'Updated Population'!H$114)</f>
        <v>195.60569848650579</v>
      </c>
      <c r="J117" s="1">
        <f ca="1">I117*('Updated Population'!J$114/'Updated Population'!I$114)</f>
        <v>189.96859295054861</v>
      </c>
      <c r="K117" s="1">
        <f ca="1">J117*('Updated Population'!K$114/'Updated Population'!J$114)</f>
        <v>184.09745217569173</v>
      </c>
    </row>
    <row r="118" spans="1:11" x14ac:dyDescent="0.2">
      <c r="A118" t="str">
        <f ca="1">OFFSET(West_Coast_Reference,21,2)</f>
        <v>Light Vehicle Passenger</v>
      </c>
      <c r="B118" s="4">
        <f ca="1">OFFSET(West_Coast_Reference,21,6)</f>
        <v>160.37072223999999</v>
      </c>
      <c r="C118" s="4">
        <f ca="1">OFFSET(West_Coast_Reference,22,6)</f>
        <v>158.73684238999999</v>
      </c>
      <c r="D118" s="4">
        <f ca="1">OFFSET(West_Coast_Reference,23,6)</f>
        <v>150.53198166999999</v>
      </c>
      <c r="E118" s="4">
        <f ca="1">OFFSET(West_Coast_Reference,24,6)</f>
        <v>149.11608672</v>
      </c>
      <c r="F118" s="4">
        <f ca="1">OFFSET(West_Coast_Reference,25,6)</f>
        <v>141.17923217000001</v>
      </c>
      <c r="G118" s="4">
        <f ca="1">OFFSET(West_Coast_Reference,26,6)</f>
        <v>132.9732204</v>
      </c>
      <c r="H118" s="4">
        <f ca="1">OFFSET(West_Coast_Reference,27,6)</f>
        <v>124.55648246</v>
      </c>
      <c r="I118" s="1">
        <f ca="1">H118*('Updated Population'!I$114/'Updated Population'!H$114)</f>
        <v>121.35321245594872</v>
      </c>
      <c r="J118" s="1">
        <f ca="1">I118*('Updated Population'!J$114/'Updated Population'!I$114)</f>
        <v>117.85596840306746</v>
      </c>
      <c r="K118" s="1">
        <f ca="1">J118*('Updated Population'!K$114/'Updated Population'!J$114)</f>
        <v>114.21352956144474</v>
      </c>
    </row>
    <row r="119" spans="1:11" x14ac:dyDescent="0.2">
      <c r="A119" t="str">
        <f ca="1">OFFSET(West_Coast_Reference,28,2)</f>
        <v>Taxi/Vehicle Share</v>
      </c>
      <c r="B119" s="4">
        <f ca="1">OFFSET(West_Coast_Reference,28,6)</f>
        <v>1.6916956777000001</v>
      </c>
      <c r="C119" s="4">
        <f ca="1">OFFSET(West_Coast_Reference,29,6)</f>
        <v>1.9366105358000001</v>
      </c>
      <c r="D119" s="4">
        <f ca="1">OFFSET(West_Coast_Reference,30,6)</f>
        <v>2.0571599365000002</v>
      </c>
      <c r="E119" s="4">
        <f ca="1">OFFSET(West_Coast_Reference,31,6)</f>
        <v>2.2315444195</v>
      </c>
      <c r="F119" s="4">
        <f ca="1">OFFSET(West_Coast_Reference,32,6)</f>
        <v>2.1772159063999998</v>
      </c>
      <c r="G119" s="4">
        <f ca="1">OFFSET(West_Coast_Reference,33,6)</f>
        <v>2.1756387959999999</v>
      </c>
      <c r="H119" s="4">
        <f ca="1">OFFSET(West_Coast_Reference,34,6)</f>
        <v>2.1338476257000001</v>
      </c>
      <c r="I119" s="1">
        <f ca="1">H119*('Updated Population'!I$114/'Updated Population'!H$114)</f>
        <v>2.0789705935486151</v>
      </c>
      <c r="J119" s="1">
        <f ca="1">I119*('Updated Population'!J$114/'Updated Population'!I$114)</f>
        <v>2.0190573255167354</v>
      </c>
      <c r="K119" s="1">
        <f ca="1">J119*('Updated Population'!K$114/'Updated Population'!J$114)</f>
        <v>1.9566566433487067</v>
      </c>
    </row>
    <row r="120" spans="1:11" x14ac:dyDescent="0.2">
      <c r="A120" t="str">
        <f ca="1">OFFSET(West_Coast_Reference,35,2)</f>
        <v>Motorcyclist</v>
      </c>
      <c r="B120" s="4">
        <f ca="1">OFFSET(West_Coast_Reference,35,6)</f>
        <v>0.29466348679999999</v>
      </c>
      <c r="C120" s="4">
        <f ca="1">OFFSET(West_Coast_Reference,36,6)</f>
        <v>0.33762341019999997</v>
      </c>
      <c r="D120" s="4">
        <f ca="1">OFFSET(West_Coast_Reference,37,6)</f>
        <v>0.3399369169</v>
      </c>
      <c r="E120" s="4">
        <f ca="1">OFFSET(West_Coast_Reference,38,6)</f>
        <v>0.35314842689999998</v>
      </c>
      <c r="F120" s="4">
        <f ca="1">OFFSET(West_Coast_Reference,39,6)</f>
        <v>0.38050061219999998</v>
      </c>
      <c r="G120" s="4">
        <f ca="1">OFFSET(West_Coast_Reference,40,6)</f>
        <v>0.41793959409999998</v>
      </c>
      <c r="H120" s="4">
        <f ca="1">OFFSET(West_Coast_Reference,41,6)</f>
        <v>0.4417144502</v>
      </c>
      <c r="I120" s="1">
        <f ca="1">H120*('Updated Population'!I$114/'Updated Population'!H$114)</f>
        <v>0.43035469901935752</v>
      </c>
      <c r="J120" s="1">
        <f ca="1">I120*('Updated Population'!J$114/'Updated Population'!I$114)</f>
        <v>0.41795242814975619</v>
      </c>
      <c r="K120" s="1">
        <f ca="1">J120*('Updated Population'!K$114/'Updated Population'!J$114)</f>
        <v>0.40503525323811568</v>
      </c>
    </row>
    <row r="121" spans="1:11" x14ac:dyDescent="0.2">
      <c r="A121" t="str">
        <f ca="1">OFFSET(Nelson_Reference,42,2)</f>
        <v>Local Train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1">
        <f>H121*('Updated Population'!I$114/'Updated Population'!H$114)</f>
        <v>0</v>
      </c>
      <c r="J121" s="1">
        <f>I121*('Updated Population'!J$114/'Updated Population'!I$114)</f>
        <v>0</v>
      </c>
      <c r="K121" s="1">
        <f>J121*('Updated Population'!K$114/'Updated Population'!J$114)</f>
        <v>0</v>
      </c>
    </row>
    <row r="122" spans="1:11" x14ac:dyDescent="0.2">
      <c r="A122" t="str">
        <f ca="1">OFFSET(West_Coast_Reference,42,2)</f>
        <v>Local Bus</v>
      </c>
      <c r="B122" s="4">
        <f ca="1">OFFSET(West_Coast_Reference,42,6)</f>
        <v>6.0600083682000001</v>
      </c>
      <c r="C122" s="4">
        <f ca="1">OFFSET(West_Coast_Reference,43,6)</f>
        <v>5.7737770516999998</v>
      </c>
      <c r="D122" s="4">
        <f ca="1">OFFSET(West_Coast_Reference,44,6)</f>
        <v>5.2927871269000004</v>
      </c>
      <c r="E122" s="4">
        <f ca="1">OFFSET(West_Coast_Reference,45,6)</f>
        <v>5.0106129143000002</v>
      </c>
      <c r="F122" s="4">
        <f ca="1">OFFSET(West_Coast_Reference,46,6)</f>
        <v>4.7190409752000004</v>
      </c>
      <c r="G122" s="4">
        <f ca="1">OFFSET(West_Coast_Reference,47,6)</f>
        <v>4.4612394631000001</v>
      </c>
      <c r="H122" s="4">
        <f ca="1">OFFSET(West_Coast_Reference,48,6)</f>
        <v>4.2566500745000004</v>
      </c>
      <c r="I122" s="1">
        <f ca="1">H122*('Updated Population'!I$114/'Updated Population'!H$114)</f>
        <v>4.1471800635291363</v>
      </c>
      <c r="J122" s="1">
        <f ca="1">I122*('Updated Population'!J$114/'Updated Population'!I$114)</f>
        <v>4.0276636492548139</v>
      </c>
      <c r="K122" s="1">
        <f ca="1">J122*('Updated Population'!K$114/'Updated Population'!J$114)</f>
        <v>3.9031852820085793</v>
      </c>
    </row>
    <row r="123" spans="1:11" x14ac:dyDescent="0.2">
      <c r="A123" t="str">
        <f ca="1">OFFSET(Wellington_Reference,56,2)</f>
        <v>Local Ferry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1">
        <f>H123*('Updated Population'!I$114/'Updated Population'!H$114)</f>
        <v>0</v>
      </c>
      <c r="J123" s="1">
        <f>I123*('Updated Population'!J$114/'Updated Population'!I$114)</f>
        <v>0</v>
      </c>
      <c r="K123" s="1">
        <f>J123*('Updated Population'!K$114/'Updated Population'!J$114)</f>
        <v>0</v>
      </c>
    </row>
    <row r="124" spans="1:11" x14ac:dyDescent="0.2">
      <c r="A124" t="str">
        <f ca="1">OFFSET(West_Coast_Reference,49,2)</f>
        <v>Other Household Travel</v>
      </c>
      <c r="B124" s="4">
        <f ca="1">OFFSET(West_Coast_Reference,49,6)</f>
        <v>0</v>
      </c>
      <c r="C124" s="4">
        <f ca="1">OFFSET(West_Coast_Reference,50,6)</f>
        <v>0</v>
      </c>
      <c r="D124" s="4">
        <f ca="1">OFFSET(West_Coast_Reference,51,6)</f>
        <v>0</v>
      </c>
      <c r="E124" s="4">
        <f ca="1">OFFSET(West_Coast_Reference,52,6)</f>
        <v>0</v>
      </c>
      <c r="F124" s="4">
        <f ca="1">OFFSET(West_Coast_Reference,53,6)</f>
        <v>0</v>
      </c>
      <c r="G124" s="4">
        <f ca="1">OFFSET(West_Coast_Reference,54,6)</f>
        <v>0</v>
      </c>
      <c r="H124" s="4">
        <f ca="1">OFFSET(West_Coast_Reference,55,6)</f>
        <v>0</v>
      </c>
      <c r="I124" s="1">
        <f ca="1">H124*('Updated Population'!I$114/'Updated Population'!H$114)</f>
        <v>0</v>
      </c>
      <c r="J124" s="1">
        <f ca="1">I124*('Updated Population'!J$114/'Updated Population'!I$114)</f>
        <v>0</v>
      </c>
      <c r="K124" s="1">
        <f ca="1">J124*('Updated Population'!K$114/'Updated Population'!J$114)</f>
        <v>0</v>
      </c>
    </row>
    <row r="125" spans="1:11" x14ac:dyDescent="0.2">
      <c r="A125" t="str">
        <f ca="1">OFFSET(Canterbury_Reference,0,0)</f>
        <v>13 CANTERBURY</v>
      </c>
      <c r="I125" s="1"/>
      <c r="J125" s="1"/>
      <c r="K125" s="1"/>
    </row>
    <row r="126" spans="1:11" x14ac:dyDescent="0.2">
      <c r="A126" t="str">
        <f ca="1">OFFSET(Canterbury_Reference,0,2)</f>
        <v>Pedestrian</v>
      </c>
      <c r="B126" s="4">
        <f ca="1">OFFSET(Canterbury_Reference,0,6)</f>
        <v>113.37513976</v>
      </c>
      <c r="C126" s="4">
        <f ca="1">OFFSET(Canterbury_Reference,1,6)</f>
        <v>119.98057351999999</v>
      </c>
      <c r="D126" s="4">
        <f ca="1">OFFSET(Canterbury_Reference,2,6)</f>
        <v>122.28703609999999</v>
      </c>
      <c r="E126" s="4">
        <f ca="1">OFFSET(Canterbury_Reference,3,6)</f>
        <v>125.3595978</v>
      </c>
      <c r="F126" s="4">
        <f ca="1">OFFSET(Canterbury_Reference,4,6)</f>
        <v>126.61413648</v>
      </c>
      <c r="G126" s="4">
        <f ca="1">OFFSET(Canterbury_Reference,5,6)</f>
        <v>127.32873788000001</v>
      </c>
      <c r="H126" s="4">
        <f ca="1">OFFSET(Canterbury_Reference,6,6)</f>
        <v>127.59173183999999</v>
      </c>
      <c r="I126" s="1">
        <f ca="1">H126*('Updated Population'!I$125/'Updated Population'!H$125)</f>
        <v>130.81971689021577</v>
      </c>
      <c r="J126" s="1">
        <f ca="1">I126*('Updated Population'!J$125/'Updated Population'!I$125)</f>
        <v>133.70241090363845</v>
      </c>
      <c r="K126" s="1">
        <f ca="1">J126*('Updated Population'!K$125/'Updated Population'!J$125)</f>
        <v>136.354960152247</v>
      </c>
    </row>
    <row r="127" spans="1:11" x14ac:dyDescent="0.2">
      <c r="A127" t="str">
        <f ca="1">OFFSET(Canterbury_Reference,7,2)</f>
        <v>Cyclist</v>
      </c>
      <c r="B127" s="4">
        <f ca="1">OFFSET(Canterbury_Reference,7,6)</f>
        <v>97.023488555</v>
      </c>
      <c r="C127" s="4">
        <f ca="1">OFFSET(Canterbury_Reference,8,6)</f>
        <v>107.62104835</v>
      </c>
      <c r="D127" s="4">
        <f ca="1">OFFSET(Canterbury_Reference,9,6)</f>
        <v>111.12520852999999</v>
      </c>
      <c r="E127" s="4">
        <f ca="1">OFFSET(Canterbury_Reference,10,6)</f>
        <v>113.45898536999999</v>
      </c>
      <c r="F127" s="4">
        <f ca="1">OFFSET(Canterbury_Reference,11,6)</f>
        <v>116.85010391</v>
      </c>
      <c r="G127" s="4">
        <f ca="1">OFFSET(Canterbury_Reference,12,6)</f>
        <v>121.261495</v>
      </c>
      <c r="H127" s="4">
        <f ca="1">OFFSET(Canterbury_Reference,13,6)</f>
        <v>125.71689560999999</v>
      </c>
      <c r="I127" s="1">
        <f ca="1">H127*('Updated Population'!I$125/'Updated Population'!H$125)</f>
        <v>128.89744856383484</v>
      </c>
      <c r="J127" s="1">
        <f ca="1">I127*('Updated Population'!J$125/'Updated Population'!I$125)</f>
        <v>131.73778419636224</v>
      </c>
      <c r="K127" s="1">
        <f ca="1">J127*('Updated Population'!K$125/'Updated Population'!J$125)</f>
        <v>134.35135681724239</v>
      </c>
    </row>
    <row r="128" spans="1:11" x14ac:dyDescent="0.2">
      <c r="A128" t="str">
        <f ca="1">OFFSET(Canterbury_Reference,14,2)</f>
        <v>Light Vehicle Driver</v>
      </c>
      <c r="B128" s="4">
        <f ca="1">OFFSET(Canterbury_Reference,14,6)</f>
        <v>3777.041205</v>
      </c>
      <c r="C128" s="4">
        <f ca="1">OFFSET(Canterbury_Reference,15,6)</f>
        <v>4230.1676625999999</v>
      </c>
      <c r="D128" s="4">
        <f ca="1">OFFSET(Canterbury_Reference,16,6)</f>
        <v>4474.4820284999996</v>
      </c>
      <c r="E128" s="4">
        <f ca="1">OFFSET(Canterbury_Reference,17,6)</f>
        <v>4705.7022034000001</v>
      </c>
      <c r="F128" s="4">
        <f ca="1">OFFSET(Canterbury_Reference,18,6)</f>
        <v>4923.3264028000003</v>
      </c>
      <c r="G128" s="4">
        <f ca="1">OFFSET(Canterbury_Reference,19,6)</f>
        <v>5087.8462687000001</v>
      </c>
      <c r="H128" s="4">
        <f ca="1">OFFSET(Canterbury_Reference,20,6)</f>
        <v>5237.2083664000002</v>
      </c>
      <c r="I128" s="1">
        <f ca="1">H128*('Updated Population'!I$125/'Updated Population'!H$125)</f>
        <v>5369.7062176934032</v>
      </c>
      <c r="J128" s="1">
        <f ca="1">I128*('Updated Population'!J$125/'Updated Population'!I$125)</f>
        <v>5488.0310416232205</v>
      </c>
      <c r="K128" s="1">
        <f ca="1">J128*('Updated Population'!K$125/'Updated Population'!J$125)</f>
        <v>5596.9092025883938</v>
      </c>
    </row>
    <row r="129" spans="1:11" x14ac:dyDescent="0.2">
      <c r="A129" t="str">
        <f ca="1">OFFSET(Canterbury_Reference,21,2)</f>
        <v>Light Vehicle Passenger</v>
      </c>
      <c r="B129" s="4">
        <f ca="1">OFFSET(Canterbury_Reference,21,6)</f>
        <v>2033.7115475000001</v>
      </c>
      <c r="C129" s="4">
        <f ca="1">OFFSET(Canterbury_Reference,22,6)</f>
        <v>2158.4247175999999</v>
      </c>
      <c r="D129" s="4">
        <f ca="1">OFFSET(Canterbury_Reference,23,6)</f>
        <v>2216.0328536000002</v>
      </c>
      <c r="E129" s="4">
        <f ca="1">OFFSET(Canterbury_Reference,24,6)</f>
        <v>2286.5758494000002</v>
      </c>
      <c r="F129" s="4">
        <f ca="1">OFFSET(Canterbury_Reference,25,6)</f>
        <v>2344.6375339000001</v>
      </c>
      <c r="G129" s="4">
        <f ca="1">OFFSET(Canterbury_Reference,26,6)</f>
        <v>2394.6182776000001</v>
      </c>
      <c r="H129" s="4">
        <f ca="1">OFFSET(Canterbury_Reference,27,6)</f>
        <v>2433.1373096000002</v>
      </c>
      <c r="I129" s="1">
        <f ca="1">H129*('Updated Population'!I$125/'Updated Population'!H$125)</f>
        <v>2494.6940480128001</v>
      </c>
      <c r="J129" s="1">
        <f ca="1">I129*('Updated Population'!J$125/'Updated Population'!I$125)</f>
        <v>2549.6661865289138</v>
      </c>
      <c r="K129" s="1">
        <f ca="1">J129*('Updated Population'!K$125/'Updated Population'!J$125)</f>
        <v>2600.2495311490356</v>
      </c>
    </row>
    <row r="130" spans="1:11" x14ac:dyDescent="0.2">
      <c r="A130" t="str">
        <f ca="1">OFFSET(Canterbury_Reference,28,2)</f>
        <v>Taxi/Vehicle Share</v>
      </c>
      <c r="B130" s="4">
        <f ca="1">OFFSET(Canterbury_Reference,28,6)</f>
        <v>16.530142167000001</v>
      </c>
      <c r="C130" s="4">
        <f ca="1">OFFSET(Canterbury_Reference,29,6)</f>
        <v>18.895325593999999</v>
      </c>
      <c r="D130" s="4">
        <f ca="1">OFFSET(Canterbury_Reference,30,6)</f>
        <v>20.241394632999999</v>
      </c>
      <c r="E130" s="4">
        <f ca="1">OFFSET(Canterbury_Reference,31,6)</f>
        <v>21.357347351000001</v>
      </c>
      <c r="F130" s="4">
        <f ca="1">OFFSET(Canterbury_Reference,32,6)</f>
        <v>22.542703292999999</v>
      </c>
      <c r="G130" s="4">
        <f ca="1">OFFSET(Canterbury_Reference,33,6)</f>
        <v>23.523869629</v>
      </c>
      <c r="H130" s="4">
        <f ca="1">OFFSET(Canterbury_Reference,34,6)</f>
        <v>24.390811210999999</v>
      </c>
      <c r="I130" s="1">
        <f ca="1">H130*('Updated Population'!I$125/'Updated Population'!H$125)</f>
        <v>25.007882339484048</v>
      </c>
      <c r="J130" s="1">
        <f ca="1">I130*('Updated Population'!J$125/'Updated Population'!I$125)</f>
        <v>25.55894661650666</v>
      </c>
      <c r="K130" s="1">
        <f ca="1">J130*('Updated Population'!K$125/'Updated Population'!J$125)</f>
        <v>26.06601574252042</v>
      </c>
    </row>
    <row r="131" spans="1:11" x14ac:dyDescent="0.2">
      <c r="A131" t="str">
        <f ca="1">OFFSET(Canterbury_Reference,35,2)</f>
        <v>Motorcyclist</v>
      </c>
      <c r="B131" s="4">
        <f ca="1">OFFSET(Canterbury_Reference,35,6)</f>
        <v>12.048552727000001</v>
      </c>
      <c r="C131" s="4">
        <f ca="1">OFFSET(Canterbury_Reference,36,6)</f>
        <v>12.911538787</v>
      </c>
      <c r="D131" s="4">
        <f ca="1">OFFSET(Canterbury_Reference,37,6)</f>
        <v>13.084098966000001</v>
      </c>
      <c r="E131" s="4">
        <f ca="1">OFFSET(Canterbury_Reference,38,6)</f>
        <v>13.19148657</v>
      </c>
      <c r="F131" s="4">
        <f ca="1">OFFSET(Canterbury_Reference,39,6)</f>
        <v>13.660125998</v>
      </c>
      <c r="G131" s="4">
        <f ca="1">OFFSET(Canterbury_Reference,40,6)</f>
        <v>14.499290937</v>
      </c>
      <c r="H131" s="4">
        <f ca="1">OFFSET(Canterbury_Reference,41,6)</f>
        <v>15.245678834</v>
      </c>
      <c r="I131" s="1">
        <f ca="1">H131*('Updated Population'!I$125/'Updated Population'!H$125)</f>
        <v>15.631384260573061</v>
      </c>
      <c r="J131" s="1">
        <f ca="1">I131*('Updated Population'!J$125/'Updated Population'!I$125)</f>
        <v>15.975831557208616</v>
      </c>
      <c r="K131" s="1">
        <f ca="1">J131*('Updated Population'!K$125/'Updated Population'!J$125)</f>
        <v>16.29277931982983</v>
      </c>
    </row>
    <row r="132" spans="1:11" x14ac:dyDescent="0.2">
      <c r="A132" t="str">
        <f ca="1">OFFSET(Canterbury_Reference,42,2)</f>
        <v>Local Train</v>
      </c>
      <c r="B132" s="4">
        <f ca="1">OFFSET(Canterbury_Reference,42,6)</f>
        <v>0</v>
      </c>
      <c r="C132" s="4">
        <f ca="1">OFFSET(Canterbury_Reference,43,6)</f>
        <v>0</v>
      </c>
      <c r="D132" s="4">
        <f ca="1">OFFSET(Canterbury_Reference,44,6)</f>
        <v>0</v>
      </c>
      <c r="E132" s="4">
        <f ca="1">OFFSET(Canterbury_Reference,45,6)</f>
        <v>0</v>
      </c>
      <c r="F132" s="4">
        <f ca="1">OFFSET(Canterbury_Reference,46,6)</f>
        <v>0</v>
      </c>
      <c r="G132" s="4">
        <f ca="1">OFFSET(Canterbury_Reference,47,6)</f>
        <v>0</v>
      </c>
      <c r="H132" s="4">
        <f ca="1">OFFSET(Canterbury_Reference,48,6)</f>
        <v>0</v>
      </c>
      <c r="I132" s="1">
        <f ca="1">H132*('Updated Population'!I$125/'Updated Population'!H$125)</f>
        <v>0</v>
      </c>
      <c r="J132" s="1">
        <f ca="1">I132*('Updated Population'!J$125/'Updated Population'!I$125)</f>
        <v>0</v>
      </c>
      <c r="K132" s="1">
        <f ca="1">J132*('Updated Population'!K$125/'Updated Population'!J$125)</f>
        <v>0</v>
      </c>
    </row>
    <row r="133" spans="1:11" x14ac:dyDescent="0.2">
      <c r="A133" t="str">
        <f ca="1">OFFSET(Canterbury_Reference,49,2)</f>
        <v>Local Bus</v>
      </c>
      <c r="B133" s="4">
        <f ca="1">OFFSET(Canterbury_Reference,49,6)</f>
        <v>174.53993166999999</v>
      </c>
      <c r="C133" s="4">
        <f ca="1">OFFSET(Canterbury_Reference,50,6)</f>
        <v>176.87296327000001</v>
      </c>
      <c r="D133" s="4">
        <f ca="1">OFFSET(Canterbury_Reference,51,6)</f>
        <v>174.21967068999999</v>
      </c>
      <c r="E133" s="4">
        <f ca="1">OFFSET(Canterbury_Reference,52,6)</f>
        <v>176.58415210000001</v>
      </c>
      <c r="F133" s="4">
        <f ca="1">OFFSET(Canterbury_Reference,53,6)</f>
        <v>174.93159184000001</v>
      </c>
      <c r="G133" s="4">
        <f ca="1">OFFSET(Canterbury_Reference,54,6)</f>
        <v>173.02374889999999</v>
      </c>
      <c r="H133" s="4">
        <f ca="1">OFFSET(Canterbury_Reference,55,6)</f>
        <v>170.2658198</v>
      </c>
      <c r="I133" s="1">
        <f ca="1">H133*('Updated Population'!I$125/'Updated Population'!H$125)</f>
        <v>174.57343059069254</v>
      </c>
      <c r="J133" s="1">
        <f ca="1">I133*('Updated Population'!J$125/'Updated Population'!I$125)</f>
        <v>178.42026496114735</v>
      </c>
      <c r="K133" s="1">
        <f ca="1">J133*('Updated Population'!K$125/'Updated Population'!J$125)</f>
        <v>181.95998078646872</v>
      </c>
    </row>
    <row r="134" spans="1:11" x14ac:dyDescent="0.2">
      <c r="A134" t="str">
        <f ca="1">OFFSET(Wellington_Reference,56,2)</f>
        <v>Local Ferry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1">
        <f>H134*('Updated Population'!I$125/'Updated Population'!H$125)</f>
        <v>0</v>
      </c>
      <c r="J134" s="1">
        <f>I134*('Updated Population'!J$125/'Updated Population'!I$125)</f>
        <v>0</v>
      </c>
      <c r="K134" s="1">
        <f>J134*('Updated Population'!K$125/'Updated Population'!J$125)</f>
        <v>0</v>
      </c>
    </row>
    <row r="135" spans="1:11" x14ac:dyDescent="0.2">
      <c r="A135" t="str">
        <f ca="1">OFFSET(Canterbury_Reference,56,2)</f>
        <v>Other Household Travel</v>
      </c>
      <c r="B135" s="4">
        <f ca="1">OFFSET(Canterbury_Reference,56,6)</f>
        <v>0</v>
      </c>
      <c r="C135" s="4">
        <f ca="1">OFFSET(Canterbury_Reference,57,6)</f>
        <v>0</v>
      </c>
      <c r="D135" s="4">
        <f ca="1">OFFSET(Canterbury_Reference,58,6)</f>
        <v>0</v>
      </c>
      <c r="E135" s="4">
        <f ca="1">OFFSET(Canterbury_Reference,59,6)</f>
        <v>0</v>
      </c>
      <c r="F135" s="4">
        <f ca="1">OFFSET(Canterbury_Reference,60,6)</f>
        <v>0</v>
      </c>
      <c r="G135" s="4">
        <f ca="1">OFFSET(Canterbury_Reference,61,6)</f>
        <v>0</v>
      </c>
      <c r="H135" s="4">
        <f ca="1">OFFSET(Canterbury_Reference,62,6)</f>
        <v>0</v>
      </c>
      <c r="I135" s="1">
        <f ca="1">H135*('Updated Population'!I$125/'Updated Population'!H$125)</f>
        <v>0</v>
      </c>
      <c r="J135" s="1">
        <f ca="1">I135*('Updated Population'!J$125/'Updated Population'!I$125)</f>
        <v>0</v>
      </c>
      <c r="K135" s="1">
        <f ca="1">J135*('Updated Population'!K$125/'Updated Population'!J$125)</f>
        <v>0</v>
      </c>
    </row>
    <row r="136" spans="1:11" x14ac:dyDescent="0.2">
      <c r="A136" t="str">
        <f ca="1">OFFSET(Otago_Reference,0,0)</f>
        <v>14 OTAGO</v>
      </c>
      <c r="I136" s="1"/>
      <c r="J136" s="1"/>
      <c r="K136" s="1"/>
    </row>
    <row r="137" spans="1:11" x14ac:dyDescent="0.2">
      <c r="A137" t="str">
        <f ca="1">OFFSET(Otago_Reference,0,2)</f>
        <v>Pedestrian</v>
      </c>
      <c r="B137" s="4">
        <f ca="1">OFFSET(Otago_Reference,0,6)</f>
        <v>45.829100335</v>
      </c>
      <c r="C137" s="4">
        <f ca="1">OFFSET(Otago_Reference,1,6)</f>
        <v>46.001728038000003</v>
      </c>
      <c r="D137" s="4">
        <f ca="1">OFFSET(Otago_Reference,2,6)</f>
        <v>45.761607402000003</v>
      </c>
      <c r="E137" s="4">
        <f ca="1">OFFSET(Otago_Reference,3,6)</f>
        <v>45.935165407</v>
      </c>
      <c r="F137" s="4">
        <f ca="1">OFFSET(Otago_Reference,4,6)</f>
        <v>45.95796223</v>
      </c>
      <c r="G137" s="4">
        <f ca="1">OFFSET(Otago_Reference,5,6)</f>
        <v>45.618197207999998</v>
      </c>
      <c r="H137" s="4">
        <f ca="1">OFFSET(Otago_Reference,6,6)</f>
        <v>45.222839481000001</v>
      </c>
      <c r="I137" s="1">
        <f ca="1">H137*('Updated Population'!I$136/'Updated Population'!H$136)</f>
        <v>45.67410202340281</v>
      </c>
      <c r="J137" s="1">
        <f ca="1">I137*('Updated Population'!J$136/'Updated Population'!I$136)</f>
        <v>45.983028236534267</v>
      </c>
      <c r="K137" s="1">
        <f ca="1">J137*('Updated Population'!K$136/'Updated Population'!J$136)</f>
        <v>46.194555045587379</v>
      </c>
    </row>
    <row r="138" spans="1:11" x14ac:dyDescent="0.2">
      <c r="A138" t="str">
        <f ca="1">OFFSET(Otago_Reference,7,2)</f>
        <v>Cyclist</v>
      </c>
      <c r="B138" s="4">
        <f ca="1">OFFSET(Otago_Reference,7,6)</f>
        <v>16.325352069000001</v>
      </c>
      <c r="C138" s="4">
        <f ca="1">OFFSET(Otago_Reference,8,6)</f>
        <v>17.897255758</v>
      </c>
      <c r="D138" s="4">
        <f ca="1">OFFSET(Otago_Reference,9,6)</f>
        <v>18.852491256</v>
      </c>
      <c r="E138" s="4">
        <f ca="1">OFFSET(Otago_Reference,10,6)</f>
        <v>19.271251419999999</v>
      </c>
      <c r="F138" s="4">
        <f ca="1">OFFSET(Otago_Reference,11,6)</f>
        <v>19.547776195000001</v>
      </c>
      <c r="G138" s="4">
        <f ca="1">OFFSET(Otago_Reference,12,6)</f>
        <v>19.948596792</v>
      </c>
      <c r="H138" s="4">
        <f ca="1">OFFSET(Otago_Reference,13,6)</f>
        <v>20.285144434999999</v>
      </c>
      <c r="I138" s="1">
        <f ca="1">H138*('Updated Population'!I$136/'Updated Population'!H$136)</f>
        <v>20.487562636859973</v>
      </c>
      <c r="J138" s="1">
        <f ca="1">I138*('Updated Population'!J$136/'Updated Population'!I$136)</f>
        <v>20.626134494024363</v>
      </c>
      <c r="K138" s="1">
        <f ca="1">J138*('Updated Population'!K$136/'Updated Population'!J$136)</f>
        <v>20.721016901293808</v>
      </c>
    </row>
    <row r="139" spans="1:11" x14ac:dyDescent="0.2">
      <c r="A139" t="str">
        <f ca="1">OFFSET(Otago_Reference,14,2)</f>
        <v>Light Vehicle Driver</v>
      </c>
      <c r="B139" s="4">
        <f ca="1">OFFSET(Otago_Reference,14,6)</f>
        <v>1192.1699989000001</v>
      </c>
      <c r="C139" s="4">
        <f ca="1">OFFSET(Otago_Reference,15,6)</f>
        <v>1269.3984828</v>
      </c>
      <c r="D139" s="4">
        <f ca="1">OFFSET(Otago_Reference,16,6)</f>
        <v>1328.2172836</v>
      </c>
      <c r="E139" s="4">
        <f ca="1">OFFSET(Otago_Reference,17,6)</f>
        <v>1385.4128954</v>
      </c>
      <c r="F139" s="4">
        <f ca="1">OFFSET(Otago_Reference,18,6)</f>
        <v>1441.9992013999999</v>
      </c>
      <c r="G139" s="4">
        <f ca="1">OFFSET(Otago_Reference,19,6)</f>
        <v>1491.2338166</v>
      </c>
      <c r="H139" s="4">
        <f ca="1">OFFSET(Otago_Reference,20,6)</f>
        <v>1540.8847410000001</v>
      </c>
      <c r="I139" s="1">
        <f ca="1">H139*('Updated Population'!I$136/'Updated Population'!H$136)</f>
        <v>1556.2606787728923</v>
      </c>
      <c r="J139" s="1">
        <f ca="1">I139*('Updated Population'!J$136/'Updated Population'!I$136)</f>
        <v>1566.7867689824461</v>
      </c>
      <c r="K139" s="1">
        <f ca="1">J139*('Updated Population'!K$136/'Updated Population'!J$136)</f>
        <v>1573.994154368304</v>
      </c>
    </row>
    <row r="140" spans="1:11" x14ac:dyDescent="0.2">
      <c r="A140" t="str">
        <f ca="1">OFFSET(Otago_Reference,21,2)</f>
        <v>Light Vehicle Passenger</v>
      </c>
      <c r="B140" s="4">
        <f ca="1">OFFSET(Otago_Reference,21,6)</f>
        <v>849.31688999999994</v>
      </c>
      <c r="C140" s="4">
        <f ca="1">OFFSET(Otago_Reference,22,6)</f>
        <v>869.31760354000005</v>
      </c>
      <c r="D140" s="4">
        <f ca="1">OFFSET(Otago_Reference,23,6)</f>
        <v>877.38891477000004</v>
      </c>
      <c r="E140" s="4">
        <f ca="1">OFFSET(Otago_Reference,24,6)</f>
        <v>899.08560800999999</v>
      </c>
      <c r="F140" s="4">
        <f ca="1">OFFSET(Otago_Reference,25,6)</f>
        <v>906.58069427999999</v>
      </c>
      <c r="G140" s="4">
        <f ca="1">OFFSET(Otago_Reference,26,6)</f>
        <v>915.95567274999996</v>
      </c>
      <c r="H140" s="4">
        <f ca="1">OFFSET(Otago_Reference,27,6)</f>
        <v>922.47352473000001</v>
      </c>
      <c r="I140" s="1">
        <f ca="1">H140*('Updated Population'!I$136/'Updated Population'!H$136)</f>
        <v>931.67855813449989</v>
      </c>
      <c r="J140" s="1">
        <f ca="1">I140*('Updated Population'!J$136/'Updated Population'!I$136)</f>
        <v>937.98015829891676</v>
      </c>
      <c r="K140" s="1">
        <f ca="1">J140*('Updated Population'!K$136/'Updated Population'!J$136)</f>
        <v>942.29496655424737</v>
      </c>
    </row>
    <row r="141" spans="1:11" x14ac:dyDescent="0.2">
      <c r="A141" t="str">
        <f ca="1">OFFSET(Otago_Reference,28,2)</f>
        <v>Taxi/Vehicle Share</v>
      </c>
      <c r="B141" s="4">
        <f ca="1">OFFSET(Otago_Reference,28,6)</f>
        <v>7.2892681777000004</v>
      </c>
      <c r="C141" s="4">
        <f ca="1">OFFSET(Otago_Reference,29,6)</f>
        <v>7.2358640941000001</v>
      </c>
      <c r="D141" s="4">
        <f ca="1">OFFSET(Otago_Reference,30,6)</f>
        <v>7.2775217691999998</v>
      </c>
      <c r="E141" s="4">
        <f ca="1">OFFSET(Otago_Reference,31,6)</f>
        <v>7.5606976450000003</v>
      </c>
      <c r="F141" s="4">
        <f ca="1">OFFSET(Otago_Reference,32,6)</f>
        <v>7.9759218277999997</v>
      </c>
      <c r="G141" s="4">
        <f ca="1">OFFSET(Otago_Reference,33,6)</f>
        <v>8.0632806699999993</v>
      </c>
      <c r="H141" s="4">
        <f ca="1">OFFSET(Otago_Reference,34,6)</f>
        <v>8.1655936729</v>
      </c>
      <c r="I141" s="1">
        <f ca="1">H141*('Updated Population'!I$136/'Updated Population'!H$136)</f>
        <v>8.2470752119486335</v>
      </c>
      <c r="J141" s="1">
        <f ca="1">I141*('Updated Population'!J$136/'Updated Population'!I$136)</f>
        <v>8.3028560067923323</v>
      </c>
      <c r="K141" s="1">
        <f ca="1">J141*('Updated Population'!K$136/'Updated Population'!J$136)</f>
        <v>8.341050025422641</v>
      </c>
    </row>
    <row r="142" spans="1:11" x14ac:dyDescent="0.2">
      <c r="A142" t="str">
        <f ca="1">OFFSET(Otago_Reference,35,2)</f>
        <v>Motorcyclist</v>
      </c>
      <c r="B142" s="4">
        <f ca="1">OFFSET(Otago_Reference,35,6)</f>
        <v>18.503357486999999</v>
      </c>
      <c r="C142" s="4">
        <f ca="1">OFFSET(Otago_Reference,36,6)</f>
        <v>20.229088187999999</v>
      </c>
      <c r="D142" s="4">
        <f ca="1">OFFSET(Otago_Reference,37,6)</f>
        <v>21.239075960000001</v>
      </c>
      <c r="E142" s="4">
        <f ca="1">OFFSET(Otago_Reference,38,6)</f>
        <v>22.336036694000001</v>
      </c>
      <c r="F142" s="4">
        <f ca="1">OFFSET(Otago_Reference,39,6)</f>
        <v>22.796132050000001</v>
      </c>
      <c r="G142" s="4">
        <f ca="1">OFFSET(Otago_Reference,40,6)</f>
        <v>22.479969472000001</v>
      </c>
      <c r="H142" s="4">
        <f ca="1">OFFSET(Otago_Reference,41,6)</f>
        <v>22.022195029999999</v>
      </c>
      <c r="I142" s="1">
        <f ca="1">H142*('Updated Population'!I$136/'Updated Population'!H$136)</f>
        <v>22.241946638536291</v>
      </c>
      <c r="J142" s="1">
        <f ca="1">I142*('Updated Population'!J$136/'Updated Population'!I$136)</f>
        <v>22.392384633884166</v>
      </c>
      <c r="K142" s="1">
        <f ca="1">J142*('Updated Population'!K$136/'Updated Population'!J$136)</f>
        <v>22.495391979210154</v>
      </c>
    </row>
    <row r="143" spans="1:11" x14ac:dyDescent="0.2">
      <c r="A143" t="str">
        <f ca="1">OFFSET(Canterbury_Reference,42,2)</f>
        <v>Local Train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1">
        <f>H143*('Updated Population'!I$136/'Updated Population'!H$136)</f>
        <v>0</v>
      </c>
      <c r="J143" s="1">
        <f>I143*('Updated Population'!J$136/'Updated Population'!I$136)</f>
        <v>0</v>
      </c>
      <c r="K143" s="1">
        <f>J143*('Updated Population'!K$136/'Updated Population'!J$136)</f>
        <v>0</v>
      </c>
    </row>
    <row r="144" spans="1:11" x14ac:dyDescent="0.2">
      <c r="A144" t="str">
        <f ca="1">OFFSET(Otago_Reference,42,2)</f>
        <v>Local Bus</v>
      </c>
      <c r="B144" s="4">
        <f ca="1">OFFSET(Otago_Reference,42,6)</f>
        <v>27.157477096000001</v>
      </c>
      <c r="C144" s="4">
        <f ca="1">OFFSET(Otago_Reference,43,6)</f>
        <v>26.89196798</v>
      </c>
      <c r="D144" s="4">
        <f ca="1">OFFSET(Otago_Reference,44,6)</f>
        <v>26.746666088000001</v>
      </c>
      <c r="E144" s="4">
        <f ca="1">OFFSET(Otago_Reference,45,6)</f>
        <v>26.776148590999998</v>
      </c>
      <c r="F144" s="4">
        <f ca="1">OFFSET(Otago_Reference,46,6)</f>
        <v>26.642286701</v>
      </c>
      <c r="G144" s="4">
        <f ca="1">OFFSET(Otago_Reference,47,6)</f>
        <v>25.719305601999999</v>
      </c>
      <c r="H144" s="4">
        <f ca="1">OFFSET(Otago_Reference,48,6)</f>
        <v>24.686077663999999</v>
      </c>
      <c r="I144" s="1">
        <f ca="1">H144*('Updated Population'!I$136/'Updated Population'!H$136)</f>
        <v>24.932411204672299</v>
      </c>
      <c r="J144" s="1">
        <f ca="1">I144*('Updated Population'!J$136/'Updated Population'!I$136)</f>
        <v>25.101046712246134</v>
      </c>
      <c r="K144" s="1">
        <f ca="1">J144*('Updated Population'!K$136/'Updated Population'!J$136)</f>
        <v>25.21651419054318</v>
      </c>
    </row>
    <row r="145" spans="1:11" x14ac:dyDescent="0.2">
      <c r="A145" t="str">
        <f ca="1">OFFSET(Wellington_Reference,56,2)</f>
        <v>Local Ferry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1">
        <f>H145*('Updated Population'!I$136/'Updated Population'!H$136)</f>
        <v>0</v>
      </c>
      <c r="J145" s="1">
        <f>I145*('Updated Population'!J$136/'Updated Population'!I$136)</f>
        <v>0</v>
      </c>
      <c r="K145" s="1">
        <f>J145*('Updated Population'!K$136/'Updated Population'!J$136)</f>
        <v>0</v>
      </c>
    </row>
    <row r="146" spans="1:11" x14ac:dyDescent="0.2">
      <c r="A146" t="str">
        <f ca="1">OFFSET(Otago_Reference,49,2)</f>
        <v>Other Household Travel</v>
      </c>
      <c r="B146" s="4">
        <f ca="1">OFFSET(Otago_Reference,49,6)</f>
        <v>0</v>
      </c>
      <c r="C146" s="4">
        <f ca="1">OFFSET(Otago_Reference,50,6)</f>
        <v>0</v>
      </c>
      <c r="D146" s="4">
        <f ca="1">OFFSET(Otago_Reference,51,6)</f>
        <v>0</v>
      </c>
      <c r="E146" s="4">
        <f ca="1">OFFSET(Otago_Reference,52,6)</f>
        <v>0</v>
      </c>
      <c r="F146" s="4">
        <f ca="1">OFFSET(Otago_Reference,53,6)</f>
        <v>0</v>
      </c>
      <c r="G146" s="4">
        <f ca="1">OFFSET(Otago_Reference,54,6)</f>
        <v>0</v>
      </c>
      <c r="H146" s="4">
        <f ca="1">OFFSET(Otago_Reference,55,6)</f>
        <v>0</v>
      </c>
      <c r="I146" s="1">
        <f ca="1">H146*('Updated Population'!I$136/'Updated Population'!H$136)</f>
        <v>0</v>
      </c>
      <c r="J146" s="1">
        <f ca="1">I146*('Updated Population'!J$136/'Updated Population'!I$136)</f>
        <v>0</v>
      </c>
      <c r="K146" s="1">
        <f ca="1">J146*('Updated Population'!K$136/'Updated Population'!J$136)</f>
        <v>0</v>
      </c>
    </row>
    <row r="147" spans="1:11" x14ac:dyDescent="0.2">
      <c r="A147" t="str">
        <f ca="1">OFFSET(Southland_Reference,0,0)</f>
        <v>15 SOUTHLAND</v>
      </c>
      <c r="I147" s="1"/>
      <c r="J147" s="1"/>
      <c r="K147" s="1"/>
    </row>
    <row r="148" spans="1:11" x14ac:dyDescent="0.2">
      <c r="A148" t="str">
        <f ca="1">OFFSET(Southland_Reference,0,2)</f>
        <v>Pedestrian</v>
      </c>
      <c r="B148" s="4">
        <f ca="1">OFFSET(Southland_Reference,0,6)</f>
        <v>8.8466785109000003</v>
      </c>
      <c r="C148" s="4">
        <f ca="1">OFFSET(Southland_Reference,1,6)</f>
        <v>9.0768356375000003</v>
      </c>
      <c r="D148" s="4">
        <f ca="1">OFFSET(Southland_Reference,2,6)</f>
        <v>9.1731655010999997</v>
      </c>
      <c r="E148" s="4">
        <f ca="1">OFFSET(Southland_Reference,3,6)</f>
        <v>9.3761854544999998</v>
      </c>
      <c r="F148" s="4">
        <f ca="1">OFFSET(Southland_Reference,4,6)</f>
        <v>9.3743542585000004</v>
      </c>
      <c r="G148" s="4">
        <f ca="1">OFFSET(Southland_Reference,5,6)</f>
        <v>9.3616090568000008</v>
      </c>
      <c r="H148" s="4">
        <f ca="1">OFFSET(Southland_Reference,6,6)</f>
        <v>9.2714577141000003</v>
      </c>
      <c r="I148" s="1">
        <f ca="1">H148*('Updated Population'!I$147/'Updated Population'!H$147)</f>
        <v>9.1472609772846258</v>
      </c>
      <c r="J148" s="1">
        <f ca="1">I148*('Updated Population'!J$147/'Updated Population'!I$147)</f>
        <v>8.9960006662463119</v>
      </c>
      <c r="K148" s="1">
        <f ca="1">J148*('Updated Population'!K$147/'Updated Population'!J$147)</f>
        <v>8.8282283219925617</v>
      </c>
    </row>
    <row r="149" spans="1:11" x14ac:dyDescent="0.2">
      <c r="A149" t="str">
        <f ca="1">OFFSET(Southland_Reference,7,2)</f>
        <v>Cyclist</v>
      </c>
      <c r="B149" s="4">
        <f ca="1">OFFSET(Southland_Reference,7,6)</f>
        <v>7.5402861329000004</v>
      </c>
      <c r="C149" s="4">
        <f ca="1">OFFSET(Southland_Reference,8,6)</f>
        <v>8.3561988314000004</v>
      </c>
      <c r="D149" s="4">
        <f ca="1">OFFSET(Southland_Reference,9,6)</f>
        <v>8.5714201772000003</v>
      </c>
      <c r="E149" s="4">
        <f ca="1">OFFSET(Southland_Reference,10,6)</f>
        <v>8.2099335884000002</v>
      </c>
      <c r="F149" s="4">
        <f ca="1">OFFSET(Southland_Reference,11,6)</f>
        <v>8.0006895006000001</v>
      </c>
      <c r="G149" s="4">
        <f ca="1">OFFSET(Southland_Reference,12,6)</f>
        <v>7.8807868372999996</v>
      </c>
      <c r="H149" s="4">
        <f ca="1">OFFSET(Southland_Reference,13,6)</f>
        <v>7.7117394051000003</v>
      </c>
      <c r="I149" s="1">
        <f ca="1">H149*('Updated Population'!I$147/'Updated Population'!H$147)</f>
        <v>7.6084360305047207</v>
      </c>
      <c r="J149" s="1">
        <f ca="1">I149*('Updated Population'!J$147/'Updated Population'!I$147)</f>
        <v>7.4826219312517122</v>
      </c>
      <c r="K149" s="1">
        <f ca="1">J149*('Updated Population'!K$147/'Updated Population'!J$147)</f>
        <v>7.3430735842533732</v>
      </c>
    </row>
    <row r="150" spans="1:11" x14ac:dyDescent="0.2">
      <c r="A150" t="str">
        <f ca="1">OFFSET(Southland_Reference,14,2)</f>
        <v>Light Vehicle Driver</v>
      </c>
      <c r="B150" s="4">
        <f ca="1">OFFSET(Southland_Reference,14,6)</f>
        <v>657.74873722999996</v>
      </c>
      <c r="C150" s="4">
        <f ca="1">OFFSET(Southland_Reference,15,6)</f>
        <v>716.16525173000002</v>
      </c>
      <c r="D150" s="4">
        <f ca="1">OFFSET(Southland_Reference,16,6)</f>
        <v>749.93360002999998</v>
      </c>
      <c r="E150" s="4">
        <f ca="1">OFFSET(Southland_Reference,17,6)</f>
        <v>768.89111684</v>
      </c>
      <c r="F150" s="4">
        <f ca="1">OFFSET(Southland_Reference,18,6)</f>
        <v>787.79016984999998</v>
      </c>
      <c r="G150" s="4">
        <f ca="1">OFFSET(Southland_Reference,19,6)</f>
        <v>799.87898043999996</v>
      </c>
      <c r="H150" s="4">
        <f ca="1">OFFSET(Southland_Reference,20,6)</f>
        <v>810.76458399000001</v>
      </c>
      <c r="I150" s="1">
        <f ca="1">H150*('Updated Population'!I$147/'Updated Population'!H$147)</f>
        <v>799.9039061158079</v>
      </c>
      <c r="J150" s="1">
        <f ca="1">I150*('Updated Population'!J$147/'Updated Population'!I$147)</f>
        <v>786.67658987979985</v>
      </c>
      <c r="K150" s="1">
        <f ca="1">J150*('Updated Population'!K$147/'Updated Population'!J$147)</f>
        <v>772.00533978208819</v>
      </c>
    </row>
    <row r="151" spans="1:11" x14ac:dyDescent="0.2">
      <c r="A151" t="str">
        <f ca="1">OFFSET(Southland_Reference,21,2)</f>
        <v>Light Vehicle Passenger</v>
      </c>
      <c r="B151" s="4">
        <f ca="1">OFFSET(Southland_Reference,21,6)</f>
        <v>380.70733008000002</v>
      </c>
      <c r="C151" s="4">
        <f ca="1">OFFSET(Southland_Reference,22,6)</f>
        <v>394.79115058999997</v>
      </c>
      <c r="D151" s="4">
        <f ca="1">OFFSET(Southland_Reference,23,6)</f>
        <v>404.69506409000002</v>
      </c>
      <c r="E151" s="4">
        <f ca="1">OFFSET(Southland_Reference,24,6)</f>
        <v>409.98662594000001</v>
      </c>
      <c r="F151" s="4">
        <f ca="1">OFFSET(Southland_Reference,25,6)</f>
        <v>409.75458447</v>
      </c>
      <c r="G151" s="4">
        <f ca="1">OFFSET(Southland_Reference,26,6)</f>
        <v>405.28527001999998</v>
      </c>
      <c r="H151" s="4">
        <f ca="1">OFFSET(Southland_Reference,27,6)</f>
        <v>397.95287323000002</v>
      </c>
      <c r="I151" s="1">
        <f ca="1">H151*('Updated Population'!I$147/'Updated Population'!H$147)</f>
        <v>392.6220558131979</v>
      </c>
      <c r="J151" s="1">
        <f ca="1">I151*('Updated Population'!J$147/'Updated Population'!I$147)</f>
        <v>386.12960584043719</v>
      </c>
      <c r="K151" s="1">
        <f ca="1">J151*('Updated Population'!K$147/'Updated Population'!J$147)</f>
        <v>378.92842038469422</v>
      </c>
    </row>
    <row r="152" spans="1:11" x14ac:dyDescent="0.2">
      <c r="A152" t="str">
        <f ca="1">OFFSET(Southland_Reference,28,2)</f>
        <v>Taxi/Vehicle Share</v>
      </c>
      <c r="B152" s="4">
        <f ca="1">OFFSET(Southland_Reference,28,6)</f>
        <v>1.2430116738999999</v>
      </c>
      <c r="C152" s="4">
        <f ca="1">OFFSET(Southland_Reference,29,6)</f>
        <v>1.4584611878</v>
      </c>
      <c r="D152" s="4">
        <f ca="1">OFFSET(Southland_Reference,30,6)</f>
        <v>1.6150494734</v>
      </c>
      <c r="E152" s="4">
        <f ca="1">OFFSET(Southland_Reference,31,6)</f>
        <v>1.6778092978000001</v>
      </c>
      <c r="F152" s="4">
        <f ca="1">OFFSET(Southland_Reference,32,6)</f>
        <v>1.7116579802</v>
      </c>
      <c r="G152" s="4">
        <f ca="1">OFFSET(Southland_Reference,33,6)</f>
        <v>1.7070032287000001</v>
      </c>
      <c r="H152" s="4">
        <f ca="1">OFFSET(Southland_Reference,34,6)</f>
        <v>1.6950931744</v>
      </c>
      <c r="I152" s="1">
        <f ca="1">H152*('Updated Population'!I$147/'Updated Population'!H$147)</f>
        <v>1.6723863846641929</v>
      </c>
      <c r="J152" s="1">
        <f ca="1">I152*('Updated Population'!J$147/'Updated Population'!I$147)</f>
        <v>1.6447315833691674</v>
      </c>
      <c r="K152" s="1">
        <f ca="1">J152*('Updated Population'!K$147/'Updated Population'!J$147)</f>
        <v>1.6140579002907103</v>
      </c>
    </row>
    <row r="153" spans="1:11" x14ac:dyDescent="0.2">
      <c r="A153" t="str">
        <f ca="1">OFFSET(Southland_Reference,35,2)</f>
        <v>Motorcyclist</v>
      </c>
      <c r="B153" s="4">
        <f ca="1">OFFSET(Southland_Reference,35,6)</f>
        <v>18.926640866</v>
      </c>
      <c r="C153" s="4">
        <f ca="1">OFFSET(Southland_Reference,36,6)</f>
        <v>24.685326618000001</v>
      </c>
      <c r="D153" s="4">
        <f ca="1">OFFSET(Southland_Reference,37,6)</f>
        <v>28.950088713</v>
      </c>
      <c r="E153" s="4">
        <f ca="1">OFFSET(Southland_Reference,38,6)</f>
        <v>30.930959166000001</v>
      </c>
      <c r="F153" s="4">
        <f ca="1">OFFSET(Southland_Reference,39,6)</f>
        <v>31.670173677000001</v>
      </c>
      <c r="G153" s="4">
        <f ca="1">OFFSET(Southland_Reference,40,6)</f>
        <v>31.577603265</v>
      </c>
      <c r="H153" s="4">
        <f ca="1">OFFSET(Southland_Reference,41,6)</f>
        <v>31.224073591</v>
      </c>
      <c r="I153" s="1">
        <f ca="1">H153*('Updated Population'!I$147/'Updated Population'!H$147)</f>
        <v>30.805808398010143</v>
      </c>
      <c r="J153" s="1">
        <f ca="1">I153*('Updated Population'!J$147/'Updated Population'!I$147)</f>
        <v>30.296399497177298</v>
      </c>
      <c r="K153" s="1">
        <f ca="1">J153*('Updated Population'!K$147/'Updated Population'!J$147)</f>
        <v>29.731381979430662</v>
      </c>
    </row>
    <row r="154" spans="1:11" x14ac:dyDescent="0.2">
      <c r="A154" t="str">
        <f ca="1">OFFSET(Canterbury_Reference,42,2)</f>
        <v>Local Train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1">
        <f>H154*('Updated Population'!I$147/'Updated Population'!H$147)</f>
        <v>0</v>
      </c>
      <c r="J154" s="1">
        <f>I154*('Updated Population'!J$147/'Updated Population'!I$147)</f>
        <v>0</v>
      </c>
      <c r="K154" s="1">
        <f>J154*('Updated Population'!K$147/'Updated Population'!J$147)</f>
        <v>0</v>
      </c>
    </row>
    <row r="155" spans="1:11" x14ac:dyDescent="0.2">
      <c r="A155" t="str">
        <f ca="1">OFFSET(Southland_Reference,42,2)</f>
        <v>Local Bus</v>
      </c>
      <c r="B155" s="4">
        <f ca="1">OFFSET(Southland_Reference,42,6)</f>
        <v>30.182609224</v>
      </c>
      <c r="C155" s="4">
        <f ca="1">OFFSET(Southland_Reference,43,6)</f>
        <v>30.507393851</v>
      </c>
      <c r="D155" s="4">
        <f ca="1">OFFSET(Southland_Reference,44,6)</f>
        <v>31.195169922000002</v>
      </c>
      <c r="E155" s="4">
        <f ca="1">OFFSET(Southland_Reference,45,6)</f>
        <v>32.140559287999999</v>
      </c>
      <c r="F155" s="4">
        <f ca="1">OFFSET(Southland_Reference,46,6)</f>
        <v>31.701848872999999</v>
      </c>
      <c r="G155" s="4">
        <f ca="1">OFFSET(Southland_Reference,47,6)</f>
        <v>30.709982422</v>
      </c>
      <c r="H155" s="4">
        <f ca="1">OFFSET(Southland_Reference,48,6)</f>
        <v>29.441409641</v>
      </c>
      <c r="I155" s="1">
        <f ca="1">H155*('Updated Population'!I$147/'Updated Population'!H$147)</f>
        <v>29.047024300807369</v>
      </c>
      <c r="J155" s="1">
        <f ca="1">I155*('Updated Population'!J$147/'Updated Population'!I$147)</f>
        <v>28.566698885211554</v>
      </c>
      <c r="K155" s="1">
        <f ca="1">J155*('Updated Population'!K$147/'Updated Population'!J$147)</f>
        <v>28.033939693947204</v>
      </c>
    </row>
    <row r="156" spans="1:11" x14ac:dyDescent="0.2">
      <c r="A156" t="str">
        <f ca="1">OFFSET(Wellington_Reference,56,2)</f>
        <v>Local Ferry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1">
        <f>H156*('Updated Population'!I$147/'Updated Population'!H$147)</f>
        <v>0</v>
      </c>
      <c r="J156" s="1">
        <f>I156*('Updated Population'!J$147/'Updated Population'!I$147)</f>
        <v>0</v>
      </c>
      <c r="K156" s="1">
        <f>J156*('Updated Population'!K$147/'Updated Population'!J$147)</f>
        <v>0</v>
      </c>
    </row>
    <row r="157" spans="1:11" x14ac:dyDescent="0.2">
      <c r="A157" t="str">
        <f ca="1">OFFSET(Southland_Reference,49,2)</f>
        <v>Other Household Travel</v>
      </c>
      <c r="B157" s="4">
        <f ca="1">OFFSET(Southland_Reference,49,6)</f>
        <v>0</v>
      </c>
      <c r="C157" s="4">
        <f ca="1">OFFSET(Southland_Reference,50,6)</f>
        <v>0</v>
      </c>
      <c r="D157" s="4">
        <f ca="1">OFFSET(Southland_Reference,51,6)</f>
        <v>0</v>
      </c>
      <c r="E157" s="4">
        <f ca="1">OFFSET(Southland_Reference,52,6)</f>
        <v>0</v>
      </c>
      <c r="F157" s="4">
        <f ca="1">OFFSET(Southland_Reference,53,6)</f>
        <v>0</v>
      </c>
      <c r="G157" s="4">
        <f ca="1">OFFSET(Southland_Reference,54,6)</f>
        <v>0</v>
      </c>
      <c r="H157" s="4">
        <f ca="1">OFFSET(Southland_Reference,55,6)</f>
        <v>0</v>
      </c>
      <c r="I157" s="1">
        <f ca="1">H157*('Updated Population'!I$147/'Updated Population'!H$147)</f>
        <v>0</v>
      </c>
      <c r="J157" s="1">
        <f ca="1">I157*('Updated Population'!J$147/'Updated Population'!I$147)</f>
        <v>0</v>
      </c>
      <c r="K157" s="1">
        <f ca="1">J157*('Updated Population'!K$147/'Updated Population'!J$147)</f>
        <v>0</v>
      </c>
    </row>
    <row r="158" spans="1:11" x14ac:dyDescent="0.2">
      <c r="A158" t="s">
        <v>12</v>
      </c>
      <c r="I158" s="1"/>
      <c r="J158" s="1"/>
      <c r="K158" s="1"/>
    </row>
    <row r="159" spans="1:11" x14ac:dyDescent="0.2">
      <c r="A159" t="str">
        <f t="shared" ref="A159:A168" ca="1" si="0">A5</f>
        <v>Pedestrian</v>
      </c>
      <c r="B159" s="4">
        <f ca="1">B5+B16+B27+B38+B49+B60+B71+B82+B93+B104+B115+B126+B137+B148</f>
        <v>807.42091028530001</v>
      </c>
      <c r="C159" s="4">
        <f t="shared" ref="C159:K168" ca="1" si="1">C5+C16+C27+C38+C49+C60+C71+C82+C93+C104+C115+C126+C137+C148</f>
        <v>856.64129266550003</v>
      </c>
      <c r="D159" s="4">
        <f t="shared" ca="1" si="1"/>
        <v>887.30400521640013</v>
      </c>
      <c r="E159" s="4">
        <f t="shared" ca="1" si="1"/>
        <v>915.27170615310001</v>
      </c>
      <c r="F159" s="4">
        <f t="shared" ca="1" si="1"/>
        <v>935.47015842640019</v>
      </c>
      <c r="G159" s="4">
        <f t="shared" ca="1" si="1"/>
        <v>954.49748198500004</v>
      </c>
      <c r="H159" s="4">
        <f t="shared" ca="1" si="1"/>
        <v>969.55279570660014</v>
      </c>
      <c r="I159" s="1">
        <f t="shared" ca="1" si="1"/>
        <v>993.21232930771589</v>
      </c>
      <c r="J159" s="1">
        <f t="shared" ca="1" si="1"/>
        <v>1014.5309943770831</v>
      </c>
      <c r="K159" s="1">
        <f t="shared" ca="1" si="1"/>
        <v>1034.40445772918</v>
      </c>
    </row>
    <row r="160" spans="1:11" x14ac:dyDescent="0.2">
      <c r="A160" t="str">
        <f t="shared" ca="1" si="0"/>
        <v>Cyclist</v>
      </c>
      <c r="B160" s="4">
        <f t="shared" ref="B160:H168" ca="1" si="2">B6+B17+B28+B39+B50+B61+B72+B83+B94+B105+B116+B127+B138+B149</f>
        <v>312.57850166600002</v>
      </c>
      <c r="C160" s="4">
        <f t="shared" ca="1" si="2"/>
        <v>341.00269721399991</v>
      </c>
      <c r="D160" s="4">
        <f t="shared" ca="1" si="2"/>
        <v>356.25768458800002</v>
      </c>
      <c r="E160" s="4">
        <f t="shared" ca="1" si="2"/>
        <v>365.30776913200003</v>
      </c>
      <c r="F160" s="4">
        <f t="shared" ca="1" si="2"/>
        <v>378.68349619380001</v>
      </c>
      <c r="G160" s="4">
        <f t="shared" ca="1" si="2"/>
        <v>397.52460378559999</v>
      </c>
      <c r="H160" s="4">
        <f t="shared" ca="1" si="2"/>
        <v>416.05578923849993</v>
      </c>
      <c r="I160" s="1">
        <f t="shared" ca="1" si="1"/>
        <v>424.2885123696941</v>
      </c>
      <c r="J160" s="1">
        <f t="shared" ca="1" si="1"/>
        <v>431.4265632611681</v>
      </c>
      <c r="K160" s="1">
        <f t="shared" ca="1" si="1"/>
        <v>437.86293416051387</v>
      </c>
    </row>
    <row r="161" spans="1:11" x14ac:dyDescent="0.2">
      <c r="A161" t="str">
        <f t="shared" ca="1" si="0"/>
        <v>Light Vehicle Driver</v>
      </c>
      <c r="B161" s="4">
        <f t="shared" ca="1" si="2"/>
        <v>30373.708042980001</v>
      </c>
      <c r="C161" s="4">
        <f t="shared" ca="1" si="2"/>
        <v>33303.085064360006</v>
      </c>
      <c r="D161" s="4">
        <f t="shared" ca="1" si="2"/>
        <v>35215.859621280011</v>
      </c>
      <c r="E161" s="4">
        <f t="shared" ca="1" si="2"/>
        <v>36700.494803370006</v>
      </c>
      <c r="F161" s="4">
        <f t="shared" ca="1" si="2"/>
        <v>38097.275860549998</v>
      </c>
      <c r="G161" s="4">
        <f t="shared" ca="1" si="2"/>
        <v>39187.284433549998</v>
      </c>
      <c r="H161" s="4">
        <f t="shared" ca="1" si="2"/>
        <v>40148.179364349999</v>
      </c>
      <c r="I161" s="1">
        <f t="shared" ca="1" si="1"/>
        <v>41037.658124905771</v>
      </c>
      <c r="J161" s="1">
        <f t="shared" ca="1" si="1"/>
        <v>41826.69673941176</v>
      </c>
      <c r="K161" s="1">
        <f t="shared" ca="1" si="1"/>
        <v>42552.81533484449</v>
      </c>
    </row>
    <row r="162" spans="1:11" x14ac:dyDescent="0.2">
      <c r="A162" t="str">
        <f t="shared" ca="1" si="0"/>
        <v>Light Vehicle Passenger</v>
      </c>
      <c r="B162" s="4">
        <f t="shared" ca="1" si="2"/>
        <v>17104.323927279998</v>
      </c>
      <c r="C162" s="4">
        <f t="shared" ca="1" si="2"/>
        <v>17961.59213954</v>
      </c>
      <c r="D162" s="4">
        <f t="shared" ca="1" si="2"/>
        <v>18524.805829729998</v>
      </c>
      <c r="E162" s="4">
        <f t="shared" ca="1" si="2"/>
        <v>19016.736316660001</v>
      </c>
      <c r="F162" s="4">
        <f t="shared" ca="1" si="2"/>
        <v>19410.683524909997</v>
      </c>
      <c r="G162" s="4">
        <f t="shared" ca="1" si="2"/>
        <v>19723.093572199996</v>
      </c>
      <c r="H162" s="4">
        <f t="shared" ca="1" si="2"/>
        <v>19941.697609270002</v>
      </c>
      <c r="I162" s="1">
        <f t="shared" ca="1" si="1"/>
        <v>20376.873462857951</v>
      </c>
      <c r="J162" s="1">
        <f t="shared" ca="1" si="1"/>
        <v>20761.859503791344</v>
      </c>
      <c r="K162" s="1">
        <f t="shared" ca="1" si="1"/>
        <v>21115.325155063743</v>
      </c>
    </row>
    <row r="163" spans="1:11" x14ac:dyDescent="0.2">
      <c r="A163" t="str">
        <f t="shared" ca="1" si="0"/>
        <v>Taxi/Vehicle Share</v>
      </c>
      <c r="B163" s="4">
        <f t="shared" ca="1" si="2"/>
        <v>102.6492410403</v>
      </c>
      <c r="C163" s="4">
        <f t="shared" ca="1" si="2"/>
        <v>117.76397628499998</v>
      </c>
      <c r="D163" s="4">
        <f t="shared" ca="1" si="2"/>
        <v>131.443249482</v>
      </c>
      <c r="E163" s="4">
        <f t="shared" ca="1" si="2"/>
        <v>145.1383746523</v>
      </c>
      <c r="F163" s="4">
        <f t="shared" ca="1" si="2"/>
        <v>157.87725064659995</v>
      </c>
      <c r="G163" s="4">
        <f t="shared" ca="1" si="2"/>
        <v>168.80346795249997</v>
      </c>
      <c r="H163" s="4">
        <f t="shared" ca="1" si="2"/>
        <v>179.56235401560002</v>
      </c>
      <c r="I163" s="1">
        <f t="shared" ca="1" si="1"/>
        <v>184.45598488055276</v>
      </c>
      <c r="J163" s="1">
        <f t="shared" ca="1" si="1"/>
        <v>188.94412339122701</v>
      </c>
      <c r="K163" s="1">
        <f t="shared" ca="1" si="1"/>
        <v>193.19025625927955</v>
      </c>
    </row>
    <row r="164" spans="1:11" x14ac:dyDescent="0.2">
      <c r="A164" t="str">
        <f t="shared" ca="1" si="0"/>
        <v>Motorcyclist</v>
      </c>
      <c r="B164" s="4">
        <f t="shared" ca="1" si="2"/>
        <v>249.6655534436</v>
      </c>
      <c r="C164" s="4">
        <f t="shared" ca="1" si="2"/>
        <v>270.97604245759999</v>
      </c>
      <c r="D164" s="4">
        <f t="shared" ca="1" si="2"/>
        <v>283.74998068670004</v>
      </c>
      <c r="E164" s="4">
        <f t="shared" ca="1" si="2"/>
        <v>288.64011408069996</v>
      </c>
      <c r="F164" s="4">
        <f t="shared" ca="1" si="2"/>
        <v>291.0994615075</v>
      </c>
      <c r="G164" s="4">
        <f t="shared" ca="1" si="2"/>
        <v>288.70170042910001</v>
      </c>
      <c r="H164" s="4">
        <f t="shared" ca="1" si="2"/>
        <v>284.8596213029</v>
      </c>
      <c r="I164" s="1">
        <f t="shared" ca="1" si="1"/>
        <v>289.19376342378018</v>
      </c>
      <c r="J164" s="1">
        <f t="shared" ca="1" si="1"/>
        <v>292.75921796233291</v>
      </c>
      <c r="K164" s="1">
        <f t="shared" ca="1" si="1"/>
        <v>295.83290154554112</v>
      </c>
    </row>
    <row r="165" spans="1:11" x14ac:dyDescent="0.2">
      <c r="A165" t="str">
        <f t="shared" ca="1" si="0"/>
        <v>Local Train</v>
      </c>
      <c r="B165" s="4">
        <f t="shared" ca="1" si="2"/>
        <v>386.1221812508</v>
      </c>
      <c r="C165" s="4">
        <f t="shared" ca="1" si="2"/>
        <v>421.12008924859992</v>
      </c>
      <c r="D165" s="4">
        <f t="shared" ca="1" si="2"/>
        <v>446.29207699559993</v>
      </c>
      <c r="E165" s="4">
        <f t="shared" ca="1" si="2"/>
        <v>469.63488309770003</v>
      </c>
      <c r="F165" s="4">
        <f t="shared" ca="1" si="2"/>
        <v>486.80165062070006</v>
      </c>
      <c r="G165" s="4">
        <f t="shared" ca="1" si="2"/>
        <v>502.38238070250003</v>
      </c>
      <c r="H165" s="4">
        <f t="shared" ca="1" si="2"/>
        <v>515.16738883710002</v>
      </c>
      <c r="I165" s="1">
        <f t="shared" ca="1" si="1"/>
        <v>525.70843537113149</v>
      </c>
      <c r="J165" s="1">
        <f t="shared" ca="1" si="1"/>
        <v>534.91721594022056</v>
      </c>
      <c r="K165" s="1">
        <f t="shared" ca="1" si="1"/>
        <v>543.28099813596555</v>
      </c>
    </row>
    <row r="166" spans="1:11" x14ac:dyDescent="0.2">
      <c r="A166" t="str">
        <f t="shared" ca="1" si="0"/>
        <v>Local Bus</v>
      </c>
      <c r="B166" s="4">
        <f t="shared" ca="1" si="2"/>
        <v>1134.4665534744004</v>
      </c>
      <c r="C166" s="4">
        <f t="shared" ca="1" si="2"/>
        <v>1173.3170066262999</v>
      </c>
      <c r="D166" s="4">
        <f t="shared" ca="1" si="2"/>
        <v>1190.2993198448</v>
      </c>
      <c r="E166" s="4">
        <f t="shared" ca="1" si="2"/>
        <v>1218.2179621711002</v>
      </c>
      <c r="F166" s="4">
        <f t="shared" ca="1" si="2"/>
        <v>1226.1239983853998</v>
      </c>
      <c r="G166" s="4">
        <f t="shared" ca="1" si="2"/>
        <v>1236.4029566654999</v>
      </c>
      <c r="H166" s="4">
        <f t="shared" ca="1" si="2"/>
        <v>1240.0366851443002</v>
      </c>
      <c r="I166" s="1">
        <f t="shared" ca="1" si="1"/>
        <v>1272.4980974268346</v>
      </c>
      <c r="J166" s="1">
        <f t="shared" ca="1" si="1"/>
        <v>1302.0681912399762</v>
      </c>
      <c r="K166" s="1">
        <f t="shared" ca="1" si="1"/>
        <v>1329.8818411339626</v>
      </c>
    </row>
    <row r="167" spans="1:11" x14ac:dyDescent="0.2">
      <c r="A167" t="str">
        <f t="shared" ca="1" si="0"/>
        <v>Local Ferry</v>
      </c>
      <c r="B167" s="4">
        <f t="shared" ca="1" si="2"/>
        <v>0</v>
      </c>
      <c r="C167" s="4">
        <f t="shared" ca="1" si="2"/>
        <v>0</v>
      </c>
      <c r="D167" s="4">
        <f t="shared" ca="1" si="2"/>
        <v>0</v>
      </c>
      <c r="E167" s="4">
        <f t="shared" ca="1" si="2"/>
        <v>0</v>
      </c>
      <c r="F167" s="4">
        <f t="shared" ca="1" si="2"/>
        <v>0</v>
      </c>
      <c r="G167" s="4">
        <f t="shared" ca="1" si="2"/>
        <v>0</v>
      </c>
      <c r="H167" s="4">
        <f t="shared" ca="1" si="2"/>
        <v>0</v>
      </c>
      <c r="I167" s="1">
        <f t="shared" ca="1" si="1"/>
        <v>0</v>
      </c>
      <c r="J167" s="1">
        <f t="shared" ca="1" si="1"/>
        <v>0</v>
      </c>
      <c r="K167" s="1">
        <f t="shared" ca="1" si="1"/>
        <v>0</v>
      </c>
    </row>
    <row r="168" spans="1:11" x14ac:dyDescent="0.2">
      <c r="A168" t="str">
        <f t="shared" ca="1" si="0"/>
        <v>Other Household Travel</v>
      </c>
      <c r="B168" s="4">
        <f t="shared" ca="1" si="2"/>
        <v>1.8241938706</v>
      </c>
      <c r="C168" s="4">
        <f t="shared" ca="1" si="2"/>
        <v>1.828931372</v>
      </c>
      <c r="D168" s="4">
        <f t="shared" ca="1" si="2"/>
        <v>1.7646649882000001</v>
      </c>
      <c r="E168" s="4">
        <f t="shared" ca="1" si="2"/>
        <v>1.7324432209</v>
      </c>
      <c r="F168" s="4">
        <f t="shared" ca="1" si="2"/>
        <v>1.6212361179999999</v>
      </c>
      <c r="G168" s="4">
        <f t="shared" ca="1" si="2"/>
        <v>1.4428453501</v>
      </c>
      <c r="H168" s="4">
        <f t="shared" ca="1" si="2"/>
        <v>1.2707919969000001</v>
      </c>
      <c r="I168" s="1">
        <f t="shared" ca="1" si="1"/>
        <v>1.3254047615145281</v>
      </c>
      <c r="J168" s="1">
        <f t="shared" ca="1" si="1"/>
        <v>1.3779642257668996</v>
      </c>
      <c r="K168" s="1">
        <f t="shared" ca="1" si="1"/>
        <v>1.4295291899033604</v>
      </c>
    </row>
    <row r="170" spans="1:11" x14ac:dyDescent="0.2">
      <c r="B170" s="4"/>
      <c r="C170" s="4"/>
      <c r="D170" s="4"/>
      <c r="E170" s="4"/>
      <c r="F170" s="4"/>
      <c r="G170" s="4"/>
      <c r="H170" s="4"/>
    </row>
    <row r="171" spans="1:11" x14ac:dyDescent="0.2">
      <c r="B171" s="4"/>
      <c r="C171" s="4"/>
      <c r="D171" s="4"/>
      <c r="E171" s="4"/>
      <c r="F171" s="4"/>
      <c r="G171" s="4"/>
      <c r="H171" s="4"/>
    </row>
    <row r="172" spans="1:11" x14ac:dyDescent="0.2">
      <c r="B172" s="4"/>
      <c r="C172" s="4"/>
      <c r="D172" s="4"/>
      <c r="E172" s="4"/>
      <c r="F172" s="4"/>
      <c r="G172" s="4"/>
      <c r="H172" s="4"/>
    </row>
    <row r="173" spans="1:11" x14ac:dyDescent="0.2">
      <c r="B173" s="4"/>
      <c r="C173" s="4"/>
      <c r="D173" s="4"/>
      <c r="E173" s="4"/>
      <c r="F173" s="4"/>
      <c r="G173" s="4"/>
      <c r="H173" s="4"/>
    </row>
    <row r="174" spans="1:11" x14ac:dyDescent="0.2">
      <c r="B174" s="4"/>
      <c r="C174" s="4"/>
      <c r="D174" s="4"/>
      <c r="E174" s="4"/>
      <c r="F174" s="4"/>
      <c r="G174" s="4"/>
      <c r="H174" s="4"/>
    </row>
    <row r="175" spans="1:11" x14ac:dyDescent="0.2">
      <c r="B175" s="4"/>
      <c r="C175" s="4"/>
      <c r="D175" s="4"/>
      <c r="E175" s="4"/>
      <c r="F175" s="4"/>
      <c r="G175" s="4"/>
      <c r="H175" s="4"/>
    </row>
    <row r="176" spans="1:11" x14ac:dyDescent="0.2">
      <c r="B176" s="4"/>
      <c r="C176" s="4"/>
      <c r="D176" s="4"/>
      <c r="E176" s="4"/>
      <c r="F176" s="4"/>
      <c r="G176" s="4"/>
      <c r="H176" s="4"/>
    </row>
    <row r="177" spans="2:8" x14ac:dyDescent="0.2">
      <c r="B177" s="4"/>
      <c r="C177" s="4"/>
      <c r="D177" s="4"/>
      <c r="E177" s="4"/>
      <c r="F177" s="4"/>
      <c r="G177" s="4"/>
      <c r="H177" s="4"/>
    </row>
    <row r="178" spans="2:8" x14ac:dyDescent="0.2">
      <c r="B178" s="4"/>
      <c r="C178" s="4"/>
      <c r="D178" s="4"/>
      <c r="E178" s="4"/>
      <c r="F178" s="4"/>
      <c r="G178" s="4"/>
      <c r="H178" s="4"/>
    </row>
    <row r="179" spans="2:8" x14ac:dyDescent="0.2">
      <c r="B179" s="4"/>
      <c r="C179" s="4"/>
      <c r="D179" s="4"/>
      <c r="E179" s="4"/>
      <c r="F179" s="4"/>
      <c r="G179" s="4"/>
      <c r="H179" s="4"/>
    </row>
    <row r="181" spans="2:8" x14ac:dyDescent="0.2">
      <c r="B181" s="4"/>
      <c r="C181" s="4"/>
      <c r="D181" s="4"/>
      <c r="E181" s="4"/>
      <c r="F181" s="4"/>
      <c r="G181" s="4"/>
      <c r="H181" s="4"/>
    </row>
    <row r="182" spans="2:8" x14ac:dyDescent="0.2">
      <c r="B182" s="4"/>
      <c r="C182" s="4"/>
      <c r="D182" s="4"/>
      <c r="E182" s="4"/>
      <c r="F182" s="4"/>
      <c r="G182" s="4"/>
      <c r="H182" s="4"/>
    </row>
    <row r="183" spans="2:8" x14ac:dyDescent="0.2">
      <c r="B183" s="4"/>
      <c r="C183" s="4"/>
      <c r="D183" s="4"/>
      <c r="E183" s="4"/>
      <c r="F183" s="4"/>
      <c r="G183" s="4"/>
      <c r="H183" s="4"/>
    </row>
    <row r="184" spans="2:8" x14ac:dyDescent="0.2">
      <c r="B184" s="4"/>
      <c r="C184" s="4"/>
      <c r="D184" s="4"/>
      <c r="E184" s="4"/>
      <c r="F184" s="4"/>
      <c r="G184" s="4"/>
      <c r="H184" s="4"/>
    </row>
    <row r="185" spans="2:8" x14ac:dyDescent="0.2">
      <c r="B185" s="4"/>
      <c r="C185" s="4"/>
      <c r="D185" s="4"/>
      <c r="E185" s="4"/>
      <c r="F185" s="4"/>
      <c r="G185" s="4"/>
      <c r="H185" s="4"/>
    </row>
    <row r="186" spans="2:8" x14ac:dyDescent="0.2">
      <c r="B186" s="4"/>
      <c r="C186" s="4"/>
      <c r="D186" s="4"/>
      <c r="E186" s="4"/>
      <c r="F186" s="4"/>
      <c r="G186" s="4"/>
      <c r="H186" s="4"/>
    </row>
    <row r="187" spans="2:8" x14ac:dyDescent="0.2">
      <c r="B187" s="4"/>
      <c r="C187" s="4"/>
      <c r="D187" s="4"/>
      <c r="E187" s="4"/>
      <c r="F187" s="4"/>
      <c r="G187" s="4"/>
      <c r="H187" s="4"/>
    </row>
    <row r="188" spans="2:8" x14ac:dyDescent="0.2">
      <c r="B188" s="4"/>
      <c r="C188" s="4"/>
      <c r="D188" s="4"/>
      <c r="E188" s="4"/>
      <c r="F188" s="4"/>
      <c r="G188" s="4"/>
      <c r="H188" s="4"/>
    </row>
    <row r="189" spans="2:8" x14ac:dyDescent="0.2">
      <c r="B189" s="4"/>
      <c r="C189" s="4"/>
      <c r="D189" s="4"/>
      <c r="E189" s="4"/>
      <c r="F189" s="4"/>
      <c r="G189" s="4"/>
      <c r="H189" s="4"/>
    </row>
    <row r="190" spans="2:8" x14ac:dyDescent="0.2">
      <c r="B190" s="4"/>
      <c r="C190" s="4"/>
      <c r="D190" s="4"/>
      <c r="E190" s="4"/>
      <c r="F190" s="4"/>
      <c r="G190" s="4"/>
      <c r="H190" s="4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K202"/>
  <sheetViews>
    <sheetView topLeftCell="A57" workbookViewId="0">
      <selection activeCell="G24" sqref="G24"/>
    </sheetView>
  </sheetViews>
  <sheetFormatPr defaultRowHeight="12.75" x14ac:dyDescent="0.2"/>
  <cols>
    <col min="1" max="1" width="26.140625" customWidth="1"/>
  </cols>
  <sheetData>
    <row r="2" spans="1:11" x14ac:dyDescent="0.2">
      <c r="A2" s="3" t="s">
        <v>59</v>
      </c>
    </row>
    <row r="3" spans="1:11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">
      <c r="A4" t="str">
        <f ca="1">OFFSET(Northland_Reference,0,0)</f>
        <v>01 NORTHLAND</v>
      </c>
    </row>
    <row r="5" spans="1:11" x14ac:dyDescent="0.2">
      <c r="A5" t="str">
        <f ca="1">OFFSET(Northland_Reference,0,2)</f>
        <v>Pedestrian</v>
      </c>
      <c r="B5" s="4">
        <f ca="1">B159*'Total Duration Tables Sup #1'!B5*(1+'Other Assumptions'!D$44)*(1+'Active Mode Assumptions'!B11)</f>
        <v>5.0772161771000004</v>
      </c>
      <c r="C5" s="4">
        <f ca="1">C159*'Total Duration Tables Sup #1'!C5*(1+'Other Assumptions'!G$44)*(1+'Active Mode Assumptions'!C11)</f>
        <v>5.3850019109505149</v>
      </c>
      <c r="D5" s="4">
        <f ca="1">D159*'Total Duration Tables Sup #1'!D5*(1+'Other Assumptions'!H$44)*(1+'Active Mode Assumptions'!D11)</f>
        <v>5.5542349485422395</v>
      </c>
      <c r="E5" s="4">
        <f ca="1">E159*'Total Duration Tables Sup #1'!E5*(1+'Other Assumptions'!I$44)*(1+'Active Mode Assumptions'!E11)</f>
        <v>5.6607615329769114</v>
      </c>
      <c r="F5" s="4">
        <f ca="1">F159*'Total Duration Tables Sup #1'!F5*(1+'Other Assumptions'!J$44)*(1+'Active Mode Assumptions'!F11)</f>
        <v>5.7009440004456664</v>
      </c>
      <c r="G5" s="4">
        <f ca="1">G159*'Total Duration Tables Sup #1'!G5*(1+'Other Assumptions'!K$44)*(1+'Active Mode Assumptions'!G11)</f>
        <v>5.7151762992741162</v>
      </c>
      <c r="H5" s="4">
        <f ca="1">H159*'Total Duration Tables Sup #1'!H5*(1+'Other Assumptions'!L$44)*(1+'Active Mode Assumptions'!H11)</f>
        <v>5.697832928193681</v>
      </c>
      <c r="I5" s="4">
        <f ca="1">I159*'Total Duration Tables Sup #1'!I5*(1+'Other Assumptions'!M$44)*(1+'Active Mode Assumptions'!I11)</f>
        <v>5.7203287963967284</v>
      </c>
      <c r="J5" s="4">
        <f ca="1">J159*'Total Duration Tables Sup #1'!J5*(1+'Other Assumptions'!N$44)*(1+'Active Mode Assumptions'!J11)</f>
        <v>5.7246909624118052</v>
      </c>
      <c r="K5" s="4">
        <f ca="1">K159*'Total Duration Tables Sup #1'!K5*(1+'Other Assumptions'!O$44)*(1+'Active Mode Assumptions'!K11)</f>
        <v>5.7168013153304376</v>
      </c>
    </row>
    <row r="6" spans="1:11" x14ac:dyDescent="0.2">
      <c r="A6" t="str">
        <f ca="1">OFFSET(Northland_Reference,7,2)</f>
        <v>Cyclist</v>
      </c>
      <c r="B6" s="4">
        <f ca="1">B160*'Total Duration Tables Sup #1'!B6*(1+'Other Assumptions'!D$44)*(1+'Active Mode Assumptions'!B20)</f>
        <v>0.15772883609999999</v>
      </c>
      <c r="C6" s="4">
        <f ca="1">C160*'Total Duration Tables Sup #1'!C6*(1+'Other Assumptions'!G$44)*(1+'Active Mode Assumptions'!C20)</f>
        <v>0.17172590423029432</v>
      </c>
      <c r="D6" s="4">
        <f ca="1">D160*'Total Duration Tables Sup #1'!D6*(1+'Other Assumptions'!H$44)*(1+'Active Mode Assumptions'!D20)</f>
        <v>0.17902212676362153</v>
      </c>
      <c r="E6" s="4">
        <f ca="1">E160*'Total Duration Tables Sup #1'!E6*(1+'Other Assumptions'!I$44)*(1+'Active Mode Assumptions'!E20)</f>
        <v>0.18214306750341852</v>
      </c>
      <c r="F6" s="4">
        <f ca="1">F160*'Total Duration Tables Sup #1'!F6*(1+'Other Assumptions'!J$44)*(1+'Active Mode Assumptions'!F20)</f>
        <v>0.18593243499213619</v>
      </c>
      <c r="G6" s="4">
        <f ca="1">G160*'Total Duration Tables Sup #1'!G6*(1+'Other Assumptions'!K$44)*(1+'Active Mode Assumptions'!G20)</f>
        <v>0.19109647006018071</v>
      </c>
      <c r="H6" s="4">
        <f ca="1">H160*'Total Duration Tables Sup #1'!H6*(1+'Other Assumptions'!L$44)*(1+'Active Mode Assumptions'!H20)</f>
        <v>0.19573257464466881</v>
      </c>
      <c r="I6" s="4">
        <f ca="1">I160*'Total Duration Tables Sup #1'!I6*(1+'Other Assumptions'!M$44)*(1+'Active Mode Assumptions'!I20)</f>
        <v>0.19744145908004829</v>
      </c>
      <c r="J6" s="4">
        <f ca="1">J160*'Total Duration Tables Sup #1'!J6*(1+'Other Assumptions'!N$44)*(1+'Active Mode Assumptions'!J20)</f>
        <v>0.19854246852739191</v>
      </c>
      <c r="K6" s="4">
        <f ca="1">K160*'Total Duration Tables Sup #1'!K6*(1+'Other Assumptions'!O$44)*(1+'Active Mode Assumptions'!K20)</f>
        <v>0.19923150698298278</v>
      </c>
    </row>
    <row r="7" spans="1:11" x14ac:dyDescent="0.2">
      <c r="A7" t="str">
        <f ca="1">OFFSET(Northland_Reference,14,2)</f>
        <v>Light Vehicle Driver</v>
      </c>
      <c r="B7" s="4">
        <f ca="1">B161*'Total Duration Tables Sup #1'!B7*(1+'Other Assumptions'!D$44)-(B5*'Active Mode Assumptions'!B11*'Active Mode Assumptions'!B14/(1+'Active Mode Assumptions'!B11))-(B6*'Active Mode Assumptions'!B20*'Active Mode Assumptions'!B23/(1+'Active Mode Assumptions'!B20))</f>
        <v>23.421840091</v>
      </c>
      <c r="C7" s="4">
        <f ca="1">C161*'Total Duration Tables Sup #1'!C7*(1+'Other Assumptions'!G$44)-(C5*'Active Mode Assumptions'!C11*'Active Mode Assumptions'!C14/(1+'Active Mode Assumptions'!C11))-(C6*'Active Mode Assumptions'!C20*'Active Mode Assumptions'!C23/(1+'Active Mode Assumptions'!C20))</f>
        <v>25.737746291025644</v>
      </c>
      <c r="D7" s="4">
        <f ca="1">D161*'Total Duration Tables Sup #1'!D7*(1+'Other Assumptions'!H$44)-(D5*'Active Mode Assumptions'!D11*'Active Mode Assumptions'!D14/(1+'Active Mode Assumptions'!D11))-(D6*'Active Mode Assumptions'!D20*'Active Mode Assumptions'!D23/(1+'Active Mode Assumptions'!D20))</f>
        <v>27.111124362655957</v>
      </c>
      <c r="E7" s="4">
        <f ca="1">E161*'Total Duration Tables Sup #1'!E7*(1+'Other Assumptions'!I$44)-(E5*'Active Mode Assumptions'!E11*'Active Mode Assumptions'!E14/(1+'Active Mode Assumptions'!E11))-(E6*'Active Mode Assumptions'!E20*'Active Mode Assumptions'!E23/(1+'Active Mode Assumptions'!E20))</f>
        <v>27.904290966914065</v>
      </c>
      <c r="F7" s="4">
        <f ca="1">F161*'Total Duration Tables Sup #1'!F7*(1+'Other Assumptions'!J$44)-(F5*'Active Mode Assumptions'!F11*'Active Mode Assumptions'!F14/(1+'Active Mode Assumptions'!F11))-(F6*'Active Mode Assumptions'!F20*'Active Mode Assumptions'!F23/(1+'Active Mode Assumptions'!F20))</f>
        <v>28.539816483343213</v>
      </c>
      <c r="G7" s="4">
        <f ca="1">G161*'Total Duration Tables Sup #1'!G7*(1+'Other Assumptions'!K$44)-(G5*'Active Mode Assumptions'!G11*'Active Mode Assumptions'!G14/(1+'Active Mode Assumptions'!G11))-(G6*'Active Mode Assumptions'!G20*'Active Mode Assumptions'!G23/(1+'Active Mode Assumptions'!G20))</f>
        <v>28.904246219272153</v>
      </c>
      <c r="H7" s="4">
        <f ca="1">H161*'Total Duration Tables Sup #1'!H7*(1+'Other Assumptions'!L$44)-(H5*'Active Mode Assumptions'!H11*'Active Mode Assumptions'!H14/(1+'Active Mode Assumptions'!H11))-(H6*'Active Mode Assumptions'!H20*'Active Mode Assumptions'!H23/(1+'Active Mode Assumptions'!H20))</f>
        <v>29.123881615228409</v>
      </c>
      <c r="I7" s="4">
        <f ca="1">I161*'Total Duration Tables Sup #1'!I7*(1+'Other Assumptions'!M$44)-(I5*'Active Mode Assumptions'!I11*'Active Mode Assumptions'!I14/(1+'Active Mode Assumptions'!I11))-(I6*'Active Mode Assumptions'!I20*'Active Mode Assumptions'!I23/(1+'Active Mode Assumptions'!I20))</f>
        <v>29.226890784701929</v>
      </c>
      <c r="J7" s="4">
        <f ca="1">J161*'Total Duration Tables Sup #1'!J7*(1+'Other Assumptions'!N$44)-(J5*'Active Mode Assumptions'!J11*'Active Mode Assumptions'!J14/(1+'Active Mode Assumptions'!J11))-(J6*'Active Mode Assumptions'!J20*'Active Mode Assumptions'!J23/(1+'Active Mode Assumptions'!J20))</f>
        <v>29.237262347777584</v>
      </c>
      <c r="K7" s="4">
        <f ca="1">K161*'Total Duration Tables Sup #1'!K7*(1+'Other Assumptions'!O$44)-(K5*'Active Mode Assumptions'!K11*'Active Mode Assumptions'!K14/(1+'Active Mode Assumptions'!K11))-(K6*'Active Mode Assumptions'!K20*'Active Mode Assumptions'!K23/(1+'Active Mode Assumptions'!K20))</f>
        <v>29.185153535771349</v>
      </c>
    </row>
    <row r="8" spans="1:11" x14ac:dyDescent="0.2">
      <c r="A8" t="str">
        <f ca="1">OFFSET(Northland_Reference,21,2)</f>
        <v>Light Vehicle Passenger</v>
      </c>
      <c r="B8" s="4">
        <f ca="1">B162*'Total Duration Tables Sup #1'!B8*(1+'Other Assumptions'!D$44)-(B5*'Active Mode Assumptions'!B11*'Active Mode Assumptions'!B15/(1+'Active Mode Assumptions'!B11))-(B6*'Active Mode Assumptions'!B20*'Active Mode Assumptions'!B24/(1+'Active Mode Assumptions'!B20))</f>
        <v>15.174949781</v>
      </c>
      <c r="C8" s="4">
        <f ca="1">C162*'Total Duration Tables Sup #1'!C8*(1+'Other Assumptions'!G$44)-(C5*'Active Mode Assumptions'!C11*'Active Mode Assumptions'!C15/(1+'Active Mode Assumptions'!C11))-(C6*'Active Mode Assumptions'!C20*'Active Mode Assumptions'!C24/(1+'Active Mode Assumptions'!C20))</f>
        <v>15.942196525490608</v>
      </c>
      <c r="D8" s="4">
        <f ca="1">D162*'Total Duration Tables Sup #1'!D8*(1+'Other Assumptions'!H$44)-(D5*'Active Mode Assumptions'!D11*'Active Mode Assumptions'!D15/(1+'Active Mode Assumptions'!D11))-(D6*'Active Mode Assumptions'!D20*'Active Mode Assumptions'!D24/(1+'Active Mode Assumptions'!D20))</f>
        <v>16.369187283624328</v>
      </c>
      <c r="E8" s="4">
        <f ca="1">E162*'Total Duration Tables Sup #1'!E8*(1+'Other Assumptions'!I$44)-(E5*'Active Mode Assumptions'!E11*'Active Mode Assumptions'!E15/(1+'Active Mode Assumptions'!E11))-(E6*'Active Mode Assumptions'!E20*'Active Mode Assumptions'!E24/(1+'Active Mode Assumptions'!E20))</f>
        <v>16.593844381990372</v>
      </c>
      <c r="F8" s="4">
        <f ca="1">F162*'Total Duration Tables Sup #1'!F8*(1+'Other Assumptions'!J$44)-(F5*'Active Mode Assumptions'!F11*'Active Mode Assumptions'!F15/(1+'Active Mode Assumptions'!F11))-(F6*'Active Mode Assumptions'!F20*'Active Mode Assumptions'!F24/(1+'Active Mode Assumptions'!F20))</f>
        <v>16.695345970600361</v>
      </c>
      <c r="G8" s="4">
        <f ca="1">G162*'Total Duration Tables Sup #1'!G8*(1+'Other Assumptions'!K$44)-(G5*'Active Mode Assumptions'!G11*'Active Mode Assumptions'!G15/(1+'Active Mode Assumptions'!G11))-(G6*'Active Mode Assumptions'!G20*'Active Mode Assumptions'!G24/(1+'Active Mode Assumptions'!G20))</f>
        <v>16.702137944291362</v>
      </c>
      <c r="H8" s="4">
        <f ca="1">H162*'Total Duration Tables Sup #1'!H8*(1+'Other Assumptions'!L$44)-(H5*'Active Mode Assumptions'!H11*'Active Mode Assumptions'!H15/(1+'Active Mode Assumptions'!H11))-(H6*'Active Mode Assumptions'!H20*'Active Mode Assumptions'!H24/(1+'Active Mode Assumptions'!H20))</f>
        <v>16.606722011471597</v>
      </c>
      <c r="I8" s="4">
        <f ca="1">I162*'Total Duration Tables Sup #1'!I8*(1+'Other Assumptions'!M$44)-(I5*'Active Mode Assumptions'!I11*'Active Mode Assumptions'!I15/(1+'Active Mode Assumptions'!I11))-(I6*'Active Mode Assumptions'!I20*'Active Mode Assumptions'!I24/(1+'Active Mode Assumptions'!I20))</f>
        <v>16.681957457928316</v>
      </c>
      <c r="J8" s="4">
        <f ca="1">J162*'Total Duration Tables Sup #1'!J8*(1+'Other Assumptions'!N$44)-(J5*'Active Mode Assumptions'!J11*'Active Mode Assumptions'!J15/(1+'Active Mode Assumptions'!J11))-(J6*'Active Mode Assumptions'!J20*'Active Mode Assumptions'!J24/(1+'Active Mode Assumptions'!J20))</f>
        <v>16.704313098624663</v>
      </c>
      <c r="K8" s="4">
        <f ca="1">K162*'Total Duration Tables Sup #1'!K8*(1+'Other Assumptions'!O$44)-(K5*'Active Mode Assumptions'!K11*'Active Mode Assumptions'!K15/(1+'Active Mode Assumptions'!K11))-(K6*'Active Mode Assumptions'!K20*'Active Mode Assumptions'!K24/(1+'Active Mode Assumptions'!K20))</f>
        <v>16.69087179141183</v>
      </c>
    </row>
    <row r="9" spans="1:11" x14ac:dyDescent="0.2">
      <c r="A9" t="str">
        <f ca="1">OFFSET(Northland_Reference,28,2)</f>
        <v>Taxi/Vehicle Share</v>
      </c>
      <c r="B9" s="4">
        <f ca="1">B163*'Total Duration Tables Sup #1'!B9*(1+'Other Assumptions'!D$44)</f>
        <v>2.5131369800000001E-2</v>
      </c>
      <c r="C9" s="4">
        <f ca="1">C163*'Total Duration Tables Sup #1'!C9*(1+'Other Assumptions'!G$44)</f>
        <v>2.8697741354471708E-2</v>
      </c>
      <c r="D9" s="4">
        <f ca="1">D163*'Total Duration Tables Sup #1'!D9*(1+'Other Assumptions'!H$44)</f>
        <v>3.1500186499762717E-2</v>
      </c>
      <c r="E9" s="4">
        <f ca="1">E163*'Total Duration Tables Sup #1'!E9*(1+'Other Assumptions'!I$44)</f>
        <v>3.4006347462906865E-2</v>
      </c>
      <c r="F9" s="4">
        <f ca="1">F163*'Total Duration Tables Sup #1'!F9*(1+'Other Assumptions'!J$44)</f>
        <v>3.6130574807792214E-2</v>
      </c>
      <c r="G9" s="4">
        <f ca="1">G163*'Total Duration Tables Sup #1'!G9*(1+'Other Assumptions'!K$44)</f>
        <v>3.7646524018226601E-2</v>
      </c>
      <c r="H9" s="4">
        <f ca="1">H163*'Total Duration Tables Sup #1'!H9*(1+'Other Assumptions'!L$44)</f>
        <v>3.897901987602076E-2</v>
      </c>
      <c r="I9" s="4">
        <f ca="1">I163*'Total Duration Tables Sup #1'!I9*(1+'Other Assumptions'!M$44)</f>
        <v>3.9047405524283936E-2</v>
      </c>
      <c r="J9" s="4">
        <f ca="1">J163*'Total Duration Tables Sup #1'!J9*(1+'Other Assumptions'!N$44)</f>
        <v>3.8991924372764192E-2</v>
      </c>
      <c r="K9" s="4">
        <f ca="1">K163*'Total Duration Tables Sup #1'!K9*(1+'Other Assumptions'!O$44)</f>
        <v>3.8853427304932131E-2</v>
      </c>
    </row>
    <row r="10" spans="1:11" x14ac:dyDescent="0.2">
      <c r="A10" t="str">
        <f ca="1">OFFSET(Northland_Reference,35,2)</f>
        <v>Motorcyclist</v>
      </c>
      <c r="B10" s="4">
        <f ca="1">B164*'Total Duration Tables Sup #1'!B10*(1+'Other Assumptions'!D$44)</f>
        <v>0.28382488960000002</v>
      </c>
      <c r="C10" s="4">
        <f ca="1">C164*'Total Duration Tables Sup #1'!C10*(1+'Other Assumptions'!G$44)</f>
        <v>0.30911236184425955</v>
      </c>
      <c r="D10" s="4">
        <f ca="1">D164*'Total Duration Tables Sup #1'!D10*(1+'Other Assumptions'!H$44)</f>
        <v>0.32356150083966789</v>
      </c>
      <c r="E10" s="4">
        <f ca="1">E164*'Total Duration Tables Sup #1'!E10*(1+'Other Assumptions'!I$44)</f>
        <v>0.3290216837279431</v>
      </c>
      <c r="F10" s="4">
        <f ca="1">F164*'Total Duration Tables Sup #1'!F10*(1+'Other Assumptions'!J$44)</f>
        <v>0.33269800557786555</v>
      </c>
      <c r="G10" s="4">
        <f ca="1">G164*'Total Duration Tables Sup #1'!G10*(1+'Other Assumptions'!K$44)</f>
        <v>0.3313691361637886</v>
      </c>
      <c r="H10" s="4">
        <f ca="1">H164*'Total Duration Tables Sup #1'!H10*(1+'Other Assumptions'!L$44)</f>
        <v>0.32807366444596403</v>
      </c>
      <c r="I10" s="4">
        <f ca="1">I164*'Total Duration Tables Sup #1'!I10*(1+'Other Assumptions'!M$44)</f>
        <v>0.33093266152384793</v>
      </c>
      <c r="J10" s="4">
        <f ca="1">J164*'Total Duration Tables Sup #1'!J10*(1+'Other Assumptions'!N$44)</f>
        <v>0.33275602744433874</v>
      </c>
      <c r="K10" s="4">
        <f ca="1">K164*'Total Duration Tables Sup #1'!K10*(1+'Other Assumptions'!O$44)</f>
        <v>0.33387162728181835</v>
      </c>
    </row>
    <row r="11" spans="1:11" x14ac:dyDescent="0.2">
      <c r="A11" t="str">
        <f ca="1">OFFSET(Auckland_Reference,42,2)</f>
        <v>Local Train</v>
      </c>
      <c r="B11" s="4">
        <f ca="1">B165*'Total Duration Tables Sup #1'!B11*(1+'Other Assumptions'!D$44)</f>
        <v>0</v>
      </c>
      <c r="C11" s="4">
        <f ca="1">C165*'Total Duration Tables Sup #1'!C11*(1+'Other Assumptions'!G$44)</f>
        <v>0</v>
      </c>
      <c r="D11" s="4">
        <f ca="1">D165*'Total Duration Tables Sup #1'!D11*(1+'Other Assumptions'!H$44)</f>
        <v>0</v>
      </c>
      <c r="E11" s="4">
        <f ca="1">E165*'Total Duration Tables Sup #1'!E11*(1+'Other Assumptions'!I$44)</f>
        <v>0</v>
      </c>
      <c r="F11" s="4">
        <f ca="1">F165*'Total Duration Tables Sup #1'!F11*(1+'Other Assumptions'!J$44)</f>
        <v>0</v>
      </c>
      <c r="G11" s="4">
        <f ca="1">G165*'Total Duration Tables Sup #1'!G11*(1+'Other Assumptions'!K$44)</f>
        <v>0</v>
      </c>
      <c r="H11" s="4">
        <f ca="1">H165*'Total Duration Tables Sup #1'!H11*(1+'Other Assumptions'!L$44)</f>
        <v>0</v>
      </c>
      <c r="I11" s="4">
        <f ca="1">I165*'Total Duration Tables Sup #1'!I11*(1+'Other Assumptions'!M$44)</f>
        <v>0</v>
      </c>
      <c r="J11" s="4">
        <f ca="1">J165*'Total Duration Tables Sup #1'!J11*(1+'Other Assumptions'!N$44)</f>
        <v>0</v>
      </c>
      <c r="K11" s="4">
        <f ca="1">K165*'Total Duration Tables Sup #1'!K11*(1+'Other Assumptions'!O$44)</f>
        <v>0</v>
      </c>
    </row>
    <row r="12" spans="1:11" x14ac:dyDescent="0.2">
      <c r="A12" t="str">
        <f ca="1">OFFSET(Northland_Reference,42,2)</f>
        <v>Local Bus</v>
      </c>
      <c r="B12" s="4">
        <f ca="1">B166*'Total Duration Tables Sup #1'!B12*(1+'Other Assumptions'!D$44)</f>
        <v>1.5691203781</v>
      </c>
      <c r="C12" s="4">
        <f ca="1">C166*'Total Duration Tables Sup #1'!C12*(1+'Other Assumptions'!G$44)</f>
        <v>1.5488381822923896</v>
      </c>
      <c r="D12" s="4">
        <f ca="1">D166*'Total Duration Tables Sup #1'!D12*(1+'Other Assumptions'!H$44)</f>
        <v>1.5276040827993029</v>
      </c>
      <c r="E12" s="4">
        <f ca="1">E166*'Total Duration Tables Sup #1'!E12*(1+'Other Assumptions'!I$44)</f>
        <v>1.5115340343945509</v>
      </c>
      <c r="F12" s="4">
        <f ca="1">F166*'Total Duration Tables Sup #1'!F12*(1+'Other Assumptions'!J$44)</f>
        <v>1.4755944237363356</v>
      </c>
      <c r="G12" s="4">
        <f ca="1">G166*'Total Duration Tables Sup #1'!G12*(1+'Other Assumptions'!K$44)</f>
        <v>1.4489476480113623</v>
      </c>
      <c r="H12" s="4">
        <f ca="1">H166*'Total Duration Tables Sup #1'!H12*(1+'Other Assumptions'!L$44)</f>
        <v>1.4145525048002141</v>
      </c>
      <c r="I12" s="4">
        <f ca="1">I166*'Total Duration Tables Sup #1'!I12*(1+'Other Assumptions'!M$44)</f>
        <v>1.4228778329422733</v>
      </c>
      <c r="J12" s="4">
        <f ca="1">J166*'Total Duration Tables Sup #1'!J12*(1+'Other Assumptions'!N$44)</f>
        <v>1.4267027779220671</v>
      </c>
      <c r="K12" s="4">
        <f ca="1">K166*'Total Duration Tables Sup #1'!K12*(1+'Other Assumptions'!O$44)</f>
        <v>1.4274699799243107</v>
      </c>
    </row>
    <row r="13" spans="1:11" x14ac:dyDescent="0.2">
      <c r="A13" t="str">
        <f ca="1">OFFSET(Northland_Reference,49,2)</f>
        <v>Local Ferry</v>
      </c>
      <c r="B13" s="4">
        <f ca="1">B167*'Total Duration Tables Sup #1'!B13*(1+'Other Assumptions'!D$44)</f>
        <v>1.4305812299999996E-2</v>
      </c>
      <c r="C13" s="4">
        <f ca="1">C167*'Total Duration Tables Sup #1'!C13*(1+'Other Assumptions'!G$44)</f>
        <v>1.6001639241535262E-2</v>
      </c>
      <c r="D13" s="4">
        <f ca="1">D167*'Total Duration Tables Sup #1'!D13*(1+'Other Assumptions'!H$44)</f>
        <v>1.7092732902743043E-2</v>
      </c>
      <c r="E13" s="4">
        <f ca="1">E167*'Total Duration Tables Sup #1'!E13*(1+'Other Assumptions'!I$44)</f>
        <v>1.7826802869913248E-2</v>
      </c>
      <c r="F13" s="4">
        <f ca="1">F167*'Total Duration Tables Sup #1'!F13*(1+'Other Assumptions'!J$44)</f>
        <v>1.8376858798314424E-2</v>
      </c>
      <c r="G13" s="4">
        <f ca="1">G167*'Total Duration Tables Sup #1'!G13*(1+'Other Assumptions'!K$44)</f>
        <v>1.9239316251078581E-2</v>
      </c>
      <c r="H13" s="4">
        <f ca="1">H167*'Total Duration Tables Sup #1'!H13*(1+'Other Assumptions'!L$44)</f>
        <v>1.9967836645441866E-2</v>
      </c>
      <c r="I13" s="4">
        <f ca="1">I167*'Total Duration Tables Sup #1'!I13*(1+'Other Assumptions'!M$44)</f>
        <v>1.9746906075949932E-2</v>
      </c>
      <c r="J13" s="4">
        <f ca="1">J167*'Total Duration Tables Sup #1'!J13*(1+'Other Assumptions'!N$44)</f>
        <v>1.947082531803862E-2</v>
      </c>
      <c r="K13" s="4">
        <f ca="1">K167*'Total Duration Tables Sup #1'!K13*(1+'Other Assumptions'!O$44)</f>
        <v>1.9161843472760568E-2</v>
      </c>
    </row>
    <row r="14" spans="1:11" x14ac:dyDescent="0.2">
      <c r="A14" t="str">
        <f ca="1">OFFSET(Northland_Reference,56,2)</f>
        <v>Other Household Travel</v>
      </c>
      <c r="B14" s="4">
        <f ca="1">B168*'Total Duration Tables Sup #1'!B14*(1+'Other Assumptions'!D$44)</f>
        <v>0</v>
      </c>
      <c r="C14" s="4">
        <f ca="1">C168*'Total Duration Tables Sup #1'!C14*(1+'Other Assumptions'!G$44)</f>
        <v>0</v>
      </c>
      <c r="D14" s="4">
        <f ca="1">D168*'Total Duration Tables Sup #1'!D14*(1+'Other Assumptions'!H$44)</f>
        <v>0</v>
      </c>
      <c r="E14" s="4">
        <f ca="1">E168*'Total Duration Tables Sup #1'!E14*(1+'Other Assumptions'!I$44)</f>
        <v>0</v>
      </c>
      <c r="F14" s="4">
        <f ca="1">F168*'Total Duration Tables Sup #1'!F14*(1+'Other Assumptions'!J$44)</f>
        <v>0</v>
      </c>
      <c r="G14" s="4">
        <f ca="1">G168*'Total Duration Tables Sup #1'!G14*(1+'Other Assumptions'!K$44)</f>
        <v>0</v>
      </c>
      <c r="H14" s="4">
        <f ca="1">H168*'Total Duration Tables Sup #1'!H14*(1+'Other Assumptions'!L$44)</f>
        <v>0</v>
      </c>
      <c r="I14" s="4">
        <f ca="1">I168*'Total Duration Tables Sup #1'!I14*(1+'Other Assumptions'!M$44)</f>
        <v>0</v>
      </c>
      <c r="J14" s="4">
        <f ca="1">J168*'Total Duration Tables Sup #1'!J14*(1+'Other Assumptions'!N$44)</f>
        <v>0</v>
      </c>
      <c r="K14" s="4">
        <f ca="1">K168*'Total Duration Tables Sup #1'!K14*(1+'Other Assumptions'!O$44)</f>
        <v>0</v>
      </c>
    </row>
    <row r="15" spans="1:11" x14ac:dyDescent="0.2">
      <c r="A15" t="str">
        <f ca="1">OFFSET(Auckland_Reference,0,0)</f>
        <v>02 AUCKLAND</v>
      </c>
    </row>
    <row r="16" spans="1:11" x14ac:dyDescent="0.2">
      <c r="A16" t="str">
        <f ca="1">OFFSET(Auckland_Reference,0,2)</f>
        <v>Pedestrian</v>
      </c>
      <c r="B16" s="4">
        <f ca="1">(B159*'Total Duration Tables Sup #1'!B16)*(1+'Other Assumptions'!D$45)*(1+'Active Mode Assumptions'!B11)-('PT Assumptions'!B14*'Total Duration Tables Sup #2'!B170+'PT Assumptions'!B26*'Total Duration Tables Sup #2'!B173)*(1+'Other Assumptions'!D$45)</f>
        <v>73.381071999</v>
      </c>
      <c r="C16" s="4">
        <f ca="1">(C159*'Total Duration Tables Sup #1'!C16)*(1+'Other Assumptions'!G$45)*(1+'Active Mode Assumptions'!C11)-('PT Assumptions'!C14*'Total Duration Tables Sup #2'!C170+'PT Assumptions'!C26*'Total Duration Tables Sup #2'!C173)*(1+'Other Assumptions'!G$45)</f>
        <v>82.858358676146608</v>
      </c>
      <c r="D16" s="4">
        <f ca="1">(D159*'Total Duration Tables Sup #1'!D16)*(1+'Other Assumptions'!H$45)*(1+'Active Mode Assumptions'!D11)-('PT Assumptions'!D14*'Total Duration Tables Sup #2'!D170+'PT Assumptions'!D26*'Total Duration Tables Sup #2'!D173)*(1+'Other Assumptions'!H$45)</f>
        <v>89.423732895607827</v>
      </c>
      <c r="E16" s="4">
        <f ca="1">(E159*'Total Duration Tables Sup #1'!E16)*(1+'Other Assumptions'!I$45)*(1+'Active Mode Assumptions'!E11)-('PT Assumptions'!E14*'Total Duration Tables Sup #2'!E170+'PT Assumptions'!E26*'Total Duration Tables Sup #2'!E173)*(1+'Other Assumptions'!I$45)</f>
        <v>94.463779399280185</v>
      </c>
      <c r="F16" s="4">
        <f ca="1">(F159*'Total Duration Tables Sup #1'!F16)*(1+'Other Assumptions'!J$45)*(1+'Active Mode Assumptions'!F11)-('PT Assumptions'!F14*'Total Duration Tables Sup #2'!F170+'PT Assumptions'!F26*'Total Duration Tables Sup #2'!F173)*(1+'Other Assumptions'!J$45)</f>
        <v>98.731544643010167</v>
      </c>
      <c r="G16" s="4">
        <f ca="1">(G159*'Total Duration Tables Sup #1'!G16)*(1+'Other Assumptions'!K$45)*(1+'Active Mode Assumptions'!G11)-('PT Assumptions'!G14*'Total Duration Tables Sup #2'!G170+'PT Assumptions'!G26*'Total Duration Tables Sup #2'!G173)*(1+'Other Assumptions'!K$45)</f>
        <v>102.59726414853806</v>
      </c>
      <c r="H16" s="4">
        <f ca="1">(H159*'Total Duration Tables Sup #1'!H16)*(1+'Other Assumptions'!L$45)*(1+'Active Mode Assumptions'!H11)-('PT Assumptions'!H14*'Total Duration Tables Sup #2'!H170+'PT Assumptions'!H26*'Total Duration Tables Sup #2'!H173)*(1+'Other Assumptions'!L$45)</f>
        <v>105.99048437997109</v>
      </c>
      <c r="I16" s="4">
        <f ca="1">(I159*'Total Duration Tables Sup #1'!I16)*(1+'Other Assumptions'!M$45)*(1+'Active Mode Assumptions'!I11)-('PT Assumptions'!I14*'Total Duration Tables Sup #2'!I170+'PT Assumptions'!I26*'Total Duration Tables Sup #2'!I173)*(1+'Other Assumptions'!M$45)</f>
        <v>110.31085957464593</v>
      </c>
      <c r="J16" s="4">
        <f ca="1">(J159*'Total Duration Tables Sup #1'!J16)*(1+'Other Assumptions'!N$45)*(1+'Active Mode Assumptions'!J11)-('PT Assumptions'!J14*'Total Duration Tables Sup #2'!J170+'PT Assumptions'!J26*'Total Duration Tables Sup #2'!J173)*(1+'Other Assumptions'!N$45)</f>
        <v>114.43500445011051</v>
      </c>
      <c r="K16" s="4">
        <f ca="1">(K159*'Total Duration Tables Sup #1'!K16)*(1+'Other Assumptions'!O$45)*(1+'Active Mode Assumptions'!K11)-('PT Assumptions'!K14*'Total Duration Tables Sup #2'!K170+'PT Assumptions'!K26*'Total Duration Tables Sup #2'!K173)*(1+'Other Assumptions'!O$45)</f>
        <v>118.44284212858682</v>
      </c>
    </row>
    <row r="17" spans="1:11" x14ac:dyDescent="0.2">
      <c r="A17" t="str">
        <f ca="1">OFFSET(Auckland_Reference,7,2)</f>
        <v>Cyclist</v>
      </c>
      <c r="B17" s="4">
        <f ca="1">(B160*'Total Duration Tables Sup #1'!B17)*(1+'Other Assumptions'!D$45)*(1+'Active Mode Assumptions'!B20)-('PT Assumptions'!B15*'Total Duration Tables Sup #2'!B170+'PT Assumptions'!B27*'Total Duration Tables Sup #2'!B173)*(1+'Other Assumptions'!D$45)</f>
        <v>4.3659429593999999</v>
      </c>
      <c r="C17" s="4">
        <f ca="1">(C160*'Total Duration Tables Sup #1'!C17)*(1+'Other Assumptions'!G$45)*(1+'Active Mode Assumptions'!C20)-('PT Assumptions'!C15*'Total Duration Tables Sup #2'!C170+'PT Assumptions'!C27*'Total Duration Tables Sup #2'!C173)*(1+'Other Assumptions'!G$45)</f>
        <v>5.0610707267537416</v>
      </c>
      <c r="D17" s="4">
        <f ca="1">(D160*'Total Duration Tables Sup #1'!D17)*(1+'Other Assumptions'!H$45)*(1+'Active Mode Assumptions'!D20)-('PT Assumptions'!D15*'Total Duration Tables Sup #2'!D170+'PT Assumptions'!D27*'Total Duration Tables Sup #2'!D173)*(1+'Other Assumptions'!H$45)</f>
        <v>5.544166868651156</v>
      </c>
      <c r="E17" s="4">
        <f ca="1">(E160*'Total Duration Tables Sup #1'!E17)*(1+'Other Assumptions'!I$45)*(1+'Active Mode Assumptions'!E20)-('PT Assumptions'!E15*'Total Duration Tables Sup #2'!E170+'PT Assumptions'!E27*'Total Duration Tables Sup #2'!E173)*(1+'Other Assumptions'!I$45)</f>
        <v>5.867977424327143</v>
      </c>
      <c r="F17" s="4">
        <f ca="1">(F160*'Total Duration Tables Sup #1'!F17)*(1+'Other Assumptions'!J$45)*(1+'Active Mode Assumptions'!F20)-('PT Assumptions'!F15*'Total Duration Tables Sup #2'!F170+'PT Assumptions'!F27*'Total Duration Tables Sup #2'!F173)*(1+'Other Assumptions'!J$45)</f>
        <v>6.228176529983366</v>
      </c>
      <c r="G17" s="4">
        <f ca="1">(G160*'Total Duration Tables Sup #1'!G17)*(1+'Other Assumptions'!K$45)*(1+'Active Mode Assumptions'!G20)-('PT Assumptions'!G15*'Total Duration Tables Sup #2'!G170+'PT Assumptions'!G27*'Total Duration Tables Sup #2'!G173)*(1+'Other Assumptions'!K$45)</f>
        <v>6.6468950502822421</v>
      </c>
      <c r="H17" s="4">
        <f ca="1">(H160*'Total Duration Tables Sup #1'!H17)*(1+'Other Assumptions'!L$45)*(1+'Active Mode Assumptions'!H20)-('PT Assumptions'!H15*'Total Duration Tables Sup #2'!H170+'PT Assumptions'!H27*'Total Duration Tables Sup #2'!H173)*(1+'Other Assumptions'!L$45)</f>
        <v>7.0672161923290098</v>
      </c>
      <c r="I17" s="4">
        <f ca="1">(I160*'Total Duration Tables Sup #1'!I17)*(1+'Other Assumptions'!M$45)*(1+'Active Mode Assumptions'!I20)-('PT Assumptions'!I15*'Total Duration Tables Sup #2'!I170+'PT Assumptions'!I27*'Total Duration Tables Sup #2'!I173)*(1+'Other Assumptions'!M$45)</f>
        <v>7.4001876299810201</v>
      </c>
      <c r="J17" s="4">
        <f ca="1">(J160*'Total Duration Tables Sup #1'!J17)*(1+'Other Assumptions'!N$45)*(1+'Active Mode Assumptions'!J20)-('PT Assumptions'!J15*'Total Duration Tables Sup #2'!J170+'PT Assumptions'!J27*'Total Duration Tables Sup #2'!J173)*(1+'Other Assumptions'!N$45)</f>
        <v>7.7246161570613383</v>
      </c>
      <c r="K17" s="4">
        <f ca="1">(K160*'Total Duration Tables Sup #1'!K17)*(1+'Other Assumptions'!O$45)*(1+'Active Mode Assumptions'!K20)-('PT Assumptions'!K15*'Total Duration Tables Sup #2'!K170+'PT Assumptions'!K27*'Total Duration Tables Sup #2'!K173)*(1+'Other Assumptions'!O$45)</f>
        <v>8.0463815455964749</v>
      </c>
    </row>
    <row r="18" spans="1:11" x14ac:dyDescent="0.2">
      <c r="A18" t="str">
        <f ca="1">OFFSET(Auckland_Reference,14,2)</f>
        <v>Light Vehicle Driver</v>
      </c>
      <c r="B18" s="4">
        <f ca="1">(B161*'Total Duration Tables Sup #1'!B18-'PT Assumptions'!B16*'Total Duration Tables Sup #2'!B170-'PT Assumptions'!B28*'Total Duration Tables Sup #2'!B173)*(1+'Other Assumptions'!D$45)-(B159*'Total Duration Tables Sup #1'!B16)*(1+'Other Assumptions'!D$45)*'Active Mode Assumptions'!B11*'Active Mode Assumptions'!B14-(B160*'Total Duration Tables Sup #1'!B17)*(1+'Other Assumptions'!D$45)*'Active Mode Assumptions'!B20*'Active Mode Assumptions'!B23</f>
        <v>295.36669345000001</v>
      </c>
      <c r="C18" s="4">
        <f ca="1">(C161*'Total Duration Tables Sup #1'!C18-'PT Assumptions'!C16*'Total Duration Tables Sup #2'!C170-'PT Assumptions'!C28*'Total Duration Tables Sup #2'!C173)*(1+'Other Assumptions'!G$45)-(C159*'Total Duration Tables Sup #1'!C16)*(1+'Other Assumptions'!G$45)*'Active Mode Assumptions'!C11*'Active Mode Assumptions'!C14-(C160*'Total Duration Tables Sup #1'!C17)*(1+'Other Assumptions'!G$45)*'Active Mode Assumptions'!C20*'Active Mode Assumptions'!C23</f>
        <v>344.24030246115564</v>
      </c>
      <c r="D18" s="4">
        <f ca="1">(D161*'Total Duration Tables Sup #1'!D18-'PT Assumptions'!D16*'Total Duration Tables Sup #2'!D170-'PT Assumptions'!D28*'Total Duration Tables Sup #2'!D173)*(1+'Other Assumptions'!H$45)-(D159*'Total Duration Tables Sup #1'!D16)*(1+'Other Assumptions'!H$45)*'Active Mode Assumptions'!D11*'Active Mode Assumptions'!D14-(D160*'Total Duration Tables Sup #1'!D17)*(1+'Other Assumptions'!H$45)*'Active Mode Assumptions'!D20*'Active Mode Assumptions'!D23</f>
        <v>375.33430939292577</v>
      </c>
      <c r="E18" s="4">
        <f ca="1">(E161*'Total Duration Tables Sup #1'!E18-'PT Assumptions'!E16*'Total Duration Tables Sup #2'!E170-'PT Assumptions'!E28*'Total Duration Tables Sup #2'!E173)*(1+'Other Assumptions'!I$45)-(E159*'Total Duration Tables Sup #1'!E16)*(1+'Other Assumptions'!I$45)*'Active Mode Assumptions'!E11*'Active Mode Assumptions'!E14-(E160*'Total Duration Tables Sup #1'!E17)*(1+'Other Assumptions'!I$45)*'Active Mode Assumptions'!E20*'Active Mode Assumptions'!E23</f>
        <v>396.62889823424456</v>
      </c>
      <c r="F18" s="4">
        <f ca="1">(F161*'Total Duration Tables Sup #1'!F18-'PT Assumptions'!F16*'Total Duration Tables Sup #2'!F170-'PT Assumptions'!F28*'Total Duration Tables Sup #2'!F173)*(1+'Other Assumptions'!J$45)-(F159*'Total Duration Tables Sup #1'!F16)*(1+'Other Assumptions'!J$45)*'Active Mode Assumptions'!F11*'Active Mode Assumptions'!F14-(F160*'Total Duration Tables Sup #1'!F17)*(1+'Other Assumptions'!J$45)*'Active Mode Assumptions'!F20*'Active Mode Assumptions'!F23</f>
        <v>419.47011127743832</v>
      </c>
      <c r="G18" s="4">
        <f ca="1">(G161*'Total Duration Tables Sup #1'!G18-'PT Assumptions'!G16*'Total Duration Tables Sup #2'!G170-'PT Assumptions'!G28*'Total Duration Tables Sup #2'!G173)*(1+'Other Assumptions'!K$45)-(G159*'Total Duration Tables Sup #1'!G16)*(1+'Other Assumptions'!K$45)*'Active Mode Assumptions'!G11*'Active Mode Assumptions'!G14-(G160*'Total Duration Tables Sup #1'!G17)*(1+'Other Assumptions'!K$45)*'Active Mode Assumptions'!G20*'Active Mode Assumptions'!G23</f>
        <v>438.80587369084071</v>
      </c>
      <c r="H18" s="4">
        <f ca="1">(H161*'Total Duration Tables Sup #1'!H18-'PT Assumptions'!H16*'Total Duration Tables Sup #2'!H170-'PT Assumptions'!H28*'Total Duration Tables Sup #2'!H173)*(1+'Other Assumptions'!L$45)-(H159*'Total Duration Tables Sup #1'!H16)*(1+'Other Assumptions'!L$45)*'Active Mode Assumptions'!H11*'Active Mode Assumptions'!H14-(H160*'Total Duration Tables Sup #1'!H17)*(1+'Other Assumptions'!L$45)*'Active Mode Assumptions'!H20*'Active Mode Assumptions'!H23</f>
        <v>456.60496351794575</v>
      </c>
      <c r="I18" s="4">
        <f ca="1">(I161*'Total Duration Tables Sup #1'!I18-'PT Assumptions'!I16*'Total Duration Tables Sup #2'!I170-'PT Assumptions'!I28*'Total Duration Tables Sup #2'!I173)*(1+'Other Assumptions'!M$45)-(I159*'Total Duration Tables Sup #1'!I16)*(1+'Other Assumptions'!M$45)*'Active Mode Assumptions'!I11*'Active Mode Assumptions'!I14-(I160*'Total Duration Tables Sup #1'!I17)*(1+'Other Assumptions'!M$45)*'Active Mode Assumptions'!I20*'Active Mode Assumptions'!I23</f>
        <v>473.53904809410966</v>
      </c>
      <c r="J18" s="4">
        <f ca="1">(J161*'Total Duration Tables Sup #1'!J18-'PT Assumptions'!J16*'Total Duration Tables Sup #2'!J170-'PT Assumptions'!J28*'Total Duration Tables Sup #2'!J173)*(1+'Other Assumptions'!N$45)-(J159*'Total Duration Tables Sup #1'!J16)*(1+'Other Assumptions'!N$45)*'Active Mode Assumptions'!J11*'Active Mode Assumptions'!J14-(J160*'Total Duration Tables Sup #1'!J17)*(1+'Other Assumptions'!N$45)*'Active Mode Assumptions'!J20*'Active Mode Assumptions'!J23</f>
        <v>489.42508977847541</v>
      </c>
      <c r="K18" s="4">
        <f ca="1">(K161*'Total Duration Tables Sup #1'!K18-'PT Assumptions'!K16*'Total Duration Tables Sup #2'!K170-'PT Assumptions'!K28*'Total Duration Tables Sup #2'!K173)*(1+'Other Assumptions'!O$45)-(K159*'Total Duration Tables Sup #1'!K16)*(1+'Other Assumptions'!O$45)*'Active Mode Assumptions'!K11*'Active Mode Assumptions'!K14-(K160*'Total Duration Tables Sup #1'!K17)*(1+'Other Assumptions'!O$45)*'Active Mode Assumptions'!K20*'Active Mode Assumptions'!K23</f>
        <v>504.51127596284994</v>
      </c>
    </row>
    <row r="19" spans="1:11" x14ac:dyDescent="0.2">
      <c r="A19" t="str">
        <f ca="1">OFFSET(Auckland_Reference,21,2)</f>
        <v>Light Vehicle Passenger</v>
      </c>
      <c r="B19" s="4">
        <f ca="1">(B162*'Total Duration Tables Sup #1'!B19-'PT Assumptions'!B17*'Total Duration Tables Sup #2'!B170-'PT Assumptions'!B29*'Total Duration Tables Sup #2'!B173)*(1+'Other Assumptions'!D$45)-(B159*'Total Duration Tables Sup #1'!B16)*(1+'Other Assumptions'!D$45)*'Active Mode Assumptions'!B11*'Active Mode Assumptions'!B15-(B160*'Total Duration Tables Sup #1'!B17)*(1+'Other Assumptions'!D$45)*'Active Mode Assumptions'!B20*'Active Mode Assumptions'!B24</f>
        <v>145.42645436999999</v>
      </c>
      <c r="C19" s="4">
        <f ca="1">(C162*'Total Duration Tables Sup #1'!C19-'PT Assumptions'!C17*'Total Duration Tables Sup #2'!C170-'PT Assumptions'!C29*'Total Duration Tables Sup #2'!C173)*(1+'Other Assumptions'!G$45)-(C159*'Total Duration Tables Sup #1'!C16)*(1+'Other Assumptions'!G$45)*'Active Mode Assumptions'!C11*'Active Mode Assumptions'!C15-(C160*'Total Duration Tables Sup #1'!C17)*(1+'Other Assumptions'!G$45)*'Active Mode Assumptions'!C20*'Active Mode Assumptions'!C24</f>
        <v>161.3273445947018</v>
      </c>
      <c r="D19" s="4">
        <f ca="1">(D162*'Total Duration Tables Sup #1'!D19-'PT Assumptions'!D17*'Total Duration Tables Sup #2'!D170-'PT Assumptions'!D29*'Total Duration Tables Sup #2'!D173)*(1+'Other Assumptions'!H$45)-(D159*'Total Duration Tables Sup #1'!D16)*(1+'Other Assumptions'!H$45)*'Active Mode Assumptions'!D11*'Active Mode Assumptions'!D15-(D160*'Total Duration Tables Sup #1'!D17)*(1+'Other Assumptions'!H$45)*'Active Mode Assumptions'!D20*'Active Mode Assumptions'!D24</f>
        <v>168.32900718989572</v>
      </c>
      <c r="E19" s="4">
        <f ca="1">(E162*'Total Duration Tables Sup #1'!E19-'PT Assumptions'!E17*'Total Duration Tables Sup #2'!E170-'PT Assumptions'!E29*'Total Duration Tables Sup #2'!E173)*(1+'Other Assumptions'!I$45)-(E159*'Total Duration Tables Sup #1'!E16)*(1+'Other Assumptions'!I$45)*'Active Mode Assumptions'!E11*'Active Mode Assumptions'!E15-(E160*'Total Duration Tables Sup #1'!E17)*(1+'Other Assumptions'!I$45)*'Active Mode Assumptions'!E20*'Active Mode Assumptions'!E24</f>
        <v>172.15159019376014</v>
      </c>
      <c r="F19" s="4">
        <f ca="1">(F162*'Total Duration Tables Sup #1'!F19-'PT Assumptions'!F17*'Total Duration Tables Sup #2'!F170-'PT Assumptions'!F29*'Total Duration Tables Sup #2'!F173)*(1+'Other Assumptions'!J$45)-(F159*'Total Duration Tables Sup #1'!F16)*(1+'Other Assumptions'!J$45)*'Active Mode Assumptions'!F11*'Active Mode Assumptions'!F15-(F160*'Total Duration Tables Sup #1'!F17)*(1+'Other Assumptions'!J$45)*'Active Mode Assumptions'!F20*'Active Mode Assumptions'!F24</f>
        <v>177.54773799075795</v>
      </c>
      <c r="G19" s="4">
        <f ca="1">(G162*'Total Duration Tables Sup #1'!G19-'PT Assumptions'!G17*'Total Duration Tables Sup #2'!G170-'PT Assumptions'!G29*'Total Duration Tables Sup #2'!G173)*(1+'Other Assumptions'!K$45)-(G159*'Total Duration Tables Sup #1'!G16)*(1+'Other Assumptions'!K$45)*'Active Mode Assumptions'!G11*'Active Mode Assumptions'!G15-(G160*'Total Duration Tables Sup #1'!G17)*(1+'Other Assumptions'!K$45)*'Active Mode Assumptions'!G20*'Active Mode Assumptions'!G24</f>
        <v>181.90292841635585</v>
      </c>
      <c r="H19" s="4">
        <f ca="1">(H162*'Total Duration Tables Sup #1'!H19-'PT Assumptions'!H17*'Total Duration Tables Sup #2'!H170-'PT Assumptions'!H29*'Total Duration Tables Sup #2'!H173)*(1+'Other Assumptions'!L$45)-(H159*'Total Duration Tables Sup #1'!H16)*(1+'Other Assumptions'!L$45)*'Active Mode Assumptions'!H11*'Active Mode Assumptions'!H15-(H160*'Total Duration Tables Sup #1'!H17)*(1+'Other Assumptions'!L$45)*'Active Mode Assumptions'!H20*'Active Mode Assumptions'!H24</f>
        <v>185.12063659990355</v>
      </c>
      <c r="I19" s="4">
        <f ca="1">(I162*'Total Duration Tables Sup #1'!I19-'PT Assumptions'!I17*'Total Duration Tables Sup #2'!I170-'PT Assumptions'!I29*'Total Duration Tables Sup #2'!I173)*(1+'Other Assumptions'!M$45)-(I159*'Total Duration Tables Sup #1'!I16)*(1+'Other Assumptions'!M$45)*'Active Mode Assumptions'!I11*'Active Mode Assumptions'!I15-(I160*'Total Duration Tables Sup #1'!I17)*(1+'Other Assumptions'!M$45)*'Active Mode Assumptions'!I20*'Active Mode Assumptions'!I24</f>
        <v>190.94153086160799</v>
      </c>
      <c r="J19" s="4">
        <f ca="1">(J162*'Total Duration Tables Sup #1'!J19-'PT Assumptions'!J17*'Total Duration Tables Sup #2'!J170-'PT Assumptions'!J29*'Total Duration Tables Sup #2'!J173)*(1+'Other Assumptions'!N$45)-(J159*'Total Duration Tables Sup #1'!J16)*(1+'Other Assumptions'!N$45)*'Active Mode Assumptions'!J11*'Active Mode Assumptions'!J15-(J160*'Total Duration Tables Sup #1'!J17)*(1+'Other Assumptions'!N$45)*'Active Mode Assumptions'!J20*'Active Mode Assumptions'!J24</f>
        <v>196.19146406516143</v>
      </c>
      <c r="K19" s="4">
        <f ca="1">(K162*'Total Duration Tables Sup #1'!K19-'PT Assumptions'!K17*'Total Duration Tables Sup #2'!K170-'PT Assumptions'!K29*'Total Duration Tables Sup #2'!K173)*(1+'Other Assumptions'!O$45)-(K159*'Total Duration Tables Sup #1'!K16)*(1+'Other Assumptions'!O$45)*'Active Mode Assumptions'!K11*'Active Mode Assumptions'!K15-(K160*'Total Duration Tables Sup #1'!K17)*(1+'Other Assumptions'!O$45)*'Active Mode Assumptions'!K20*'Active Mode Assumptions'!K24</f>
        <v>200.89037539969593</v>
      </c>
    </row>
    <row r="20" spans="1:11" x14ac:dyDescent="0.2">
      <c r="A20" t="str">
        <f ca="1">OFFSET(Auckland_Reference,28,2)</f>
        <v>Taxi/Vehicle Share</v>
      </c>
      <c r="B20" s="4">
        <f ca="1">B163*'Total Duration Tables Sup #1'!B20*(1+'Other Assumptions'!D$45)</f>
        <v>1.9131795197999999</v>
      </c>
      <c r="C20" s="4">
        <f ca="1">C163*'Total Duration Tables Sup #1'!C20*(1+'Other Assumptions'!G$45)</f>
        <v>2.3260921486539798</v>
      </c>
      <c r="D20" s="4">
        <f ca="1">D163*'Total Duration Tables Sup #1'!D20*(1+'Other Assumptions'!H$45)</f>
        <v>2.682966869284944</v>
      </c>
      <c r="E20" s="4">
        <f ca="1">E163*'Total Duration Tables Sup #1'!E20*(1+'Other Assumptions'!I$45)</f>
        <v>3.0130641602376556</v>
      </c>
      <c r="F20" s="4">
        <f ca="1">F163*'Total Duration Tables Sup #1'!F20*(1+'Other Assumptions'!J$45)</f>
        <v>3.3285357919065004</v>
      </c>
      <c r="G20" s="4">
        <f ca="1">G163*'Total Duration Tables Sup #1'!G20*(1+'Other Assumptions'!K$45)</f>
        <v>3.6013360099579312</v>
      </c>
      <c r="H20" s="4">
        <f ca="1">H163*'Total Duration Tables Sup #1'!H20*(1+'Other Assumptions'!L$45)</f>
        <v>3.8706935295794418</v>
      </c>
      <c r="I20" s="4">
        <f ca="1">I163*'Total Duration Tables Sup #1'!I20*(1+'Other Assumptions'!M$45)</f>
        <v>4.0250304111159165</v>
      </c>
      <c r="J20" s="4">
        <f ca="1">J163*'Total Duration Tables Sup #1'!J20*(1+'Other Assumptions'!N$45)</f>
        <v>4.1722542343746776</v>
      </c>
      <c r="K20" s="4">
        <f ca="1">K163*'Total Duration Tables Sup #1'!K20*(1+'Other Assumptions'!O$45)</f>
        <v>4.315633348498884</v>
      </c>
    </row>
    <row r="21" spans="1:11" x14ac:dyDescent="0.2">
      <c r="A21" t="str">
        <f ca="1">OFFSET(Auckland_Reference,35,2)</f>
        <v>Motorcyclist</v>
      </c>
      <c r="B21" s="4">
        <f ca="1">B164*'Total Duration Tables Sup #1'!B21*(1+'Other Assumptions'!D$45)</f>
        <v>1.5334409518000001</v>
      </c>
      <c r="C21" s="4">
        <f ca="1">C164*'Total Duration Tables Sup #1'!C21*(1+'Other Assumptions'!G$45)</f>
        <v>1.7781671753125243</v>
      </c>
      <c r="D21" s="4">
        <f ca="1">D164*'Total Duration Tables Sup #1'!D21*(1+'Other Assumptions'!H$45)</f>
        <v>1.9558522461572925</v>
      </c>
      <c r="E21" s="4">
        <f ca="1">E164*'Total Duration Tables Sup #1'!E21*(1+'Other Assumptions'!I$45)</f>
        <v>2.0689496860821261</v>
      </c>
      <c r="F21" s="4">
        <f ca="1">F164*'Total Duration Tables Sup #1'!F21*(1+'Other Assumptions'!J$45)</f>
        <v>2.1752319571804732</v>
      </c>
      <c r="G21" s="4">
        <f ca="1">G164*'Total Duration Tables Sup #1'!G21*(1+'Other Assumptions'!K$45)</f>
        <v>2.2497167059668715</v>
      </c>
      <c r="H21" s="4">
        <f ca="1">H164*'Total Duration Tables Sup #1'!H21*(1+'Other Assumptions'!L$45)</f>
        <v>2.3120981094407402</v>
      </c>
      <c r="I21" s="4">
        <f ca="1">I164*'Total Duration Tables Sup #1'!I21*(1+'Other Assumptions'!M$45)</f>
        <v>2.4209935508591802</v>
      </c>
      <c r="J21" s="4">
        <f ca="1">J164*'Total Duration Tables Sup #1'!J21*(1+'Other Assumptions'!N$45)</f>
        <v>2.5269639291756585</v>
      </c>
      <c r="K21" s="4">
        <f ca="1">K164*'Total Duration Tables Sup #1'!K21*(1+'Other Assumptions'!O$45)</f>
        <v>2.6319142593032314</v>
      </c>
    </row>
    <row r="22" spans="1:11" x14ac:dyDescent="0.2">
      <c r="A22" t="str">
        <f ca="1">OFFSET(Auckland_Reference,42,2)</f>
        <v>Local Train</v>
      </c>
      <c r="B22" s="4">
        <f ca="1">'Total Duration Tables Sup #1'!B22*(1+'PT Assumptions'!B11)*(1+'Other Assumptions'!D$45)</f>
        <v>5.3839181294388831</v>
      </c>
      <c r="C22" s="4">
        <f ca="1">'Total Duration Tables Sup #1'!C22*(1+'PT Assumptions'!C11)*(1+'Other Assumptions'!G$45)</f>
        <v>11.231115861843003</v>
      </c>
      <c r="D22" s="4">
        <f ca="1">'Total Duration Tables Sup #1'!D22*(1+'PT Assumptions'!D11)*(1+'Other Assumptions'!H$45)</f>
        <v>22.921360438782326</v>
      </c>
      <c r="E22" s="4">
        <f ca="1">'Total Duration Tables Sup #1'!E22*(1+'PT Assumptions'!E11)*(1+'Other Assumptions'!I$45)</f>
        <v>34.611605015721651</v>
      </c>
      <c r="F22" s="4">
        <f ca="1">'Total Duration Tables Sup #1'!F22*(1+'PT Assumptions'!F11)*(1+'Other Assumptions'!J$45)</f>
        <v>40.548786576885853</v>
      </c>
      <c r="G22" s="4">
        <f ca="1">'Total Duration Tables Sup #1'!G22*(1+'PT Assumptions'!G11)*(1+'Other Assumptions'!K$45)</f>
        <v>46.485968138050055</v>
      </c>
      <c r="H22" s="4">
        <f ca="1">'Total Duration Tables Sup #1'!H22*(1+'PT Assumptions'!H11)*(1+'Other Assumptions'!L$45)</f>
        <v>52.42314969921425</v>
      </c>
      <c r="I22" s="4">
        <f ca="1">'Total Duration Tables Sup #1'!I22*(1+'PT Assumptions'!I11)*(1+'Other Assumptions'!M$45)</f>
        <v>58.360331260378452</v>
      </c>
      <c r="J22" s="4">
        <f ca="1">'Total Duration Tables Sup #1'!J22*(1+'PT Assumptions'!J11)*(1+'Other Assumptions'!N$45)</f>
        <v>64.677849838484633</v>
      </c>
      <c r="K22" s="4">
        <f ca="1">'Total Duration Tables Sup #1'!K22*(1+'PT Assumptions'!K11)*(1+'Other Assumptions'!O$45)</f>
        <v>71.679241179523743</v>
      </c>
    </row>
    <row r="23" spans="1:11" x14ac:dyDescent="0.2">
      <c r="A23" t="str">
        <f ca="1">OFFSET(Auckland_Reference,49,2)</f>
        <v>Local Bus</v>
      </c>
      <c r="B23" s="4">
        <f ca="1">'Total Duration Tables Sup #1'!B23*(1+'PT Assumptions'!B23)*(1+'Other Assumptions'!D$45)</f>
        <v>22.597670440041398</v>
      </c>
      <c r="C23" s="4">
        <f ca="1">'Total Duration Tables Sup #1'!C23*(1+'PT Assumptions'!C23)*(1+'Other Assumptions'!G$45)</f>
        <v>25.051866515674377</v>
      </c>
      <c r="D23" s="4">
        <f ca="1">'Total Duration Tables Sup #1'!D23*(1+'PT Assumptions'!D23)*(1+'Other Assumptions'!H$45)</f>
        <v>33.945906125518299</v>
      </c>
      <c r="E23" s="4">
        <f ca="1">'Total Duration Tables Sup #1'!E23*(1+'PT Assumptions'!E23)*(1+'Other Assumptions'!I$45)</f>
        <v>42.839945735362214</v>
      </c>
      <c r="F23" s="4">
        <f ca="1">'Total Duration Tables Sup #1'!F23*(1+'PT Assumptions'!F23)*(1+'Other Assumptions'!J$45)</f>
        <v>48.305336165204189</v>
      </c>
      <c r="G23" s="4">
        <f ca="1">'Total Duration Tables Sup #1'!G23*(1+'PT Assumptions'!G23)*(1+'Other Assumptions'!K$45)</f>
        <v>53.770726595046149</v>
      </c>
      <c r="H23" s="4">
        <f ca="1">'Total Duration Tables Sup #1'!H23*(1+'PT Assumptions'!H23)*(1+'Other Assumptions'!L$45)</f>
        <v>59.236117024888109</v>
      </c>
      <c r="I23" s="4">
        <f ca="1">'Total Duration Tables Sup #1'!I23*(1+'PT Assumptions'!I23)*(1+'Other Assumptions'!M$45)</f>
        <v>64.701507454730077</v>
      </c>
      <c r="J23" s="4">
        <f ca="1">'Total Duration Tables Sup #1'!J23*(1+'PT Assumptions'!J23)*(1+'Other Assumptions'!N$45)</f>
        <v>70.455197281158135</v>
      </c>
      <c r="K23" s="4">
        <f ca="1">'Total Duration Tables Sup #1'!K23*(1+'PT Assumptions'!K23)*(1+'Other Assumptions'!O$45)</f>
        <v>76.720543604027242</v>
      </c>
    </row>
    <row r="24" spans="1:11" x14ac:dyDescent="0.2">
      <c r="A24" t="str">
        <f ca="1">OFFSET(Auckland_Reference,56,2)</f>
        <v>Local Ferry</v>
      </c>
      <c r="B24" s="4">
        <f ca="1">B167*'Total Duration Tables Sup #1'!B24*(1+'PT Assumptions'!B34)*(1+'Other Assumptions'!D$45)</f>
        <v>1.3948644118033415</v>
      </c>
      <c r="C24" s="4">
        <f ca="1">C167*'Total Duration Tables Sup #1'!C24*(1+'PT Assumptions'!C34)*(1+'Other Assumptions'!G$45)</f>
        <v>1.6612063486495077</v>
      </c>
      <c r="D24" s="4">
        <f ca="1">D167*'Total Duration Tables Sup #1'!D24*(1+'PT Assumptions'!D34)*(1+'Other Assumptions'!H$45)</f>
        <v>1.8646340039283227</v>
      </c>
      <c r="E24" s="4">
        <f ca="1">E167*'Total Duration Tables Sup #1'!E24*(1+'PT Assumptions'!E34)*(1+'Other Assumptions'!I$45)</f>
        <v>2.0230273893941488</v>
      </c>
      <c r="F24" s="4">
        <f ca="1">F167*'Total Duration Tables Sup #1'!F24*(1+'PT Assumptions'!F34)*(1+'Other Assumptions'!J$45)</f>
        <v>2.1683508155876039</v>
      </c>
      <c r="G24" s="4">
        <f ca="1">G167*'Total Duration Tables Sup #1'!G24*(1+'PT Assumptions'!G34)*(1+'Other Assumptions'!K$45)</f>
        <v>2.3572644298088012</v>
      </c>
      <c r="H24" s="4">
        <f ca="1">H167*'Total Duration Tables Sup #1'!H24*(1+'PT Assumptions'!H34)*(1+'Other Assumptions'!L$45)</f>
        <v>2.5396203350493005</v>
      </c>
      <c r="I24" s="4">
        <f ca="1">I167*'Total Duration Tables Sup #1'!I24*(1+'PT Assumptions'!I34)*(1+'Other Assumptions'!M$45)</f>
        <v>2.6070895726409695</v>
      </c>
      <c r="J24" s="4">
        <f ca="1">J167*'Total Duration Tables Sup #1'!J24*(1+'PT Assumptions'!J34)*(1+'Other Assumptions'!N$45)</f>
        <v>2.6684579531455599</v>
      </c>
      <c r="K24" s="4">
        <f ca="1">K167*'Total Duration Tables Sup #1'!K24*(1+'PT Assumptions'!K34)*(1+'Other Assumptions'!O$45)</f>
        <v>2.7260411235739519</v>
      </c>
    </row>
    <row r="25" spans="1:11" x14ac:dyDescent="0.2">
      <c r="A25" t="str">
        <f ca="1">OFFSET(Auckland_Reference,63,2)</f>
        <v>Other Household Travel</v>
      </c>
      <c r="B25" s="4">
        <f ca="1">B168*'Total Duration Tables Sup #1'!B25*(1+'Other Assumptions'!D$45)</f>
        <v>2.4325058500000001</v>
      </c>
      <c r="C25" s="4">
        <f ca="1">C168*'Total Duration Tables Sup #1'!C25*(1+'Other Assumptions'!G$45)</f>
        <v>2.8239882643276148</v>
      </c>
      <c r="D25" s="4">
        <f ca="1">D168*'Total Duration Tables Sup #1'!D25*(1+'Other Assumptions'!H$45)</f>
        <v>3.1356630194166648</v>
      </c>
      <c r="E25" s="4">
        <f ca="1">E168*'Total Duration Tables Sup #1'!E25*(1+'Other Assumptions'!I$45)</f>
        <v>3.3514793513518062</v>
      </c>
      <c r="F25" s="4">
        <f ca="1">F168*'Total Duration Tables Sup #1'!F25*(1+'Other Assumptions'!J$45)</f>
        <v>3.5543191279608091</v>
      </c>
      <c r="G25" s="4">
        <f ca="1">G168*'Total Duration Tables Sup #1'!G25*(1+'Other Assumptions'!K$45)</f>
        <v>3.7861112875260363</v>
      </c>
      <c r="H25" s="4">
        <f ca="1">H168*'Total Duration Tables Sup #1'!H25*(1+'Other Assumptions'!L$45)</f>
        <v>4.0061492052915062</v>
      </c>
      <c r="I25" s="4">
        <f ca="1">I168*'Total Duration Tables Sup #1'!I25*(1+'Other Assumptions'!M$45)</f>
        <v>4.1599370285550057</v>
      </c>
      <c r="J25" s="4">
        <f ca="1">J168*'Total Duration Tables Sup #1'!J25*(1+'Other Assumptions'!N$45)</f>
        <v>4.3061112342499985</v>
      </c>
      <c r="K25" s="4">
        <f ca="1">K168*'Total Duration Tables Sup #1'!K25*(1+'Other Assumptions'!O$45)</f>
        <v>4.4480874987756174</v>
      </c>
    </row>
    <row r="26" spans="1:11" x14ac:dyDescent="0.2">
      <c r="A26" t="str">
        <f ca="1">OFFSET(Waikato_Reference,0,0)</f>
        <v>03 WAIKATO</v>
      </c>
    </row>
    <row r="27" spans="1:11" x14ac:dyDescent="0.2">
      <c r="A27" t="str">
        <f ca="1">OFFSET(Waikato_Reference,0,2)</f>
        <v>Pedestrian</v>
      </c>
      <c r="B27" s="4">
        <f ca="1">B159*'Total Duration Tables Sup #1'!B27*(1+'Other Assumptions'!D$46)*(1+'Active Mode Assumptions'!B11)</f>
        <v>13.69170819</v>
      </c>
      <c r="C27" s="4">
        <f ca="1">C159*'Total Duration Tables Sup #1'!C27*(1+'Other Assumptions'!G$46)*(1+'Active Mode Assumptions'!C11)</f>
        <v>14.944277679399901</v>
      </c>
      <c r="D27" s="4">
        <f ca="1">D159*'Total Duration Tables Sup #1'!D27*(1+'Other Assumptions'!H$46)*(1+'Active Mode Assumptions'!D11)</f>
        <v>15.642080894051073</v>
      </c>
      <c r="E27" s="4">
        <f ca="1">E159*'Total Duration Tables Sup #1'!E27*(1+'Other Assumptions'!I$46)*(1+'Active Mode Assumptions'!E11)</f>
        <v>16.156546772439022</v>
      </c>
      <c r="F27" s="4">
        <f ca="1">F159*'Total Duration Tables Sup #1'!F27*(1+'Other Assumptions'!J$46)*(1+'Active Mode Assumptions'!F11)</f>
        <v>16.511587824983</v>
      </c>
      <c r="G27" s="4">
        <f ca="1">G159*'Total Duration Tables Sup #1'!G27*(1+'Other Assumptions'!K$46)*(1+'Active Mode Assumptions'!G11)</f>
        <v>16.807169621103437</v>
      </c>
      <c r="H27" s="4">
        <f ca="1">H159*'Total Duration Tables Sup #1'!H27*(1+'Other Assumptions'!L$46)*(1+'Active Mode Assumptions'!H11)</f>
        <v>17.031955933076414</v>
      </c>
      <c r="I27" s="4">
        <f ca="1">I159*'Total Duration Tables Sup #1'!I27*(1+'Other Assumptions'!M$46)*(1+'Active Mode Assumptions'!I11)</f>
        <v>17.380636190698763</v>
      </c>
      <c r="J27" s="4">
        <f ca="1">J159*'Total Duration Tables Sup #1'!J27*(1+'Other Assumptions'!N$46)*(1+'Active Mode Assumptions'!J11)</f>
        <v>17.680176115498057</v>
      </c>
      <c r="K27" s="4">
        <f ca="1">K159*'Total Duration Tables Sup #1'!K27*(1+'Other Assumptions'!O$46)*(1+'Active Mode Assumptions'!K11)</f>
        <v>17.946406532554686</v>
      </c>
    </row>
    <row r="28" spans="1:11" x14ac:dyDescent="0.2">
      <c r="A28" t="str">
        <f ca="1">OFFSET(Waikato_Reference,7,2)</f>
        <v>Cyclist</v>
      </c>
      <c r="B28" s="4">
        <f ca="1">B160*'Total Duration Tables Sup #1'!B28*(1+'Other Assumptions'!D$46)*(1+'Active Mode Assumptions'!B20)</f>
        <v>1.7805943500000001</v>
      </c>
      <c r="C28" s="4">
        <f ca="1">C160*'Total Duration Tables Sup #1'!C28*(1+'Other Assumptions'!G$46)*(1+'Active Mode Assumptions'!C20)</f>
        <v>1.9950178770760518</v>
      </c>
      <c r="D28" s="4">
        <f ca="1">D160*'Total Duration Tables Sup #1'!D28*(1+'Other Assumptions'!H$46)*(1+'Active Mode Assumptions'!D20)</f>
        <v>2.1105658460223147</v>
      </c>
      <c r="E28" s="4">
        <f ca="1">E160*'Total Duration Tables Sup #1'!E28*(1+'Other Assumptions'!I$46)*(1+'Active Mode Assumptions'!E20)</f>
        <v>2.1762472809465279</v>
      </c>
      <c r="F28" s="4">
        <f ca="1">F160*'Total Duration Tables Sup #1'!F28*(1+'Other Assumptions'!J$46)*(1+'Active Mode Assumptions'!F20)</f>
        <v>2.2543385297495671</v>
      </c>
      <c r="G28" s="4">
        <f ca="1">G160*'Total Duration Tables Sup #1'!G28*(1+'Other Assumptions'!K$46)*(1+'Active Mode Assumptions'!G20)</f>
        <v>2.3525536107161935</v>
      </c>
      <c r="H28" s="4">
        <f ca="1">H160*'Total Duration Tables Sup #1'!H28*(1+'Other Assumptions'!L$46)*(1+'Active Mode Assumptions'!H20)</f>
        <v>2.4492878937012663</v>
      </c>
      <c r="I28" s="4">
        <f ca="1">I160*'Total Duration Tables Sup #1'!I28*(1+'Other Assumptions'!M$46)*(1+'Active Mode Assumptions'!I20)</f>
        <v>2.5113366904668433</v>
      </c>
      <c r="J28" s="4">
        <f ca="1">J160*'Total Duration Tables Sup #1'!J28*(1+'Other Assumptions'!N$46)*(1+'Active Mode Assumptions'!J20)</f>
        <v>2.5669054381725118</v>
      </c>
      <c r="K28" s="4">
        <f ca="1">K160*'Total Duration Tables Sup #1'!K28*(1+'Other Assumptions'!O$46)*(1+'Active Mode Assumptions'!K20)</f>
        <v>2.6182091459922603</v>
      </c>
    </row>
    <row r="29" spans="1:11" x14ac:dyDescent="0.2">
      <c r="A29" t="str">
        <f ca="1">OFFSET(Waikato_Reference,14,2)</f>
        <v>Light Vehicle Driver</v>
      </c>
      <c r="B29" s="4">
        <f ca="1">B161*'Total Duration Tables Sup #1'!B29*(1+'Other Assumptions'!D$46)-(B27*'Active Mode Assumptions'!B11*'Active Mode Assumptions'!B14/(1+'Active Mode Assumptions'!B11))-(B28*'Active Mode Assumptions'!B20*'Active Mode Assumptions'!B23/(1+'Active Mode Assumptions'!B20))</f>
        <v>82.274552721999996</v>
      </c>
      <c r="C29" s="4">
        <f ca="1">C161*'Total Duration Tables Sup #1'!C29*(1+'Other Assumptions'!G$46)-(C27*'Active Mode Assumptions'!C11*'Active Mode Assumptions'!C14/(1+'Active Mode Assumptions'!C11))-(C28*'Active Mode Assumptions'!C20*'Active Mode Assumptions'!C23/(1+'Active Mode Assumptions'!C20))</f>
        <v>93.040518374590633</v>
      </c>
      <c r="D29" s="4">
        <f ca="1">D161*'Total Duration Tables Sup #1'!D29*(1+'Other Assumptions'!H$46)-(D27*'Active Mode Assumptions'!D11*'Active Mode Assumptions'!D14/(1+'Active Mode Assumptions'!D11))-(D28*'Active Mode Assumptions'!D20*'Active Mode Assumptions'!D23/(1+'Active Mode Assumptions'!D20))</f>
        <v>99.45585355310196</v>
      </c>
      <c r="E29" s="4">
        <f ca="1">E161*'Total Duration Tables Sup #1'!E29*(1+'Other Assumptions'!I$46)-(E27*'Active Mode Assumptions'!E11*'Active Mode Assumptions'!E14/(1+'Active Mode Assumptions'!E11))-(E28*'Active Mode Assumptions'!E20*'Active Mode Assumptions'!E23/(1+'Active Mode Assumptions'!E20))</f>
        <v>103.74262028529917</v>
      </c>
      <c r="F29" s="4">
        <f ca="1">F161*'Total Duration Tables Sup #1'!F29*(1+'Other Assumptions'!J$46)-(F27*'Active Mode Assumptions'!F11*'Active Mode Assumptions'!F14/(1+'Active Mode Assumptions'!F11))-(F28*'Active Mode Assumptions'!F20*'Active Mode Assumptions'!F23/(1+'Active Mode Assumptions'!F20))</f>
        <v>107.67274352424087</v>
      </c>
      <c r="G29" s="4">
        <f ca="1">G161*'Total Duration Tables Sup #1'!G29*(1+'Other Assumptions'!K$46)-(G27*'Active Mode Assumptions'!G11*'Active Mode Assumptions'!G14/(1+'Active Mode Assumptions'!G11))-(G28*'Active Mode Assumptions'!G20*'Active Mode Assumptions'!G23/(1+'Active Mode Assumptions'!G20))</f>
        <v>110.72332990961043</v>
      </c>
      <c r="H29" s="4">
        <f ca="1">H161*'Total Duration Tables Sup #1'!H29*(1+'Other Assumptions'!L$46)-(H27*'Active Mode Assumptions'!H11*'Active Mode Assumptions'!H14/(1+'Active Mode Assumptions'!H11))-(H28*'Active Mode Assumptions'!H20*'Active Mode Assumptions'!H23/(1+'Active Mode Assumptions'!H20))</f>
        <v>113.40092841463088</v>
      </c>
      <c r="I29" s="4">
        <f ca="1">I161*'Total Duration Tables Sup #1'!I29*(1+'Other Assumptions'!M$46)-(I27*'Active Mode Assumptions'!I11*'Active Mode Assumptions'!I14/(1+'Active Mode Assumptions'!I11))-(I28*'Active Mode Assumptions'!I20*'Active Mode Assumptions'!I23/(1+'Active Mode Assumptions'!I20))</f>
        <v>115.6750864294636</v>
      </c>
      <c r="J29" s="4">
        <f ca="1">J161*'Total Duration Tables Sup #1'!J29*(1+'Other Assumptions'!N$46)-(J27*'Active Mode Assumptions'!J11*'Active Mode Assumptions'!J14/(1+'Active Mode Assumptions'!J11))-(J28*'Active Mode Assumptions'!J20*'Active Mode Assumptions'!J23/(1+'Active Mode Assumptions'!J20))</f>
        <v>117.62070645485356</v>
      </c>
      <c r="K29" s="4">
        <f ca="1">K161*'Total Duration Tables Sup #1'!K29*(1+'Other Assumptions'!O$46)-(K27*'Active Mode Assumptions'!K11*'Active Mode Assumptions'!K14/(1+'Active Mode Assumptions'!K11))-(K28*'Active Mode Assumptions'!K20*'Active Mode Assumptions'!K23/(1+'Active Mode Assumptions'!K20))</f>
        <v>119.34354225134184</v>
      </c>
    </row>
    <row r="30" spans="1:11" x14ac:dyDescent="0.2">
      <c r="A30" t="str">
        <f ca="1">OFFSET(Waikato_Reference,21,2)</f>
        <v>Light Vehicle Passenger</v>
      </c>
      <c r="B30" s="4">
        <f ca="1">B162*'Total Duration Tables Sup #1'!B30*(1+'Other Assumptions'!D$46)-(B27*'Active Mode Assumptions'!B11*'Active Mode Assumptions'!B15/(1+'Active Mode Assumptions'!B11))-(B28*'Active Mode Assumptions'!B20*'Active Mode Assumptions'!B24/(1+'Active Mode Assumptions'!B20))</f>
        <v>42.037273755000001</v>
      </c>
      <c r="C30" s="4">
        <f ca="1">C162*'Total Duration Tables Sup #1'!C30*(1+'Other Assumptions'!G$46)-(C27*'Active Mode Assumptions'!C11*'Active Mode Assumptions'!C15/(1+'Active Mode Assumptions'!C11))-(C28*'Active Mode Assumptions'!C20*'Active Mode Assumptions'!C24/(1+'Active Mode Assumptions'!C20))</f>
        <v>45.447764561230272</v>
      </c>
      <c r="D30" s="4">
        <f ca="1">D162*'Total Duration Tables Sup #1'!D30*(1+'Other Assumptions'!H$46)-(D27*'Active Mode Assumptions'!D11*'Active Mode Assumptions'!D15/(1+'Active Mode Assumptions'!D11))-(D28*'Active Mode Assumptions'!D20*'Active Mode Assumptions'!D24/(1+'Active Mode Assumptions'!D20))</f>
        <v>47.355747844454456</v>
      </c>
      <c r="E30" s="4">
        <f ca="1">E162*'Total Duration Tables Sup #1'!E30*(1+'Other Assumptions'!I$46)-(E27*'Active Mode Assumptions'!E11*'Active Mode Assumptions'!E15/(1+'Active Mode Assumptions'!E11))-(E28*'Active Mode Assumptions'!E20*'Active Mode Assumptions'!E24/(1+'Active Mode Assumptions'!E20))</f>
        <v>48.65147327159027</v>
      </c>
      <c r="F30" s="4">
        <f ca="1">F162*'Total Duration Tables Sup #1'!F30*(1+'Other Assumptions'!J$46)-(F27*'Active Mode Assumptions'!F11*'Active Mode Assumptions'!F15/(1+'Active Mode Assumptions'!F11))-(F28*'Active Mode Assumptions'!F20*'Active Mode Assumptions'!F24/(1+'Active Mode Assumptions'!F20))</f>
        <v>49.672130534891956</v>
      </c>
      <c r="G30" s="4">
        <f ca="1">G162*'Total Duration Tables Sup #1'!G30*(1+'Other Assumptions'!K$46)-(G27*'Active Mode Assumptions'!G11*'Active Mode Assumptions'!G15/(1+'Active Mode Assumptions'!G11))-(G28*'Active Mode Assumptions'!G20*'Active Mode Assumptions'!G24/(1+'Active Mode Assumptions'!G20))</f>
        <v>50.455941972622071</v>
      </c>
      <c r="H30" s="4">
        <f ca="1">H162*'Total Duration Tables Sup #1'!H30*(1+'Other Assumptions'!L$46)-(H27*'Active Mode Assumptions'!H11*'Active Mode Assumptions'!H15/(1+'Active Mode Assumptions'!H11))-(H28*'Active Mode Assumptions'!H20*'Active Mode Assumptions'!H24/(1+'Active Mode Assumptions'!H20))</f>
        <v>50.993407202542265</v>
      </c>
      <c r="I30" s="4">
        <f ca="1">I162*'Total Duration Tables Sup #1'!I30*(1+'Other Assumptions'!M$46)-(I27*'Active Mode Assumptions'!I11*'Active Mode Assumptions'!I15/(1+'Active Mode Assumptions'!I11))-(I28*'Active Mode Assumptions'!I20*'Active Mode Assumptions'!I24/(1+'Active Mode Assumptions'!I20))</f>
        <v>52.067531366369074</v>
      </c>
      <c r="J30" s="4">
        <f ca="1">J162*'Total Duration Tables Sup #1'!J30*(1+'Other Assumptions'!N$46)-(J27*'Active Mode Assumptions'!J11*'Active Mode Assumptions'!J15/(1+'Active Mode Assumptions'!J11))-(J28*'Active Mode Assumptions'!J20*'Active Mode Assumptions'!J24/(1+'Active Mode Assumptions'!J20))</f>
        <v>52.995435144444698</v>
      </c>
      <c r="K30" s="4">
        <f ca="1">K162*'Total Duration Tables Sup #1'!K30*(1+'Other Assumptions'!O$46)-(K27*'Active Mode Assumptions'!K11*'Active Mode Assumptions'!K15/(1+'Active Mode Assumptions'!K11))-(K28*'Active Mode Assumptions'!K20*'Active Mode Assumptions'!K24/(1+'Active Mode Assumptions'!K20))</f>
        <v>53.824341454055471</v>
      </c>
    </row>
    <row r="31" spans="1:11" x14ac:dyDescent="0.2">
      <c r="A31" t="str">
        <f ca="1">OFFSET(Waikato_Reference,28,2)</f>
        <v>Taxi/Vehicle Share</v>
      </c>
      <c r="B31" s="4">
        <f ca="1">B163*'Total Duration Tables Sup #1'!B31*(1+'Other Assumptions'!D$46)</f>
        <v>0.1633822556</v>
      </c>
      <c r="C31" s="4">
        <f ca="1">C163*'Total Duration Tables Sup #1'!C31*(1+'Other Assumptions'!G$46)</f>
        <v>0.19199659705308389</v>
      </c>
      <c r="D31" s="4">
        <f ca="1">D163*'Total Duration Tables Sup #1'!D31*(1+'Other Assumptions'!H$46)</f>
        <v>0.2138652152748485</v>
      </c>
      <c r="E31" s="4">
        <f ca="1">E163*'Total Duration Tables Sup #1'!E31*(1+'Other Assumptions'!I$46)</f>
        <v>0.23398629327267964</v>
      </c>
      <c r="F31" s="4">
        <f ca="1">F163*'Total Duration Tables Sup #1'!F31*(1+'Other Assumptions'!J$46)</f>
        <v>0.25227469058782209</v>
      </c>
      <c r="G31" s="4">
        <f ca="1">G163*'Total Duration Tables Sup #1'!G31*(1+'Other Assumptions'!K$46)</f>
        <v>0.26689877574992577</v>
      </c>
      <c r="H31" s="4">
        <f ca="1">H163*'Total Duration Tables Sup #1'!H31*(1+'Other Assumptions'!L$46)</f>
        <v>0.28089400873271042</v>
      </c>
      <c r="I31" s="4">
        <f ca="1">I163*'Total Duration Tables Sup #1'!I31*(1+'Other Assumptions'!M$46)</f>
        <v>0.28601815915065454</v>
      </c>
      <c r="J31" s="4">
        <f ca="1">J163*'Total Duration Tables Sup #1'!J31*(1+'Other Assumptions'!N$46)</f>
        <v>0.2903126477518112</v>
      </c>
      <c r="K31" s="4">
        <f ca="1">K163*'Total Duration Tables Sup #1'!K31*(1+'Other Assumptions'!O$46)</f>
        <v>0.29404275589871709</v>
      </c>
    </row>
    <row r="32" spans="1:11" x14ac:dyDescent="0.2">
      <c r="A32" t="str">
        <f ca="1">OFFSET(Waikato_Reference,35,2)</f>
        <v>Motorcyclist</v>
      </c>
      <c r="B32" s="4">
        <f ca="1">B164*'Total Duration Tables Sup #1'!B32*(1+'Other Assumptions'!D$46)</f>
        <v>0.60639269429999998</v>
      </c>
      <c r="C32" s="4">
        <f ca="1">C164*'Total Duration Tables Sup #1'!C32*(1+'Other Assumptions'!G$46)</f>
        <v>0.67963688969697489</v>
      </c>
      <c r="D32" s="4">
        <f ca="1">D164*'Total Duration Tables Sup #1'!D32*(1+'Other Assumptions'!H$46)</f>
        <v>0.72193587785999846</v>
      </c>
      <c r="E32" s="4">
        <f ca="1">E164*'Total Duration Tables Sup #1'!E32*(1+'Other Assumptions'!I$46)</f>
        <v>0.74399446750984599</v>
      </c>
      <c r="F32" s="4">
        <f ca="1">F164*'Total Duration Tables Sup #1'!F32*(1+'Other Assumptions'!J$46)</f>
        <v>0.76342040664971267</v>
      </c>
      <c r="G32" s="4">
        <f ca="1">G164*'Total Duration Tables Sup #1'!G32*(1+'Other Assumptions'!K$46)</f>
        <v>0.7720554805983677</v>
      </c>
      <c r="H32" s="4">
        <f ca="1">H164*'Total Duration Tables Sup #1'!H32*(1+'Other Assumptions'!L$46)</f>
        <v>0.77695825801807339</v>
      </c>
      <c r="I32" s="4">
        <f ca="1">I164*'Total Duration Tables Sup #1'!I32*(1+'Other Assumptions'!M$46)</f>
        <v>0.79662845028122198</v>
      </c>
      <c r="J32" s="4">
        <f ca="1">J164*'Total Duration Tables Sup #1'!J32*(1+'Other Assumptions'!N$46)</f>
        <v>0.81420164238532955</v>
      </c>
      <c r="K32" s="4">
        <f ca="1">K164*'Total Duration Tables Sup #1'!K32*(1+'Other Assumptions'!O$46)</f>
        <v>0.83037720737314846</v>
      </c>
    </row>
    <row r="33" spans="1:11" x14ac:dyDescent="0.2">
      <c r="A33" t="str">
        <f ca="1">OFFSET(Waikato_Reference,42,2)</f>
        <v>Local Train</v>
      </c>
      <c r="B33" s="4">
        <f ca="1">B165*'Total Duration Tables Sup #1'!B33*(1+'Other Assumptions'!D$46)</f>
        <v>0</v>
      </c>
      <c r="C33" s="4">
        <f ca="1">C165*'Total Duration Tables Sup #1'!C33*(1+'Other Assumptions'!G$46)</f>
        <v>0</v>
      </c>
      <c r="D33" s="4">
        <f ca="1">D165*'Total Duration Tables Sup #1'!D33*(1+'Other Assumptions'!H$46)</f>
        <v>0</v>
      </c>
      <c r="E33" s="4">
        <f ca="1">E165*'Total Duration Tables Sup #1'!E33*(1+'Other Assumptions'!I$46)</f>
        <v>0</v>
      </c>
      <c r="F33" s="4">
        <f ca="1">F165*'Total Duration Tables Sup #1'!F33*(1+'Other Assumptions'!J$46)</f>
        <v>0</v>
      </c>
      <c r="G33" s="4">
        <f ca="1">G165*'Total Duration Tables Sup #1'!G33*(1+'Other Assumptions'!K$46)</f>
        <v>0</v>
      </c>
      <c r="H33" s="4">
        <f ca="1">H165*'Total Duration Tables Sup #1'!H33*(1+'Other Assumptions'!L$46)</f>
        <v>0</v>
      </c>
      <c r="I33" s="4">
        <f ca="1">I165*'Total Duration Tables Sup #1'!I33*(1+'Other Assumptions'!M$46)</f>
        <v>0</v>
      </c>
      <c r="J33" s="4">
        <f ca="1">J165*'Total Duration Tables Sup #1'!J33*(1+'Other Assumptions'!N$46)</f>
        <v>0</v>
      </c>
      <c r="K33" s="4">
        <f ca="1">K165*'Total Duration Tables Sup #1'!K33*(1+'Other Assumptions'!O$46)</f>
        <v>0</v>
      </c>
    </row>
    <row r="34" spans="1:11" x14ac:dyDescent="0.2">
      <c r="A34" t="str">
        <f ca="1">OFFSET(Waikato_Reference,49,2)</f>
        <v>Local Bus</v>
      </c>
      <c r="B34" s="4">
        <f ca="1">B166*'Total Duration Tables Sup #1'!B34*(1+'Other Assumptions'!D$46)</f>
        <v>2.2088814398999999</v>
      </c>
      <c r="C34" s="4">
        <f ca="1">C166*'Total Duration Tables Sup #1'!C34*(1+'Other Assumptions'!G$46)</f>
        <v>2.2437748580025585</v>
      </c>
      <c r="D34" s="4">
        <f ca="1">D166*'Total Duration Tables Sup #1'!D34*(1+'Other Assumptions'!H$46)</f>
        <v>2.2457698926102139</v>
      </c>
      <c r="E34" s="4">
        <f ca="1">E166*'Total Duration Tables Sup #1'!E34*(1+'Other Assumptions'!I$46)</f>
        <v>2.2520383231018339</v>
      </c>
      <c r="F34" s="4">
        <f ca="1">F166*'Total Duration Tables Sup #1'!F34*(1+'Other Assumptions'!J$46)</f>
        <v>2.2309674469081728</v>
      </c>
      <c r="G34" s="4">
        <f ca="1">G166*'Total Duration Tables Sup #1'!G34*(1+'Other Assumptions'!K$46)</f>
        <v>2.2243432665147411</v>
      </c>
      <c r="H34" s="4">
        <f ca="1">H166*'Total Duration Tables Sup #1'!H34*(1+'Other Assumptions'!L$46)</f>
        <v>2.207283161451167</v>
      </c>
      <c r="I34" s="4">
        <f ca="1">I166*'Total Duration Tables Sup #1'!I34*(1+'Other Assumptions'!M$46)</f>
        <v>2.2568175714939809</v>
      </c>
      <c r="J34" s="4">
        <f ca="1">J166*'Total Duration Tables Sup #1'!J34*(1+'Other Assumptions'!N$46)</f>
        <v>2.3001290908045742</v>
      </c>
      <c r="K34" s="4">
        <f ca="1">K166*'Total Duration Tables Sup #1'!K34*(1+'Other Assumptions'!O$46)</f>
        <v>2.3392441411648872</v>
      </c>
    </row>
    <row r="35" spans="1:11" x14ac:dyDescent="0.2">
      <c r="A35" t="str">
        <f ca="1">OFFSET(Waikato_Reference,56,2)</f>
        <v>Local Ferry</v>
      </c>
      <c r="B35" s="4">
        <f ca="1">B167*'Total Duration Tables Sup #1'!B35*(1+'Other Assumptions'!D$46)</f>
        <v>9.334266179999999E-2</v>
      </c>
      <c r="C35" s="4">
        <f ca="1">C167*'Total Duration Tables Sup #1'!C35*(1+'Other Assumptions'!G$46)</f>
        <v>0.10744574490935321</v>
      </c>
      <c r="D35" s="4">
        <f ca="1">D167*'Total Duration Tables Sup #1'!D35*(1+'Other Assumptions'!H$46)</f>
        <v>0.11647090936558825</v>
      </c>
      <c r="E35" s="4">
        <f ca="1">E167*'Total Duration Tables Sup #1'!E35*(1+'Other Assumptions'!I$46)</f>
        <v>0.1231070213888321</v>
      </c>
      <c r="F35" s="4">
        <f ca="1">F167*'Total Duration Tables Sup #1'!F35*(1+'Other Assumptions'!J$46)</f>
        <v>0.12878017816078829</v>
      </c>
      <c r="G35" s="4">
        <f ca="1">G167*'Total Duration Tables Sup #1'!G35*(1+'Other Assumptions'!K$46)</f>
        <v>0.1368958441294611</v>
      </c>
      <c r="H35" s="4">
        <f ca="1">H167*'Total Duration Tables Sup #1'!H35*(1+'Other Assumptions'!L$46)</f>
        <v>0.14441806059302145</v>
      </c>
      <c r="I35" s="4">
        <f ca="1">I167*'Total Duration Tables Sup #1'!I35*(1+'Other Assumptions'!M$46)</f>
        <v>0.14517084901572247</v>
      </c>
      <c r="J35" s="4">
        <f ca="1">J167*'Total Duration Tables Sup #1'!J35*(1+'Other Assumptions'!N$46)</f>
        <v>0.14549718122730915</v>
      </c>
      <c r="K35" s="4">
        <f ca="1">K167*'Total Duration Tables Sup #1'!K35*(1+'Other Assumptions'!O$46)</f>
        <v>0.14554502673125025</v>
      </c>
    </row>
    <row r="36" spans="1:11" x14ac:dyDescent="0.2">
      <c r="A36" t="str">
        <f ca="1">OFFSET(Waikato_Reference,63,2)</f>
        <v>Other Household Travel</v>
      </c>
      <c r="B36" s="4">
        <f ca="1">B168*'Total Duration Tables Sup #1'!B36*(1+'Other Assumptions'!D$46)</f>
        <v>0.63404452519999999</v>
      </c>
      <c r="C36" s="4">
        <f ca="1">C168*'Total Duration Tables Sup #1'!C36*(1+'Other Assumptions'!G$46)</f>
        <v>0.71145297986114286</v>
      </c>
      <c r="D36" s="4">
        <f ca="1">D168*'Total Duration Tables Sup #1'!D36*(1+'Other Assumptions'!H$46)</f>
        <v>0.76290581783570588</v>
      </c>
      <c r="E36" s="4">
        <f ca="1">E168*'Total Duration Tables Sup #1'!E36*(1+'Other Assumptions'!I$46)</f>
        <v>0.79439277412335962</v>
      </c>
      <c r="F36" s="4">
        <f ca="1">F168*'Total Duration Tables Sup #1'!F36*(1+'Other Assumptions'!J$46)</f>
        <v>0.82223047405710881</v>
      </c>
      <c r="G36" s="4">
        <f ca="1">G168*'Total Duration Tables Sup #1'!G36*(1+'Other Assumptions'!K$46)</f>
        <v>0.85643224963980213</v>
      </c>
      <c r="H36" s="4">
        <f ca="1">H168*'Total Duration Tables Sup #1'!H36*(1+'Other Assumptions'!L$46)</f>
        <v>0.8873552210794321</v>
      </c>
      <c r="I36" s="4">
        <f ca="1">I168*'Total Duration Tables Sup #1'!I36*(1+'Other Assumptions'!M$46)</f>
        <v>0.90225209016112917</v>
      </c>
      <c r="J36" s="4">
        <f ca="1">J168*'Total Duration Tables Sup #1'!J36*(1+'Other Assumptions'!N$46)</f>
        <v>0.914528272185402</v>
      </c>
      <c r="K36" s="4">
        <f ca="1">K168*'Total Duration Tables Sup #1'!K36*(1+'Other Assumptions'!O$46)</f>
        <v>0.92503031369453326</v>
      </c>
    </row>
    <row r="37" spans="1:11" x14ac:dyDescent="0.2">
      <c r="A37" t="str">
        <f ca="1">OFFSET(BOP_Reference,0,0)</f>
        <v>04 BAY OF PLENTY</v>
      </c>
    </row>
    <row r="38" spans="1:11" x14ac:dyDescent="0.2">
      <c r="A38" t="str">
        <f ca="1">OFFSET(BOP_Reference,0,2)</f>
        <v>Pedestrian</v>
      </c>
      <c r="B38" s="4">
        <f ca="1">B159*'Total Duration Tables Sup #1'!B38*(1+'Other Assumptions'!D$47)*(1+'Active Mode Assumptions'!B11)</f>
        <v>9.1706746114000008</v>
      </c>
      <c r="C38" s="4">
        <f ca="1">C159*'Total Duration Tables Sup #1'!C38*(1+'Other Assumptions'!G$47)*(1+'Active Mode Assumptions'!C11)</f>
        <v>9.8710184394519587</v>
      </c>
      <c r="D38" s="4">
        <f ca="1">D159*'Total Duration Tables Sup #1'!D38*(1+'Other Assumptions'!H$47)*(1+'Active Mode Assumptions'!D11)</f>
        <v>10.261517801825317</v>
      </c>
      <c r="E38" s="4">
        <f ca="1">E159*'Total Duration Tables Sup #1'!E38*(1+'Other Assumptions'!I$47)*(1+'Active Mode Assumptions'!E11)</f>
        <v>10.528356568088068</v>
      </c>
      <c r="F38" s="4">
        <f ca="1">F159*'Total Duration Tables Sup #1'!F38*(1+'Other Assumptions'!J$47)*(1+'Active Mode Assumptions'!F11)</f>
        <v>10.69066303876046</v>
      </c>
      <c r="G38" s="4">
        <f ca="1">G159*'Total Duration Tables Sup #1'!G38*(1+'Other Assumptions'!K$47)*(1+'Active Mode Assumptions'!G11)</f>
        <v>10.808201289876473</v>
      </c>
      <c r="H38" s="4">
        <f ca="1">H159*'Total Duration Tables Sup #1'!H38*(1+'Other Assumptions'!L$47)*(1+'Active Mode Assumptions'!H11)</f>
        <v>10.878770886546294</v>
      </c>
      <c r="I38" s="4">
        <f ca="1">I159*'Total Duration Tables Sup #1'!I38*(1+'Other Assumptions'!M$47)*(1+'Active Mode Assumptions'!I11)</f>
        <v>11.02649383469898</v>
      </c>
      <c r="J38" s="4">
        <f ca="1">J159*'Total Duration Tables Sup #1'!J38*(1+'Other Assumptions'!N$47)*(1+'Active Mode Assumptions'!J11)</f>
        <v>11.140760064124125</v>
      </c>
      <c r="K38" s="4">
        <f ca="1">K159*'Total Duration Tables Sup #1'!K38*(1+'Other Assumptions'!O$47)*(1+'Active Mode Assumptions'!K11)</f>
        <v>11.232132035275935</v>
      </c>
    </row>
    <row r="39" spans="1:11" x14ac:dyDescent="0.2">
      <c r="A39" t="str">
        <f ca="1">OFFSET(BOP_Reference,7,2)</f>
        <v>Cyclist</v>
      </c>
      <c r="B39" s="4">
        <f ca="1">B160*'Total Duration Tables Sup #1'!B39*(1+'Other Assumptions'!D$47)*(1+'Active Mode Assumptions'!B20)</f>
        <v>0.91801276549999999</v>
      </c>
      <c r="C39" s="4">
        <f ca="1">C160*'Total Duration Tables Sup #1'!C39*(1+'Other Assumptions'!G$47)*(1+'Active Mode Assumptions'!C20)</f>
        <v>1.0143174705950837</v>
      </c>
      <c r="D39" s="4">
        <f ca="1">D160*'Total Duration Tables Sup #1'!D39*(1+'Other Assumptions'!H$47)*(1+'Active Mode Assumptions'!D20)</f>
        <v>1.065751765684217</v>
      </c>
      <c r="E39" s="4">
        <f ca="1">E160*'Total Duration Tables Sup #1'!E39*(1+'Other Assumptions'!I$47)*(1+'Active Mode Assumptions'!E20)</f>
        <v>1.0915920492680877</v>
      </c>
      <c r="F39" s="4">
        <f ca="1">F160*'Total Duration Tables Sup #1'!F39*(1+'Other Assumptions'!J$47)*(1+'Active Mode Assumptions'!F20)</f>
        <v>1.123505015656336</v>
      </c>
      <c r="G39" s="4">
        <f ca="1">G160*'Total Duration Tables Sup #1'!G39*(1+'Other Assumptions'!K$47)*(1+'Active Mode Assumptions'!G20)</f>
        <v>1.1644972031944085</v>
      </c>
      <c r="H39" s="4">
        <f ca="1">H160*'Total Duration Tables Sup #1'!H39*(1+'Other Assumptions'!L$47)*(1+'Active Mode Assumptions'!H20)</f>
        <v>1.2041905673766438</v>
      </c>
      <c r="I39" s="4">
        <f ca="1">I160*'Total Duration Tables Sup #1'!I39*(1+'Other Assumptions'!M$47)*(1+'Active Mode Assumptions'!I20)</f>
        <v>1.2263566520913862</v>
      </c>
      <c r="J39" s="4">
        <f ca="1">J160*'Total Duration Tables Sup #1'!J39*(1+'Other Assumptions'!N$47)*(1+'Active Mode Assumptions'!J20)</f>
        <v>1.2450253202920945</v>
      </c>
      <c r="K39" s="4">
        <f ca="1">K160*'Total Duration Tables Sup #1'!K39*(1+'Other Assumptions'!O$47)*(1+'Active Mode Assumptions'!K20)</f>
        <v>1.2613311281569854</v>
      </c>
    </row>
    <row r="40" spans="1:11" x14ac:dyDescent="0.2">
      <c r="A40" t="str">
        <f ca="1">OFFSET(BOP_Reference,14,2)</f>
        <v>Light Vehicle Driver</v>
      </c>
      <c r="B40" s="4">
        <f ca="1">B161*'Total Duration Tables Sup #1'!B40*(1+'Other Assumptions'!D$47)-(B38*'Active Mode Assumptions'!B11*'Active Mode Assumptions'!B14/(1+'Active Mode Assumptions'!B11))-(B39*'Active Mode Assumptions'!B20*'Active Mode Assumptions'!B23/(1+'Active Mode Assumptions'!B20))</f>
        <v>45.59682093</v>
      </c>
      <c r="C40" s="4">
        <f ca="1">C161*'Total Duration Tables Sup #1'!C40*(1+'Other Assumptions'!G$47)-(C38*'Active Mode Assumptions'!C11*'Active Mode Assumptions'!C14/(1+'Active Mode Assumptions'!C11))-(C39*'Active Mode Assumptions'!C20*'Active Mode Assumptions'!C23/(1+'Active Mode Assumptions'!C20))</f>
        <v>50.849248670211857</v>
      </c>
      <c r="D40" s="4">
        <f ca="1">D161*'Total Duration Tables Sup #1'!D40*(1+'Other Assumptions'!H$47)-(D38*'Active Mode Assumptions'!D11*'Active Mode Assumptions'!D14/(1+'Active Mode Assumptions'!D11))-(D39*'Active Mode Assumptions'!D20*'Active Mode Assumptions'!D23/(1+'Active Mode Assumptions'!D20))</f>
        <v>53.984963073713743</v>
      </c>
      <c r="E40" s="4">
        <f ca="1">E161*'Total Duration Tables Sup #1'!E40*(1+'Other Assumptions'!I$47)-(E38*'Active Mode Assumptions'!E11*'Active Mode Assumptions'!E14/(1+'Active Mode Assumptions'!E11))-(E39*'Active Mode Assumptions'!E20*'Active Mode Assumptions'!E23/(1+'Active Mode Assumptions'!E20))</f>
        <v>55.936416462566214</v>
      </c>
      <c r="F40" s="4">
        <f ca="1">F161*'Total Duration Tables Sup #1'!F40*(1+'Other Assumptions'!J$47)-(F38*'Active Mode Assumptions'!F11*'Active Mode Assumptions'!F14/(1+'Active Mode Assumptions'!F11))-(F39*'Active Mode Assumptions'!F20*'Active Mode Assumptions'!F23/(1+'Active Mode Assumptions'!F20))</f>
        <v>57.682883973364255</v>
      </c>
      <c r="G40" s="4">
        <f ca="1">G161*'Total Duration Tables Sup #1'!G40*(1+'Other Assumptions'!K$47)-(G38*'Active Mode Assumptions'!G11*'Active Mode Assumptions'!G14/(1+'Active Mode Assumptions'!G11))-(G39*'Active Mode Assumptions'!G20*'Active Mode Assumptions'!G23/(1+'Active Mode Assumptions'!G20))</f>
        <v>58.914658401815657</v>
      </c>
      <c r="H40" s="4">
        <f ca="1">H161*'Total Duration Tables Sup #1'!H40*(1+'Other Assumptions'!L$47)-(H38*'Active Mode Assumptions'!H11*'Active Mode Assumptions'!H14/(1+'Active Mode Assumptions'!H11))-(H39*'Active Mode Assumptions'!H20*'Active Mode Assumptions'!H23/(1+'Active Mode Assumptions'!H20))</f>
        <v>59.931797031678343</v>
      </c>
      <c r="I40" s="4">
        <f ca="1">I161*'Total Duration Tables Sup #1'!I40*(1+'Other Assumptions'!M$47)-(I38*'Active Mode Assumptions'!I11*'Active Mode Assumptions'!I14/(1+'Active Mode Assumptions'!I11))-(I39*'Active Mode Assumptions'!I20*'Active Mode Assumptions'!I23/(1+'Active Mode Assumptions'!I20))</f>
        <v>60.720730389476969</v>
      </c>
      <c r="J40" s="4">
        <f ca="1">J161*'Total Duration Tables Sup #1'!J40*(1+'Other Assumptions'!N$47)-(J38*'Active Mode Assumptions'!J11*'Active Mode Assumptions'!J14/(1+'Active Mode Assumptions'!J11))-(J39*'Active Mode Assumptions'!J20*'Active Mode Assumptions'!J23/(1+'Active Mode Assumptions'!J20))</f>
        <v>61.324978146367393</v>
      </c>
      <c r="K40" s="4">
        <f ca="1">K161*'Total Duration Tables Sup #1'!K40*(1+'Other Assumptions'!O$47)-(K38*'Active Mode Assumptions'!K11*'Active Mode Assumptions'!K14/(1+'Active Mode Assumptions'!K11))-(K39*'Active Mode Assumptions'!K20*'Active Mode Assumptions'!K23/(1+'Active Mode Assumptions'!K20))</f>
        <v>61.802921750170881</v>
      </c>
    </row>
    <row r="41" spans="1:11" x14ac:dyDescent="0.2">
      <c r="A41" t="str">
        <f ca="1">OFFSET(BOP_Reference,21,2)</f>
        <v>Light Vehicle Passenger</v>
      </c>
      <c r="B41" s="4">
        <f ca="1">B162*'Total Duration Tables Sup #1'!B41*(1+'Other Assumptions'!D$47)-(B38*'Active Mode Assumptions'!B11*'Active Mode Assumptions'!B15/(1+'Active Mode Assumptions'!B11))-(B39*'Active Mode Assumptions'!B20*'Active Mode Assumptions'!B24/(1+'Active Mode Assumptions'!B20))</f>
        <v>28.895615969000001</v>
      </c>
      <c r="C41" s="4">
        <f ca="1">C162*'Total Duration Tables Sup #1'!C41*(1+'Other Assumptions'!G$47)-(C38*'Active Mode Assumptions'!C11*'Active Mode Assumptions'!C15/(1+'Active Mode Assumptions'!C11))-(C39*'Active Mode Assumptions'!C20*'Active Mode Assumptions'!C24/(1+'Active Mode Assumptions'!C20))</f>
        <v>30.807277817866115</v>
      </c>
      <c r="D41" s="4">
        <f ca="1">D162*'Total Duration Tables Sup #1'!D41*(1+'Other Assumptions'!H$47)-(D38*'Active Mode Assumptions'!D11*'Active Mode Assumptions'!D15/(1+'Active Mode Assumptions'!D11))-(D39*'Active Mode Assumptions'!D20*'Active Mode Assumptions'!D24/(1+'Active Mode Assumptions'!D20))</f>
        <v>31.881851805382336</v>
      </c>
      <c r="E41" s="4">
        <f ca="1">E162*'Total Duration Tables Sup #1'!E41*(1+'Other Assumptions'!I$47)-(E38*'Active Mode Assumptions'!E11*'Active Mode Assumptions'!E15/(1+'Active Mode Assumptions'!E11))-(E39*'Active Mode Assumptions'!E20*'Active Mode Assumptions'!E24/(1+'Active Mode Assumptions'!E20))</f>
        <v>32.535823458446608</v>
      </c>
      <c r="F41" s="4">
        <f ca="1">F162*'Total Duration Tables Sup #1'!F41*(1+'Other Assumptions'!J$47)-(F38*'Active Mode Assumptions'!F11*'Active Mode Assumptions'!F15/(1+'Active Mode Assumptions'!F11))-(F39*'Active Mode Assumptions'!F20*'Active Mode Assumptions'!F24/(1+'Active Mode Assumptions'!F20))</f>
        <v>33.005198905773355</v>
      </c>
      <c r="G41" s="4">
        <f ca="1">G162*'Total Duration Tables Sup #1'!G41*(1+'Other Assumptions'!K$47)-(G38*'Active Mode Assumptions'!G11*'Active Mode Assumptions'!G15/(1+'Active Mode Assumptions'!G11))-(G39*'Active Mode Assumptions'!G20*'Active Mode Assumptions'!G24/(1+'Active Mode Assumptions'!G20))</f>
        <v>33.298519435071682</v>
      </c>
      <c r="H41" s="4">
        <f ca="1">H162*'Total Duration Tables Sup #1'!H41*(1+'Other Assumptions'!L$47)-(H38*'Active Mode Assumptions'!H11*'Active Mode Assumptions'!H15/(1+'Active Mode Assumptions'!H11))-(H39*'Active Mode Assumptions'!H20*'Active Mode Assumptions'!H24/(1+'Active Mode Assumptions'!H20))</f>
        <v>33.425899304860643</v>
      </c>
      <c r="I41" s="4">
        <f ca="1">I162*'Total Duration Tables Sup #1'!I41*(1+'Other Assumptions'!M$47)-(I38*'Active Mode Assumptions'!I11*'Active Mode Assumptions'!I15/(1+'Active Mode Assumptions'!I11))-(I39*'Active Mode Assumptions'!I20*'Active Mode Assumptions'!I24/(1+'Active Mode Assumptions'!I20))</f>
        <v>33.899439786134245</v>
      </c>
      <c r="J41" s="4">
        <f ca="1">J162*'Total Duration Tables Sup #1'!J41*(1+'Other Assumptions'!N$47)-(J38*'Active Mode Assumptions'!J11*'Active Mode Assumptions'!J15/(1+'Active Mode Assumptions'!J11))-(J39*'Active Mode Assumptions'!J20*'Active Mode Assumptions'!J24/(1+'Active Mode Assumptions'!J20))</f>
        <v>34.270501575650577</v>
      </c>
      <c r="K41" s="4">
        <f ca="1">K162*'Total Duration Tables Sup #1'!K41*(1+'Other Assumptions'!O$47)-(K38*'Active Mode Assumptions'!K11*'Active Mode Assumptions'!K15/(1+'Active Mode Assumptions'!K11))-(K39*'Active Mode Assumptions'!K20*'Active Mode Assumptions'!K24/(1+'Active Mode Assumptions'!K20))</f>
        <v>34.571417545884501</v>
      </c>
    </row>
    <row r="42" spans="1:11" x14ac:dyDescent="0.2">
      <c r="A42" t="str">
        <f ca="1">OFFSET(BOP_Reference,28,2)</f>
        <v>Taxi/Vehicle Share</v>
      </c>
      <c r="B42" s="4">
        <f ca="1">B163*'Total Duration Tables Sup #1'!B42*(1+'Other Assumptions'!D$47)</f>
        <v>7.3048454499999999E-2</v>
      </c>
      <c r="C42" s="4">
        <f ca="1">C163*'Total Duration Tables Sup #1'!C42*(1+'Other Assumptions'!G$47)</f>
        <v>8.4653137798126291E-2</v>
      </c>
      <c r="D42" s="4">
        <f ca="1">D163*'Total Duration Tables Sup #1'!D42*(1+'Other Assumptions'!H$47)</f>
        <v>9.3652575059876619E-2</v>
      </c>
      <c r="E42" s="4">
        <f ca="1">E163*'Total Duration Tables Sup #1'!E42*(1+'Other Assumptions'!I$47)</f>
        <v>0.10178058784469164</v>
      </c>
      <c r="F42" s="4">
        <f ca="1">F163*'Total Duration Tables Sup #1'!F42*(1+'Other Assumptions'!J$47)</f>
        <v>0.10903149801713073</v>
      </c>
      <c r="G42" s="4">
        <f ca="1">G163*'Total Duration Tables Sup #1'!G42*(1+'Other Assumptions'!K$47)</f>
        <v>0.11456920975076515</v>
      </c>
      <c r="H42" s="4">
        <f ca="1">H163*'Total Duration Tables Sup #1'!H42*(1+'Other Assumptions'!L$47)</f>
        <v>0.11976234091097704</v>
      </c>
      <c r="I42" s="4">
        <f ca="1">I163*'Total Duration Tables Sup #1'!I42*(1+'Other Assumptions'!M$47)</f>
        <v>0.12112334936112674</v>
      </c>
      <c r="J42" s="4">
        <f ca="1">J163*'Total Duration Tables Sup #1'!J42*(1+'Other Assumptions'!N$47)</f>
        <v>0.12211153358718385</v>
      </c>
      <c r="K42" s="4">
        <f ca="1">K163*'Total Duration Tables Sup #1'!K42*(1+'Other Assumptions'!O$47)</f>
        <v>0.12284505459725537</v>
      </c>
    </row>
    <row r="43" spans="1:11" x14ac:dyDescent="0.2">
      <c r="A43" t="str">
        <f ca="1">OFFSET(BOP_Reference,35,2)</f>
        <v>Motorcyclist</v>
      </c>
      <c r="B43" s="4">
        <f ca="1">B164*'Total Duration Tables Sup #1'!B43*(1+'Other Assumptions'!D$47)</f>
        <v>0.60409197079999999</v>
      </c>
      <c r="C43" s="4">
        <f ca="1">C164*'Total Duration Tables Sup #1'!C43*(1+'Other Assumptions'!G$47)</f>
        <v>0.66768163601491515</v>
      </c>
      <c r="D43" s="4">
        <f ca="1">D164*'Total Duration Tables Sup #1'!D43*(1+'Other Assumptions'!H$47)</f>
        <v>0.70440293026683087</v>
      </c>
      <c r="E43" s="4">
        <f ca="1">E164*'Total Duration Tables Sup #1'!E43*(1+'Other Assumptions'!I$47)</f>
        <v>0.72108622954530321</v>
      </c>
      <c r="F43" s="4">
        <f ca="1">F164*'Total Duration Tables Sup #1'!F43*(1+'Other Assumptions'!J$47)</f>
        <v>0.73516533404762385</v>
      </c>
      <c r="G43" s="4">
        <f ca="1">G164*'Total Duration Tables Sup #1'!G43*(1+'Other Assumptions'!K$47)</f>
        <v>0.7384359040353371</v>
      </c>
      <c r="H43" s="4">
        <f ca="1">H164*'Total Duration Tables Sup #1'!H43*(1+'Other Assumptions'!L$47)</f>
        <v>0.73810550730482472</v>
      </c>
      <c r="I43" s="4">
        <f ca="1">I164*'Total Duration Tables Sup #1'!I43*(1+'Other Assumptions'!M$47)</f>
        <v>0.75168007006677462</v>
      </c>
      <c r="J43" s="4">
        <f ca="1">J164*'Total Duration Tables Sup #1'!J43*(1+'Other Assumptions'!N$47)</f>
        <v>0.76307225231851417</v>
      </c>
      <c r="K43" s="4">
        <f ca="1">K164*'Total Duration Tables Sup #1'!K43*(1+'Other Assumptions'!O$47)</f>
        <v>0.77297522029482979</v>
      </c>
    </row>
    <row r="44" spans="1:11" x14ac:dyDescent="0.2">
      <c r="A44" t="str">
        <f ca="1">OFFSET(Auckland_Reference,42,2)</f>
        <v>Local Train</v>
      </c>
      <c r="B44" s="4">
        <f ca="1">B165*'Total Duration Tables Sup #1'!B44*(1+'Other Assumptions'!D$47)</f>
        <v>0</v>
      </c>
      <c r="C44" s="4">
        <f ca="1">C165*'Total Duration Tables Sup #1'!C44*(1+'Other Assumptions'!G$47)</f>
        <v>0</v>
      </c>
      <c r="D44" s="4">
        <f ca="1">D165*'Total Duration Tables Sup #1'!D44*(1+'Other Assumptions'!H$47)</f>
        <v>0</v>
      </c>
      <c r="E44" s="4">
        <f ca="1">E165*'Total Duration Tables Sup #1'!E44*(1+'Other Assumptions'!I$47)</f>
        <v>0</v>
      </c>
      <c r="F44" s="4">
        <f ca="1">F165*'Total Duration Tables Sup #1'!F44*(1+'Other Assumptions'!J$47)</f>
        <v>0</v>
      </c>
      <c r="G44" s="4">
        <f ca="1">G165*'Total Duration Tables Sup #1'!G44*(1+'Other Assumptions'!K$47)</f>
        <v>0</v>
      </c>
      <c r="H44" s="4">
        <f ca="1">H165*'Total Duration Tables Sup #1'!H44*(1+'Other Assumptions'!L$47)</f>
        <v>0</v>
      </c>
      <c r="I44" s="4">
        <f ca="1">I165*'Total Duration Tables Sup #1'!I44*(1+'Other Assumptions'!M$47)</f>
        <v>0</v>
      </c>
      <c r="J44" s="4">
        <f ca="1">J165*'Total Duration Tables Sup #1'!J44*(1+'Other Assumptions'!N$47)</f>
        <v>0</v>
      </c>
      <c r="K44" s="4">
        <f ca="1">K165*'Total Duration Tables Sup #1'!K44*(1+'Other Assumptions'!O$47)</f>
        <v>0</v>
      </c>
    </row>
    <row r="45" spans="1:11" x14ac:dyDescent="0.2">
      <c r="A45" t="str">
        <f ca="1">OFFSET(BOP_Reference,42,2)</f>
        <v>Local Bus</v>
      </c>
      <c r="B45" s="4">
        <f ca="1">B166*'Total Duration Tables Sup #1'!B45*(1+'Other Assumptions'!D$47)</f>
        <v>2.9412276716000001</v>
      </c>
      <c r="C45" s="4">
        <f ca="1">C166*'Total Duration Tables Sup #1'!C45*(1+'Other Assumptions'!G$47)</f>
        <v>2.9463131173169219</v>
      </c>
      <c r="D45" s="4">
        <f ca="1">D166*'Total Duration Tables Sup #1'!D45*(1+'Other Assumptions'!H$47)</f>
        <v>2.9288350821679217</v>
      </c>
      <c r="E45" s="4">
        <f ca="1">E166*'Total Duration Tables Sup #1'!E45*(1+'Other Assumptions'!I$47)</f>
        <v>2.9174297463164716</v>
      </c>
      <c r="F45" s="4">
        <f ca="1">F166*'Total Duration Tables Sup #1'!F45*(1+'Other Assumptions'!J$47)</f>
        <v>2.8715846485247765</v>
      </c>
      <c r="G45" s="4">
        <f ca="1">G166*'Total Duration Tables Sup #1'!G45*(1+'Other Assumptions'!K$47)</f>
        <v>2.8436309872694392</v>
      </c>
      <c r="H45" s="4">
        <f ca="1">H166*'Total Duration Tables Sup #1'!H45*(1+'Other Assumptions'!L$47)</f>
        <v>2.8027602089111183</v>
      </c>
      <c r="I45" s="4">
        <f ca="1">I166*'Total Duration Tables Sup #1'!I45*(1+'Other Assumptions'!M$47)</f>
        <v>2.8463009110766637</v>
      </c>
      <c r="J45" s="4">
        <f ca="1">J166*'Total Duration Tables Sup #1'!J45*(1+'Other Assumptions'!N$47)</f>
        <v>2.8813302073655747</v>
      </c>
      <c r="K45" s="4">
        <f ca="1">K166*'Total Duration Tables Sup #1'!K45*(1+'Other Assumptions'!O$47)</f>
        <v>2.9105350682565962</v>
      </c>
    </row>
    <row r="46" spans="1:11" x14ac:dyDescent="0.2">
      <c r="A46" t="str">
        <f ca="1">OFFSET(Waikato_Reference,56,2)</f>
        <v>Local Ferry</v>
      </c>
      <c r="B46" s="4">
        <f ca="1">B167*'Total Duration Tables Sup #1'!B46*(1+'Other Assumptions'!D$47)</f>
        <v>0</v>
      </c>
      <c r="C46" s="4">
        <f ca="1">C167*'Total Duration Tables Sup #1'!C46*(1+'Other Assumptions'!G$47)</f>
        <v>0</v>
      </c>
      <c r="D46" s="4">
        <f ca="1">D167*'Total Duration Tables Sup #1'!D46*(1+'Other Assumptions'!H$47)</f>
        <v>0</v>
      </c>
      <c r="E46" s="4">
        <f ca="1">E167*'Total Duration Tables Sup #1'!E46*(1+'Other Assumptions'!I$47)</f>
        <v>0</v>
      </c>
      <c r="F46" s="4">
        <f ca="1">F167*'Total Duration Tables Sup #1'!F46*(1+'Other Assumptions'!J$47)</f>
        <v>0</v>
      </c>
      <c r="G46" s="4">
        <f ca="1">G167*'Total Duration Tables Sup #1'!G46*(1+'Other Assumptions'!K$47)</f>
        <v>0</v>
      </c>
      <c r="H46" s="4">
        <f ca="1">H167*'Total Duration Tables Sup #1'!H46*(1+'Other Assumptions'!L$47)</f>
        <v>0</v>
      </c>
      <c r="I46" s="4">
        <f ca="1">I167*'Total Duration Tables Sup #1'!I46*(1+'Other Assumptions'!M$47)</f>
        <v>0</v>
      </c>
      <c r="J46" s="4">
        <f ca="1">J167*'Total Duration Tables Sup #1'!J46*(1+'Other Assumptions'!N$47)</f>
        <v>0</v>
      </c>
      <c r="K46" s="4">
        <f ca="1">K167*'Total Duration Tables Sup #1'!K46*(1+'Other Assumptions'!O$47)</f>
        <v>0</v>
      </c>
    </row>
    <row r="47" spans="1:11" x14ac:dyDescent="0.2">
      <c r="A47" t="str">
        <f ca="1">OFFSET(BOP_Reference,49,2)</f>
        <v>Other Household Travel</v>
      </c>
      <c r="B47" s="4">
        <f ca="1">B168*'Total Duration Tables Sup #1'!B47*(1+'Other Assumptions'!D$47)</f>
        <v>0.21279540499999999</v>
      </c>
      <c r="C47" s="4">
        <f ca="1">C168*'Total Duration Tables Sup #1'!C47*(1+'Other Assumptions'!G$47)</f>
        <v>0.23546809831721172</v>
      </c>
      <c r="D47" s="4">
        <f ca="1">D168*'Total Duration Tables Sup #1'!D47*(1+'Other Assumptions'!H$47)</f>
        <v>0.2507765025478253</v>
      </c>
      <c r="E47" s="4">
        <f ca="1">E168*'Total Duration Tables Sup #1'!E47*(1+'Other Assumptions'!I$47)</f>
        <v>0.2593857819815904</v>
      </c>
      <c r="F47" s="4">
        <f ca="1">F168*'Total Duration Tables Sup #1'!F47*(1+'Other Assumptions'!J$47)</f>
        <v>0.26675232301065843</v>
      </c>
      <c r="G47" s="4">
        <f ca="1">G168*'Total Duration Tables Sup #1'!G47*(1+'Other Assumptions'!K$47)</f>
        <v>0.27596289540466473</v>
      </c>
      <c r="H47" s="4">
        <f ca="1">H168*'Total Duration Tables Sup #1'!H47*(1+'Other Assumptions'!L$47)</f>
        <v>0.28399562753738378</v>
      </c>
      <c r="I47" s="4">
        <f ca="1">I168*'Total Duration Tables Sup #1'!I47*(1+'Other Assumptions'!M$47)</f>
        <v>0.28681278446772396</v>
      </c>
      <c r="J47" s="4">
        <f ca="1">J168*'Total Duration Tables Sup #1'!J47*(1+'Other Assumptions'!N$47)</f>
        <v>0.28875147363627635</v>
      </c>
      <c r="K47" s="4">
        <f ca="1">K168*'Total Duration Tables Sup #1'!K47*(1+'Other Assumptions'!O$47)</f>
        <v>0.29009450514924762</v>
      </c>
    </row>
    <row r="48" spans="1:11" x14ac:dyDescent="0.2">
      <c r="A48" t="str">
        <f ca="1">OFFSET(Gisborne_Reference,0,0)</f>
        <v>05 GISBORNE</v>
      </c>
    </row>
    <row r="49" spans="1:11" x14ac:dyDescent="0.2">
      <c r="A49" t="str">
        <f ca="1">OFFSET(Gisborne_Reference,0,2)</f>
        <v>Pedestrian</v>
      </c>
      <c r="B49" s="4">
        <f ca="1">B159*'Total Duration Tables Sup #1'!B49*(1+'Other Assumptions'!D$48)*(1+'Active Mode Assumptions'!B11)</f>
        <v>2.2694063563000002</v>
      </c>
      <c r="C49" s="4">
        <f ca="1">C159*'Total Duration Tables Sup #1'!C49*(1+'Other Assumptions'!G$48)*(1+'Active Mode Assumptions'!C11)</f>
        <v>2.3230074222108041</v>
      </c>
      <c r="D49" s="4">
        <f ca="1">D159*'Total Duration Tables Sup #1'!D49*(1+'Other Assumptions'!H$48)*(1+'Active Mode Assumptions'!D11)</f>
        <v>2.3446125418386128</v>
      </c>
      <c r="E49" s="4">
        <f ca="1">E159*'Total Duration Tables Sup #1'!E49*(1+'Other Assumptions'!I$48)*(1+'Active Mode Assumptions'!E11)</f>
        <v>2.3506367897738918</v>
      </c>
      <c r="F49" s="4">
        <f ca="1">F159*'Total Duration Tables Sup #1'!F49*(1+'Other Assumptions'!J$48)*(1+'Active Mode Assumptions'!F11)</f>
        <v>2.3332774254634314</v>
      </c>
      <c r="G49" s="4">
        <f ca="1">G159*'Total Duration Tables Sup #1'!G49*(1+'Other Assumptions'!K$48)*(1+'Active Mode Assumptions'!G11)</f>
        <v>2.303342031220966</v>
      </c>
      <c r="H49" s="4">
        <f ca="1">H159*'Total Duration Tables Sup #1'!H49*(1+'Other Assumptions'!L$48)*(1+'Active Mode Assumptions'!H11)</f>
        <v>2.2640616552226329</v>
      </c>
      <c r="I49" s="4">
        <f ca="1">I159*'Total Duration Tables Sup #1'!I49*(1+'Other Assumptions'!M$48)*(1+'Active Mode Assumptions'!I11)</f>
        <v>2.2410382484372113</v>
      </c>
      <c r="J49" s="4">
        <f ca="1">J159*'Total Duration Tables Sup #1'!J49*(1+'Other Assumptions'!N$48)*(1+'Active Mode Assumptions'!J11)</f>
        <v>2.2112103660034905</v>
      </c>
      <c r="K49" s="4">
        <f ca="1">K159*'Total Duration Tables Sup #1'!K49*(1+'Other Assumptions'!O$48)*(1+'Active Mode Assumptions'!K11)</f>
        <v>2.1771123999431325</v>
      </c>
    </row>
    <row r="50" spans="1:11" x14ac:dyDescent="0.2">
      <c r="A50" t="str">
        <f ca="1">OFFSET(Gisborne_Reference,7,2)</f>
        <v>Cyclist</v>
      </c>
      <c r="B50" s="4">
        <f ca="1">B160*'Total Duration Tables Sup #1'!B50*(1+'Other Assumptions'!D$48)*(1+'Active Mode Assumptions'!B20)</f>
        <v>0.28046850410000002</v>
      </c>
      <c r="C50" s="4">
        <f ca="1">C160*'Total Duration Tables Sup #1'!C50*(1+'Other Assumptions'!G$48)*(1+'Active Mode Assumptions'!C20)</f>
        <v>0.29470461392771735</v>
      </c>
      <c r="D50" s="4">
        <f ca="1">D160*'Total Duration Tables Sup #1'!D50*(1+'Other Assumptions'!H$48)*(1+'Active Mode Assumptions'!D20)</f>
        <v>0.30063527486792441</v>
      </c>
      <c r="E50" s="4">
        <f ca="1">E160*'Total Duration Tables Sup #1'!E50*(1+'Other Assumptions'!I$48)*(1+'Active Mode Assumptions'!E20)</f>
        <v>0.30089135012999979</v>
      </c>
      <c r="F50" s="4">
        <f ca="1">F160*'Total Duration Tables Sup #1'!F50*(1+'Other Assumptions'!J$48)*(1+'Active Mode Assumptions'!F20)</f>
        <v>0.30273396491120613</v>
      </c>
      <c r="G50" s="4">
        <f ca="1">G160*'Total Duration Tables Sup #1'!G50*(1+'Other Assumptions'!K$48)*(1+'Active Mode Assumptions'!G20)</f>
        <v>0.30638524978880671</v>
      </c>
      <c r="H50" s="4">
        <f ca="1">H160*'Total Duration Tables Sup #1'!H50*(1+'Other Assumptions'!L$48)*(1+'Active Mode Assumptions'!H20)</f>
        <v>0.30940550414832491</v>
      </c>
      <c r="I50" s="4">
        <f ca="1">I160*'Total Duration Tables Sup #1'!I50*(1+'Other Assumptions'!M$48)*(1+'Active Mode Assumptions'!I20)</f>
        <v>0.30771808156384256</v>
      </c>
      <c r="J50" s="4">
        <f ca="1">J160*'Total Duration Tables Sup #1'!J50*(1+'Other Assumptions'!N$48)*(1+'Active Mode Assumptions'!J20)</f>
        <v>0.30508286746524438</v>
      </c>
      <c r="K50" s="4">
        <f ca="1">K160*'Total Duration Tables Sup #1'!K50*(1+'Other Assumptions'!O$48)*(1+'Active Mode Assumptions'!K20)</f>
        <v>0.30183678080097137</v>
      </c>
    </row>
    <row r="51" spans="1:11" x14ac:dyDescent="0.2">
      <c r="A51" t="str">
        <f ca="1">OFFSET(Gisborne_Reference,14,2)</f>
        <v>Light Vehicle Driver</v>
      </c>
      <c r="B51" s="4">
        <f ca="1">B161*'Total Duration Tables Sup #1'!B51*(1+'Other Assumptions'!D$48)-(B49*'Active Mode Assumptions'!B11*'Active Mode Assumptions'!B14/(1+'Active Mode Assumptions'!B11))-(B50*'Active Mode Assumptions'!B20*'Active Mode Assumptions'!B23/(1+'Active Mode Assumptions'!B20))</f>
        <v>6.0182660548999998</v>
      </c>
      <c r="C51" s="4">
        <f ca="1">C161*'Total Duration Tables Sup #1'!C51*(1+'Other Assumptions'!G$48)-(C49*'Active Mode Assumptions'!C11*'Active Mode Assumptions'!C14/(1+'Active Mode Assumptions'!C11))-(C50*'Active Mode Assumptions'!C20*'Active Mode Assumptions'!C23/(1+'Active Mode Assumptions'!C20))</f>
        <v>6.3826203254388867</v>
      </c>
      <c r="D51" s="4">
        <f ca="1">D161*'Total Duration Tables Sup #1'!D51*(1+'Other Assumptions'!H$48)-(D49*'Active Mode Assumptions'!D11*'Active Mode Assumptions'!D14/(1+'Active Mode Assumptions'!D11))-(D50*'Active Mode Assumptions'!D20*'Active Mode Assumptions'!D23/(1+'Active Mode Assumptions'!D20))</f>
        <v>6.5789733304204745</v>
      </c>
      <c r="E51" s="4">
        <f ca="1">E161*'Total Duration Tables Sup #1'!E51*(1+'Other Assumptions'!I$48)-(E49*'Active Mode Assumptions'!E11*'Active Mode Assumptions'!E14/(1+'Active Mode Assumptions'!E11))-(E50*'Active Mode Assumptions'!E20*'Active Mode Assumptions'!E23/(1+'Active Mode Assumptions'!E20))</f>
        <v>6.6610918235639822</v>
      </c>
      <c r="F51" s="4">
        <f ca="1">F161*'Total Duration Tables Sup #1'!F51*(1+'Other Assumptions'!J$48)-(F49*'Active Mode Assumptions'!F11*'Active Mode Assumptions'!F14/(1+'Active Mode Assumptions'!F11))-(F50*'Active Mode Assumptions'!F20*'Active Mode Assumptions'!F23/(1+'Active Mode Assumptions'!F20))</f>
        <v>6.7148225486317505</v>
      </c>
      <c r="G51" s="4">
        <f ca="1">G161*'Total Duration Tables Sup #1'!G51*(1+'Other Assumptions'!K$48)-(G49*'Active Mode Assumptions'!G11*'Active Mode Assumptions'!G14/(1+'Active Mode Assumptions'!G11))-(G50*'Active Mode Assumptions'!G20*'Active Mode Assumptions'!G23/(1+'Active Mode Assumptions'!G20))</f>
        <v>6.6965976879956859</v>
      </c>
      <c r="H51" s="4">
        <f ca="1">H161*'Total Duration Tables Sup #1'!H51*(1+'Other Assumptions'!L$48)-(H49*'Active Mode Assumptions'!H11*'Active Mode Assumptions'!H14/(1+'Active Mode Assumptions'!H11))-(H50*'Active Mode Assumptions'!H20*'Active Mode Assumptions'!H23/(1+'Active Mode Assumptions'!H20))</f>
        <v>6.6526022059673853</v>
      </c>
      <c r="I51" s="4">
        <f ca="1">I161*'Total Duration Tables Sup #1'!I51*(1+'Other Assumptions'!M$48)-(I49*'Active Mode Assumptions'!I11*'Active Mode Assumptions'!I14/(1+'Active Mode Assumptions'!I11))-(I50*'Active Mode Assumptions'!I20*'Active Mode Assumptions'!I23/(1+'Active Mode Assumptions'!I20))</f>
        <v>6.5822542423608192</v>
      </c>
      <c r="J51" s="4">
        <f ca="1">J161*'Total Duration Tables Sup #1'!J51*(1+'Other Assumptions'!N$48)-(J49*'Active Mode Assumptions'!J11*'Active Mode Assumptions'!J14/(1+'Active Mode Assumptions'!J11))-(J50*'Active Mode Assumptions'!J20*'Active Mode Assumptions'!J23/(1+'Active Mode Assumptions'!J20))</f>
        <v>6.4919995202381262</v>
      </c>
      <c r="K51" s="4">
        <f ca="1">K161*'Total Duration Tables Sup #1'!K51*(1+'Other Assumptions'!O$48)-(K49*'Active Mode Assumptions'!K11*'Active Mode Assumptions'!K14/(1+'Active Mode Assumptions'!K11))-(K50*'Active Mode Assumptions'!K20*'Active Mode Assumptions'!K23/(1+'Active Mode Assumptions'!K20))</f>
        <v>6.3893031543994159</v>
      </c>
    </row>
    <row r="52" spans="1:11" x14ac:dyDescent="0.2">
      <c r="A52" t="str">
        <f ca="1">OFFSET(Gisborne_Reference,21,2)</f>
        <v>Light Vehicle Passenger</v>
      </c>
      <c r="B52" s="4">
        <f ca="1">B162*'Total Duration Tables Sup #1'!B52*(1+'Other Assumptions'!D$48)-(B49*'Active Mode Assumptions'!B11*'Active Mode Assumptions'!B15/(1+'Active Mode Assumptions'!B11))-(B50*'Active Mode Assumptions'!B20*'Active Mode Assumptions'!B24/(1+'Active Mode Assumptions'!B20))</f>
        <v>4.5909579553000004</v>
      </c>
      <c r="C52" s="4">
        <f ca="1">C162*'Total Duration Tables Sup #1'!C52*(1+'Other Assumptions'!G$48)-(C49*'Active Mode Assumptions'!C11*'Active Mode Assumptions'!C15/(1+'Active Mode Assumptions'!C11))-(C50*'Active Mode Assumptions'!C20*'Active Mode Assumptions'!C24/(1+'Active Mode Assumptions'!C20))</f>
        <v>4.6548140373279514</v>
      </c>
      <c r="D52" s="4">
        <f ca="1">D162*'Total Duration Tables Sup #1'!D52*(1+'Other Assumptions'!H$48)-(D49*'Active Mode Assumptions'!D11*'Active Mode Assumptions'!D15/(1+'Active Mode Assumptions'!D11))-(D50*'Active Mode Assumptions'!D20*'Active Mode Assumptions'!D24/(1+'Active Mode Assumptions'!D20))</f>
        <v>4.676957201316772</v>
      </c>
      <c r="E52" s="4">
        <f ca="1">E162*'Total Duration Tables Sup #1'!E52*(1+'Other Assumptions'!I$48)-(E49*'Active Mode Assumptions'!E11*'Active Mode Assumptions'!E15/(1+'Active Mode Assumptions'!E11))-(E50*'Active Mode Assumptions'!E20*'Active Mode Assumptions'!E24/(1+'Active Mode Assumptions'!E20))</f>
        <v>4.6638773730339329</v>
      </c>
      <c r="F52" s="4">
        <f ca="1">F162*'Total Duration Tables Sup #1'!F52*(1+'Other Assumptions'!J$48)-(F49*'Active Mode Assumptions'!F11*'Active Mode Assumptions'!F15/(1+'Active Mode Assumptions'!F11))-(F50*'Active Mode Assumptions'!F20*'Active Mode Assumptions'!F24/(1+'Active Mode Assumptions'!F20))</f>
        <v>4.6249225948638095</v>
      </c>
      <c r="G52" s="4">
        <f ca="1">G162*'Total Duration Tables Sup #1'!G52*(1+'Other Assumptions'!K$48)-(G49*'Active Mode Assumptions'!G11*'Active Mode Assumptions'!G15/(1+'Active Mode Assumptions'!G11))-(G50*'Active Mode Assumptions'!G20*'Active Mode Assumptions'!G24/(1+'Active Mode Assumptions'!G20))</f>
        <v>4.5560691621617844</v>
      </c>
      <c r="H52" s="4">
        <f ca="1">H162*'Total Duration Tables Sup #1'!H52*(1+'Other Assumptions'!L$48)-(H49*'Active Mode Assumptions'!H11*'Active Mode Assumptions'!H15/(1+'Active Mode Assumptions'!H11))-(H50*'Active Mode Assumptions'!H20*'Active Mode Assumptions'!H24/(1+'Active Mode Assumptions'!H20))</f>
        <v>4.4663411832937543</v>
      </c>
      <c r="I52" s="4">
        <f ca="1">I162*'Total Duration Tables Sup #1'!I52*(1+'Other Assumptions'!M$48)-(I49*'Active Mode Assumptions'!I11*'Active Mode Assumptions'!I15/(1+'Active Mode Assumptions'!I11))-(I50*'Active Mode Assumptions'!I20*'Active Mode Assumptions'!I24/(1+'Active Mode Assumptions'!I20))</f>
        <v>4.4234867134451239</v>
      </c>
      <c r="J52" s="4">
        <f ca="1">J162*'Total Duration Tables Sup #1'!J52*(1+'Other Assumptions'!N$48)-(J49*'Active Mode Assumptions'!J11*'Active Mode Assumptions'!J15/(1+'Active Mode Assumptions'!J11))-(J50*'Active Mode Assumptions'!J20*'Active Mode Assumptions'!J24/(1+'Active Mode Assumptions'!J20))</f>
        <v>4.3671295704425628</v>
      </c>
      <c r="K52" s="4">
        <f ca="1">K162*'Total Duration Tables Sup #1'!K52*(1+'Other Assumptions'!O$48)-(K49*'Active Mode Assumptions'!K11*'Active Mode Assumptions'!K15/(1+'Active Mode Assumptions'!K11))-(K50*'Active Mode Assumptions'!K20*'Active Mode Assumptions'!K24/(1+'Active Mode Assumptions'!K20))</f>
        <v>4.3022556628845949</v>
      </c>
    </row>
    <row r="53" spans="1:11" x14ac:dyDescent="0.2">
      <c r="A53" t="str">
        <f ca="1">OFFSET(Gisborne_Reference,28,2)</f>
        <v>Taxi/Vehicle Share</v>
      </c>
      <c r="B53" s="4">
        <f ca="1">B163*'Total Duration Tables Sup #1'!B53*(1+'Other Assumptions'!D$48)</f>
        <v>5.0534828E-3</v>
      </c>
      <c r="C53" s="4">
        <f ca="1">C163*'Total Duration Tables Sup #1'!C53*(1+'Other Assumptions'!G$48)</f>
        <v>5.5692981992260596E-3</v>
      </c>
      <c r="D53" s="4">
        <f ca="1">D163*'Total Duration Tables Sup #1'!D53*(1+'Other Assumptions'!H$48)</f>
        <v>5.9820216631049717E-3</v>
      </c>
      <c r="E53" s="4">
        <f ca="1">E163*'Total Duration Tables Sup #1'!E53*(1+'Other Assumptions'!I$48)</f>
        <v>6.3527048211596566E-3</v>
      </c>
      <c r="F53" s="4">
        <f ca="1">F163*'Total Duration Tables Sup #1'!F53*(1+'Other Assumptions'!J$48)</f>
        <v>6.652463409798629E-3</v>
      </c>
      <c r="G53" s="4">
        <f ca="1">G163*'Total Duration Tables Sup #1'!G53*(1+'Other Assumptions'!K$48)</f>
        <v>6.8256136648487667E-3</v>
      </c>
      <c r="H53" s="4">
        <f ca="1">H163*'Total Duration Tables Sup #1'!H53*(1+'Other Assumptions'!L$48)</f>
        <v>6.9678288198747737E-3</v>
      </c>
      <c r="I53" s="4">
        <f ca="1">I163*'Total Duration Tables Sup #1'!I53*(1+'Other Assumptions'!M$48)</f>
        <v>6.881901920592938E-3</v>
      </c>
      <c r="J53" s="4">
        <f ca="1">J163*'Total Duration Tables Sup #1'!J53*(1+'Other Assumptions'!N$48)</f>
        <v>6.7754899200006373E-3</v>
      </c>
      <c r="K53" s="4">
        <f ca="1">K163*'Total Duration Tables Sup #1'!K53*(1+'Other Assumptions'!O$48)</f>
        <v>6.6564872793547277E-3</v>
      </c>
    </row>
    <row r="54" spans="1:11" x14ac:dyDescent="0.2">
      <c r="A54" t="str">
        <f ca="1">OFFSET(Gisborne_Reference,35,2)</f>
        <v>Motorcyclist</v>
      </c>
      <c r="B54" s="4">
        <f ca="1">B164*'Total Duration Tables Sup #1'!B54*(1+'Other Assumptions'!D$48)</f>
        <v>4.6418087199999999E-2</v>
      </c>
      <c r="C54" s="4">
        <f ca="1">C164*'Total Duration Tables Sup #1'!C54*(1+'Other Assumptions'!G$48)</f>
        <v>4.879004961913655E-2</v>
      </c>
      <c r="D54" s="4">
        <f ca="1">D164*'Total Duration Tables Sup #1'!D54*(1+'Other Assumptions'!H$48)</f>
        <v>4.9975118072922826E-2</v>
      </c>
      <c r="E54" s="4">
        <f ca="1">E164*'Total Duration Tables Sup #1'!E54*(1+'Other Assumptions'!I$48)</f>
        <v>4.9990253619925859E-2</v>
      </c>
      <c r="F54" s="4">
        <f ca="1">F164*'Total Duration Tables Sup #1'!F54*(1+'Other Assumptions'!J$48)</f>
        <v>4.9821861753874291E-2</v>
      </c>
      <c r="G54" s="4">
        <f ca="1">G164*'Total Duration Tables Sup #1'!G54*(1+'Other Assumptions'!K$48)</f>
        <v>4.8864224092348099E-2</v>
      </c>
      <c r="H54" s="4">
        <f ca="1">H164*'Total Duration Tables Sup #1'!H54*(1+'Other Assumptions'!L$48)</f>
        <v>4.7697987883660524E-2</v>
      </c>
      <c r="I54" s="4">
        <f ca="1">I164*'Total Duration Tables Sup #1'!I54*(1+'Other Assumptions'!M$48)</f>
        <v>4.7437092166941447E-2</v>
      </c>
      <c r="J54" s="4">
        <f ca="1">J164*'Total Duration Tables Sup #1'!J54*(1+'Other Assumptions'!N$48)</f>
        <v>4.7027738671030432E-2</v>
      </c>
      <c r="K54" s="4">
        <f ca="1">K164*'Total Duration Tables Sup #1'!K54*(1+'Other Assumptions'!O$48)</f>
        <v>4.6521897182398152E-2</v>
      </c>
    </row>
    <row r="55" spans="1:11" x14ac:dyDescent="0.2">
      <c r="A55" t="str">
        <f ca="1">OFFSET(Gisborne_Reference,42,2)</f>
        <v>Local Train</v>
      </c>
      <c r="B55" s="4">
        <f ca="1">B165*'Total Duration Tables Sup #1'!B55*(1+'Other Assumptions'!D$48)</f>
        <v>0</v>
      </c>
      <c r="C55" s="4">
        <f ca="1">C165*'Total Duration Tables Sup #1'!C55*(1+'Other Assumptions'!G$48)</f>
        <v>0</v>
      </c>
      <c r="D55" s="4">
        <f ca="1">D165*'Total Duration Tables Sup #1'!D55*(1+'Other Assumptions'!H$48)</f>
        <v>0</v>
      </c>
      <c r="E55" s="4">
        <f ca="1">E165*'Total Duration Tables Sup #1'!E55*(1+'Other Assumptions'!I$48)</f>
        <v>0</v>
      </c>
      <c r="F55" s="4">
        <f ca="1">F165*'Total Duration Tables Sup #1'!F55*(1+'Other Assumptions'!J$48)</f>
        <v>0</v>
      </c>
      <c r="G55" s="4">
        <f ca="1">G165*'Total Duration Tables Sup #1'!G55*(1+'Other Assumptions'!K$48)</f>
        <v>0</v>
      </c>
      <c r="H55" s="4">
        <f ca="1">H165*'Total Duration Tables Sup #1'!H55*(1+'Other Assumptions'!L$48)</f>
        <v>0</v>
      </c>
      <c r="I55" s="4">
        <f ca="1">I165*'Total Duration Tables Sup #1'!I55*(1+'Other Assumptions'!M$48)</f>
        <v>0</v>
      </c>
      <c r="J55" s="4">
        <f ca="1">J165*'Total Duration Tables Sup #1'!J55*(1+'Other Assumptions'!N$48)</f>
        <v>0</v>
      </c>
      <c r="K55" s="4">
        <f ca="1">K165*'Total Duration Tables Sup #1'!K55*(1+'Other Assumptions'!O$48)</f>
        <v>0</v>
      </c>
    </row>
    <row r="56" spans="1:11" x14ac:dyDescent="0.2">
      <c r="A56" t="str">
        <f ca="1">OFFSET(Gisborne_Reference,49,2)</f>
        <v>Local Bus</v>
      </c>
      <c r="B56" s="4">
        <f ca="1">B166*'Total Duration Tables Sup #1'!B56*(1+'Other Assumptions'!D$48)</f>
        <v>0.17812381360000001</v>
      </c>
      <c r="C56" s="4">
        <f ca="1">C166*'Total Duration Tables Sup #1'!C56*(1+'Other Assumptions'!G$48)</f>
        <v>0.16968751607458493</v>
      </c>
      <c r="D56" s="4">
        <f ca="1">D166*'Total Duration Tables Sup #1'!D56*(1+'Other Assumptions'!H$48)</f>
        <v>0.16377090831989524</v>
      </c>
      <c r="E56" s="4">
        <f ca="1">E166*'Total Duration Tables Sup #1'!E56*(1+'Other Assumptions'!I$48)</f>
        <v>0.15940711787596007</v>
      </c>
      <c r="F56" s="4">
        <f ca="1">F166*'Total Duration Tables Sup #1'!F56*(1+'Other Assumptions'!J$48)</f>
        <v>0.15337893572318137</v>
      </c>
      <c r="G56" s="4">
        <f ca="1">G166*'Total Duration Tables Sup #1'!G56*(1+'Other Assumptions'!K$48)</f>
        <v>0.14830664328168072</v>
      </c>
      <c r="H56" s="4">
        <f ca="1">H166*'Total Duration Tables Sup #1'!H56*(1+'Other Assumptions'!L$48)</f>
        <v>0.14275019859924365</v>
      </c>
      <c r="I56" s="4">
        <f ca="1">I166*'Total Duration Tables Sup #1'!I56*(1+'Other Assumptions'!M$48)</f>
        <v>0.14157122844615572</v>
      </c>
      <c r="J56" s="4">
        <f ca="1">J166*'Total Duration Tables Sup #1'!J56*(1+'Other Assumptions'!N$48)</f>
        <v>0.1399557132366385</v>
      </c>
      <c r="K56" s="4">
        <f ca="1">K166*'Total Duration Tables Sup #1'!K56*(1+'Other Assumptions'!O$48)</f>
        <v>0.13806190024721407</v>
      </c>
    </row>
    <row r="57" spans="1:11" x14ac:dyDescent="0.2">
      <c r="A57" t="str">
        <f ca="1">OFFSET(Gisborne_Reference,56,2)</f>
        <v>Local Ferry</v>
      </c>
      <c r="B57" s="4">
        <f ca="1">B167*'Total Duration Tables Sup #1'!B57*(1+'Other Assumptions'!D$48)</f>
        <v>6.5213138999999981E-3</v>
      </c>
      <c r="C57" s="4">
        <f ca="1">C167*'Total Duration Tables Sup #1'!C57*(1+'Other Assumptions'!G$48)</f>
        <v>7.0398787873302924E-3</v>
      </c>
      <c r="D57" s="4">
        <f ca="1">D167*'Total Duration Tables Sup #1'!D57*(1+'Other Assumptions'!H$48)</f>
        <v>7.3585850555004514E-3</v>
      </c>
      <c r="E57" s="4">
        <f ca="1">E167*'Total Duration Tables Sup #1'!E57*(1+'Other Assumptions'!I$48)</f>
        <v>7.5495332448110488E-3</v>
      </c>
      <c r="F57" s="4">
        <f ca="1">F167*'Total Duration Tables Sup #1'!F57*(1+'Other Assumptions'!J$48)</f>
        <v>7.6705561515916501E-3</v>
      </c>
      <c r="G57" s="4">
        <f ca="1">G167*'Total Duration Tables Sup #1'!G57*(1+'Other Assumptions'!K$48)</f>
        <v>7.907776845433907E-3</v>
      </c>
      <c r="H57" s="4">
        <f ca="1">H167*'Total Duration Tables Sup #1'!H57*(1+'Other Assumptions'!L$48)</f>
        <v>8.0918071673251896E-3</v>
      </c>
      <c r="I57" s="4">
        <f ca="1">I167*'Total Duration Tables Sup #1'!I57*(1+'Other Assumptions'!M$48)</f>
        <v>7.8897511988927273E-3</v>
      </c>
      <c r="J57" s="4">
        <f ca="1">J167*'Total Duration Tables Sup #1'!J57*(1+'Other Assumptions'!N$48)</f>
        <v>7.6700526666707413E-3</v>
      </c>
      <c r="K57" s="4">
        <f ca="1">K167*'Total Duration Tables Sup #1'!K57*(1+'Other Assumptions'!O$48)</f>
        <v>7.4421944260642543E-3</v>
      </c>
    </row>
    <row r="58" spans="1:11" x14ac:dyDescent="0.2">
      <c r="A58" t="str">
        <f ca="1">OFFSET(Gisborne_Reference,63,2)</f>
        <v>Other Household Travel</v>
      </c>
      <c r="B58" s="4">
        <f ca="1">B168*'Total Duration Tables Sup #1'!B58*(1+'Other Assumptions'!D$48)</f>
        <v>5.2226492000000003E-3</v>
      </c>
      <c r="C58" s="4">
        <f ca="1">C168*'Total Duration Tables Sup #1'!C58*(1+'Other Assumptions'!G$48)</f>
        <v>5.4958938745032953E-3</v>
      </c>
      <c r="D58" s="4">
        <f ca="1">D168*'Total Duration Tables Sup #1'!D58*(1+'Other Assumptions'!H$48)</f>
        <v>5.6828206434848851E-3</v>
      </c>
      <c r="E58" s="4">
        <f ca="1">E168*'Total Duration Tables Sup #1'!E58*(1+'Other Assumptions'!I$48)</f>
        <v>5.7436601938951901E-3</v>
      </c>
      <c r="F58" s="4">
        <f ca="1">F168*'Total Duration Tables Sup #1'!F58*(1+'Other Assumptions'!J$48)</f>
        <v>5.7741435366083348E-3</v>
      </c>
      <c r="G58" s="4">
        <f ca="1">G168*'Total Duration Tables Sup #1'!G58*(1+'Other Assumptions'!K$48)</f>
        <v>5.8327495464646347E-3</v>
      </c>
      <c r="H58" s="4">
        <f ca="1">H168*'Total Duration Tables Sup #1'!H58*(1+'Other Assumptions'!L$48)</f>
        <v>5.8618904790745481E-3</v>
      </c>
      <c r="I58" s="4">
        <f ca="1">I168*'Total Duration Tables Sup #1'!I58*(1+'Other Assumptions'!M$48)</f>
        <v>5.7813327052302363E-3</v>
      </c>
      <c r="J58" s="4">
        <f ca="1">J168*'Total Duration Tables Sup #1'!J58*(1+'Other Assumptions'!N$48)</f>
        <v>5.6840393684189361E-3</v>
      </c>
      <c r="K58" s="4">
        <f ca="1">K168*'Total Duration Tables Sup #1'!K58*(1+'Other Assumptions'!O$48)</f>
        <v>5.5766807285642286E-3</v>
      </c>
    </row>
    <row r="59" spans="1:11" x14ac:dyDescent="0.2">
      <c r="A59" t="str">
        <f ca="1">OFFSET(Hawkes_Bay_Reference,0,0)</f>
        <v>06 HAWKE`S BAY</v>
      </c>
    </row>
    <row r="60" spans="1:11" x14ac:dyDescent="0.2">
      <c r="A60" t="str">
        <f ca="1">OFFSET(Hawkes_Bay_Reference,0,2)</f>
        <v>Pedestrian</v>
      </c>
      <c r="B60" s="4">
        <f ca="1">B159*'Total Duration Tables Sup #1'!B60*(1+'Other Assumptions'!D$49)*(1+'Active Mode Assumptions'!B11)</f>
        <v>5.9462513095</v>
      </c>
      <c r="C60" s="4">
        <f ca="1">C159*'Total Duration Tables Sup #1'!C60*(1+'Other Assumptions'!G$49)*(1+'Active Mode Assumptions'!C11)</f>
        <v>6.1261722535919629</v>
      </c>
      <c r="D60" s="4">
        <f ca="1">D159*'Total Duration Tables Sup #1'!D60*(1+'Other Assumptions'!H$49)*(1+'Active Mode Assumptions'!D11)</f>
        <v>6.1925761050097607</v>
      </c>
      <c r="E60" s="4">
        <f ca="1">E159*'Total Duration Tables Sup #1'!E60*(1+'Other Assumptions'!I$49)*(1+'Active Mode Assumptions'!E11)</f>
        <v>6.2255921759792816</v>
      </c>
      <c r="F60" s="4">
        <f ca="1">F159*'Total Duration Tables Sup #1'!F60*(1+'Other Assumptions'!J$49)*(1+'Active Mode Assumptions'!F11)</f>
        <v>6.1897615467083789</v>
      </c>
      <c r="G60" s="4">
        <f ca="1">G159*'Total Duration Tables Sup #1'!G60*(1+'Other Assumptions'!K$49)*(1+'Active Mode Assumptions'!G11)</f>
        <v>6.1296728645239122</v>
      </c>
      <c r="H60" s="4">
        <f ca="1">H159*'Total Duration Tables Sup #1'!H60*(1+'Other Assumptions'!L$49)*(1+'Active Mode Assumptions'!H11)</f>
        <v>6.0401445807243839</v>
      </c>
      <c r="I60" s="4">
        <f ca="1">I159*'Total Duration Tables Sup #1'!I60*(1+'Other Assumptions'!M$49)*(1+'Active Mode Assumptions'!I11)</f>
        <v>5.9936112927692449</v>
      </c>
      <c r="J60" s="4">
        <f ca="1">J159*'Total Duration Tables Sup #1'!J60*(1+'Other Assumptions'!N$49)*(1+'Active Mode Assumptions'!J11)</f>
        <v>5.9285650176468874</v>
      </c>
      <c r="K60" s="4">
        <f ca="1">K159*'Total Duration Tables Sup #1'!K60*(1+'Other Assumptions'!O$49)*(1+'Active Mode Assumptions'!K11)</f>
        <v>5.8516803832384374</v>
      </c>
    </row>
    <row r="61" spans="1:11" x14ac:dyDescent="0.2">
      <c r="A61" t="str">
        <f ca="1">OFFSET(Hawkes_Bay_Reference,7,2)</f>
        <v>Cyclist</v>
      </c>
      <c r="B61" s="4">
        <f ca="1">B160*'Total Duration Tables Sup #1'!B61*(1+'Other Assumptions'!D$49)*(1+'Active Mode Assumptions'!B20)</f>
        <v>0.88401106659999995</v>
      </c>
      <c r="C61" s="4">
        <f ca="1">C160*'Total Duration Tables Sup #1'!C61*(1+'Other Assumptions'!G$49)*(1+'Active Mode Assumptions'!C20)</f>
        <v>0.93490644208329787</v>
      </c>
      <c r="D61" s="4">
        <f ca="1">D160*'Total Duration Tables Sup #1'!D61*(1+'Other Assumptions'!H$49)*(1+'Active Mode Assumptions'!D20)</f>
        <v>0.95517471243179775</v>
      </c>
      <c r="E61" s="4">
        <f ca="1">E160*'Total Duration Tables Sup #1'!E61*(1+'Other Assumptions'!I$49)*(1+'Active Mode Assumptions'!E20)</f>
        <v>0.95862213365639615</v>
      </c>
      <c r="F61" s="4">
        <f ca="1">F160*'Total Duration Tables Sup #1'!F61*(1+'Other Assumptions'!J$49)*(1+'Active Mode Assumptions'!F20)</f>
        <v>0.96607601255104592</v>
      </c>
      <c r="G61" s="4">
        <f ca="1">G160*'Total Duration Tables Sup #1'!G61*(1+'Other Assumptions'!K$49)*(1+'Active Mode Assumptions'!G20)</f>
        <v>0.98082003483610214</v>
      </c>
      <c r="H61" s="4">
        <f ca="1">H160*'Total Duration Tables Sup #1'!H61*(1+'Other Assumptions'!L$49)*(1+'Active Mode Assumptions'!H20)</f>
        <v>0.99295537408564849</v>
      </c>
      <c r="I61" s="4">
        <f ca="1">I160*'Total Duration Tables Sup #1'!I61*(1+'Other Assumptions'!M$49)*(1+'Active Mode Assumptions'!I20)</f>
        <v>0.98999940107497864</v>
      </c>
      <c r="J61" s="4">
        <f ca="1">J160*'Total Duration Tables Sup #1'!J61*(1+'Other Assumptions'!N$49)*(1+'Active Mode Assumptions'!J20)</f>
        <v>0.98396569081035345</v>
      </c>
      <c r="K61" s="4">
        <f ca="1">K160*'Total Duration Tables Sup #1'!K61*(1+'Other Assumptions'!O$49)*(1+'Active Mode Assumptions'!K20)</f>
        <v>0.9759206701738693</v>
      </c>
    </row>
    <row r="62" spans="1:11" x14ac:dyDescent="0.2">
      <c r="A62" t="str">
        <f ca="1">OFFSET(Hawkes_Bay_Reference,14,2)</f>
        <v>Light Vehicle Driver</v>
      </c>
      <c r="B62" s="4">
        <f ca="1">B161*'Total Duration Tables Sup #1'!B62*(1+'Other Assumptions'!D$49)-(B60*'Active Mode Assumptions'!B11*'Active Mode Assumptions'!B14/(1+'Active Mode Assumptions'!B11))-(B61*'Active Mode Assumptions'!B20*'Active Mode Assumptions'!B23/(1+'Active Mode Assumptions'!B20))</f>
        <v>25.377986313000001</v>
      </c>
      <c r="C62" s="4">
        <f ca="1">C161*'Total Duration Tables Sup #1'!C62*(1+'Other Assumptions'!G$49)-(C60*'Active Mode Assumptions'!C11*'Active Mode Assumptions'!C14/(1+'Active Mode Assumptions'!C11))-(C61*'Active Mode Assumptions'!C20*'Active Mode Assumptions'!C23/(1+'Active Mode Assumptions'!C20))</f>
        <v>27.088964251492929</v>
      </c>
      <c r="D62" s="4">
        <f ca="1">D161*'Total Duration Tables Sup #1'!D62*(1+'Other Assumptions'!H$49)-(D60*'Active Mode Assumptions'!D11*'Active Mode Assumptions'!D14/(1+'Active Mode Assumptions'!D11))-(D61*'Active Mode Assumptions'!D20*'Active Mode Assumptions'!D23/(1+'Active Mode Assumptions'!D20))</f>
        <v>27.96489399013787</v>
      </c>
      <c r="E62" s="4">
        <f ca="1">E161*'Total Duration Tables Sup #1'!E62*(1+'Other Assumptions'!I$49)-(E60*'Active Mode Assumptions'!E11*'Active Mode Assumptions'!E14/(1+'Active Mode Assumptions'!E11))-(E61*'Active Mode Assumptions'!E20*'Active Mode Assumptions'!E23/(1+'Active Mode Assumptions'!E20))</f>
        <v>28.391957858964048</v>
      </c>
      <c r="F62" s="4">
        <f ca="1">F161*'Total Duration Tables Sup #1'!F62*(1+'Other Assumptions'!J$49)-(F60*'Active Mode Assumptions'!F11*'Active Mode Assumptions'!F14/(1+'Active Mode Assumptions'!F11))-(F61*'Active Mode Assumptions'!F20*'Active Mode Assumptions'!F23/(1+'Active Mode Assumptions'!F20))</f>
        <v>28.667964773593795</v>
      </c>
      <c r="G62" s="4">
        <f ca="1">G161*'Total Duration Tables Sup #1'!G62*(1+'Other Assumptions'!K$49)-(G60*'Active Mode Assumptions'!G11*'Active Mode Assumptions'!G14/(1+'Active Mode Assumptions'!G11))-(G61*'Active Mode Assumptions'!G20*'Active Mode Assumptions'!G23/(1+'Active Mode Assumptions'!G20))</f>
        <v>28.680575115467185</v>
      </c>
      <c r="H62" s="4">
        <f ca="1">H161*'Total Duration Tables Sup #1'!H62*(1+'Other Assumptions'!L$49)-(H60*'Active Mode Assumptions'!H11*'Active Mode Assumptions'!H14/(1+'Active Mode Assumptions'!H11))-(H61*'Active Mode Assumptions'!H20*'Active Mode Assumptions'!H23/(1+'Active Mode Assumptions'!H20))</f>
        <v>28.563105431012691</v>
      </c>
      <c r="I62" s="4">
        <f ca="1">I161*'Total Duration Tables Sup #1'!I62*(1+'Other Assumptions'!M$49)-(I60*'Active Mode Assumptions'!I11*'Active Mode Assumptions'!I14/(1+'Active Mode Assumptions'!I11))-(I61*'Active Mode Assumptions'!I20*'Active Mode Assumptions'!I23/(1+'Active Mode Assumptions'!I20))</f>
        <v>28.331445995130753</v>
      </c>
      <c r="J62" s="4">
        <f ca="1">J161*'Total Duration Tables Sup #1'!J62*(1+'Other Assumptions'!N$49)-(J60*'Active Mode Assumptions'!J11*'Active Mode Assumptions'!J14/(1+'Active Mode Assumptions'!J11))-(J61*'Active Mode Assumptions'!J20*'Active Mode Assumptions'!J23/(1+'Active Mode Assumptions'!J20))</f>
        <v>28.012559182959016</v>
      </c>
      <c r="K62" s="4">
        <f ca="1">K161*'Total Duration Tables Sup #1'!K62*(1+'Other Assumptions'!O$49)-(K60*'Active Mode Assumptions'!K11*'Active Mode Assumptions'!K14/(1+'Active Mode Assumptions'!K11))-(K61*'Active Mode Assumptions'!K20*'Active Mode Assumptions'!K23/(1+'Active Mode Assumptions'!K20))</f>
        <v>27.638089762281325</v>
      </c>
    </row>
    <row r="63" spans="1:11" x14ac:dyDescent="0.2">
      <c r="A63" t="str">
        <f ca="1">OFFSET(Hawkes_Bay_Reference,21,2)</f>
        <v>Light Vehicle Passenger</v>
      </c>
      <c r="B63" s="4">
        <f ca="1">B162*'Total Duration Tables Sup #1'!B63*(1+'Other Assumptions'!D$49)-(B60*'Active Mode Assumptions'!B11*'Active Mode Assumptions'!B15/(1+'Active Mode Assumptions'!B11))-(B61*'Active Mode Assumptions'!B20*'Active Mode Assumptions'!B24/(1+'Active Mode Assumptions'!B20))</f>
        <v>15.230731736999999</v>
      </c>
      <c r="C63" s="4">
        <f ca="1">C162*'Total Duration Tables Sup #1'!C63*(1+'Other Assumptions'!G$49)-(C60*'Active Mode Assumptions'!C11*'Active Mode Assumptions'!C15/(1+'Active Mode Assumptions'!C11))-(C61*'Active Mode Assumptions'!C20*'Active Mode Assumptions'!C24/(1+'Active Mode Assumptions'!C20))</f>
        <v>15.542733558151221</v>
      </c>
      <c r="D63" s="4">
        <f ca="1">D162*'Total Duration Tables Sup #1'!D63*(1+'Other Assumptions'!H$49)-(D60*'Active Mode Assumptions'!D11*'Active Mode Assumptions'!D15/(1+'Active Mode Assumptions'!D11))-(D61*'Active Mode Assumptions'!D20*'Active Mode Assumptions'!D24/(1+'Active Mode Assumptions'!D20))</f>
        <v>15.640481713293694</v>
      </c>
      <c r="E63" s="4">
        <f ca="1">E162*'Total Duration Tables Sup #1'!E63*(1+'Other Assumptions'!I$49)-(E60*'Active Mode Assumptions'!E11*'Active Mode Assumptions'!E15/(1+'Active Mode Assumptions'!E11))-(E61*'Active Mode Assumptions'!E20*'Active Mode Assumptions'!E24/(1+'Active Mode Assumptions'!E20))</f>
        <v>15.63971093871571</v>
      </c>
      <c r="F63" s="4">
        <f ca="1">F162*'Total Duration Tables Sup #1'!F63*(1+'Other Assumptions'!J$49)-(F60*'Active Mode Assumptions'!F11*'Active Mode Assumptions'!F15/(1+'Active Mode Assumptions'!F11))-(F61*'Active Mode Assumptions'!F20*'Active Mode Assumptions'!F24/(1+'Active Mode Assumptions'!F20))</f>
        <v>15.534542522448257</v>
      </c>
      <c r="G63" s="4">
        <f ca="1">G162*'Total Duration Tables Sup #1'!G63*(1+'Other Assumptions'!K$49)-(G60*'Active Mode Assumptions'!G11*'Active Mode Assumptions'!G15/(1+'Active Mode Assumptions'!G11))-(G61*'Active Mode Assumptions'!G20*'Active Mode Assumptions'!G24/(1+'Active Mode Assumptions'!G20))</f>
        <v>15.351670238485317</v>
      </c>
      <c r="H63" s="4">
        <f ca="1">H162*'Total Duration Tables Sup #1'!H63*(1+'Other Assumptions'!L$49)-(H60*'Active Mode Assumptions'!H11*'Active Mode Assumptions'!H15/(1+'Active Mode Assumptions'!H11))-(H61*'Active Mode Assumptions'!H20*'Active Mode Assumptions'!H24/(1+'Active Mode Assumptions'!H20))</f>
        <v>15.086810689614191</v>
      </c>
      <c r="I63" s="4">
        <f ca="1">I162*'Total Duration Tables Sup #1'!I63*(1+'Other Assumptions'!M$49)-(I60*'Active Mode Assumptions'!I11*'Active Mode Assumptions'!I15/(1+'Active Mode Assumptions'!I11))-(I61*'Active Mode Assumptions'!I20*'Active Mode Assumptions'!I24/(1+'Active Mode Assumptions'!I20))</f>
        <v>14.979264604794569</v>
      </c>
      <c r="J63" s="4">
        <f ca="1">J162*'Total Duration Tables Sup #1'!J63*(1+'Other Assumptions'!N$49)-(J60*'Active Mode Assumptions'!J11*'Active Mode Assumptions'!J15/(1+'Active Mode Assumptions'!J11))-(J61*'Active Mode Assumptions'!J20*'Active Mode Assumptions'!J24/(1+'Active Mode Assumptions'!J20))</f>
        <v>14.825251277576378</v>
      </c>
      <c r="K63" s="4">
        <f ca="1">K162*'Total Duration Tables Sup #1'!K63*(1+'Other Assumptions'!O$49)-(K60*'Active Mode Assumptions'!K11*'Active Mode Assumptions'!K15/(1+'Active Mode Assumptions'!K11))-(K61*'Active Mode Assumptions'!K20*'Active Mode Assumptions'!K24/(1+'Active Mode Assumptions'!K20))</f>
        <v>14.641393771297137</v>
      </c>
    </row>
    <row r="64" spans="1:11" x14ac:dyDescent="0.2">
      <c r="A64" t="str">
        <f ca="1">OFFSET(Hawkes_Bay_Reference,28,2)</f>
        <v>Taxi/Vehicle Share</v>
      </c>
      <c r="B64" s="4">
        <f ca="1">B163*'Total Duration Tables Sup #1'!B64*(1+'Other Assumptions'!D$49)</f>
        <v>4.5837477299999999E-2</v>
      </c>
      <c r="C64" s="4">
        <f ca="1">C163*'Total Duration Tables Sup #1'!C64*(1+'Other Assumptions'!G$49)</f>
        <v>5.0843799984188191E-2</v>
      </c>
      <c r="D64" s="4">
        <f ca="1">D163*'Total Duration Tables Sup #1'!D64*(1+'Other Assumptions'!H$49)</f>
        <v>5.4694942886426665E-2</v>
      </c>
      <c r="E64" s="4">
        <f ca="1">E163*'Total Duration Tables Sup #1'!E64*(1+'Other Assumptions'!I$49)</f>
        <v>5.8244207151437223E-2</v>
      </c>
      <c r="F64" s="4">
        <f ca="1">F163*'Total Duration Tables Sup #1'!F64*(1+'Other Assumptions'!J$49)</f>
        <v>6.109264901050674E-2</v>
      </c>
      <c r="G64" s="4">
        <f ca="1">G163*'Total Duration Tables Sup #1'!G64*(1+'Other Assumptions'!K$49)</f>
        <v>6.288100737994988E-2</v>
      </c>
      <c r="H64" s="4">
        <f ca="1">H163*'Total Duration Tables Sup #1'!H64*(1+'Other Assumptions'!L$49)</f>
        <v>6.4351026719055571E-2</v>
      </c>
      <c r="I64" s="4">
        <f ca="1">I163*'Total Duration Tables Sup #1'!I64*(1+'Other Assumptions'!M$49)</f>
        <v>6.3715736400576151E-2</v>
      </c>
      <c r="J64" s="4">
        <f ca="1">J163*'Total Duration Tables Sup #1'!J64*(1+'Other Assumptions'!N$49)</f>
        <v>6.2886750134907451E-2</v>
      </c>
      <c r="K64" s="4">
        <f ca="1">K163*'Total Duration Tables Sup #1'!K64*(1+'Other Assumptions'!O$49)</f>
        <v>6.1936088564779293E-2</v>
      </c>
    </row>
    <row r="65" spans="1:11" x14ac:dyDescent="0.2">
      <c r="A65" t="str">
        <f ca="1">OFFSET(Hawkes_Bay_Reference,35,2)</f>
        <v>Motorcyclist</v>
      </c>
      <c r="B65" s="4">
        <f ca="1">B164*'Total Duration Tables Sup #1'!B65*(1+'Other Assumptions'!D$49)</f>
        <v>0.11763194120000001</v>
      </c>
      <c r="C65" s="4">
        <f ca="1">C164*'Total Duration Tables Sup #1'!C65*(1+'Other Assumptions'!G$49)</f>
        <v>0.12444484098883277</v>
      </c>
      <c r="D65" s="4">
        <f ca="1">D164*'Total Duration Tables Sup #1'!D65*(1+'Other Assumptions'!H$49)</f>
        <v>0.12766184847253947</v>
      </c>
      <c r="E65" s="4">
        <f ca="1">E164*'Total Duration Tables Sup #1'!E65*(1+'Other Assumptions'!I$49)</f>
        <v>0.12805233717986977</v>
      </c>
      <c r="F65" s="4">
        <f ca="1">F164*'Total Duration Tables Sup #1'!F65*(1+'Other Assumptions'!J$49)</f>
        <v>0.12783051025457473</v>
      </c>
      <c r="G65" s="4">
        <f ca="1">G164*'Total Duration Tables Sup #1'!G65*(1+'Other Assumptions'!K$49)</f>
        <v>0.12576995408966943</v>
      </c>
      <c r="H65" s="4">
        <f ca="1">H164*'Total Duration Tables Sup #1'!H65*(1+'Other Assumptions'!L$49)</f>
        <v>0.1230739599857224</v>
      </c>
      <c r="I65" s="4">
        <f ca="1">I164*'Total Duration Tables Sup #1'!I65*(1+'Other Assumptions'!M$49)</f>
        <v>0.12270560338910257</v>
      </c>
      <c r="J65" s="4">
        <f ca="1">J164*'Total Duration Tables Sup #1'!J65*(1+'Other Assumptions'!N$49)</f>
        <v>0.12194967644246872</v>
      </c>
      <c r="K65" s="4">
        <f ca="1">K164*'Total Duration Tables Sup #1'!K65*(1+'Other Assumptions'!O$49)</f>
        <v>0.12093839302478535</v>
      </c>
    </row>
    <row r="66" spans="1:11" x14ac:dyDescent="0.2">
      <c r="A66" t="str">
        <f ca="1">OFFSET(Auckland_Reference,42,2)</f>
        <v>Local Train</v>
      </c>
      <c r="B66" s="4">
        <f ca="1">B165*'Total Duration Tables Sup #1'!B66*(1+'Other Assumptions'!D$49)</f>
        <v>0</v>
      </c>
      <c r="C66" s="4">
        <f ca="1">C165*'Total Duration Tables Sup #1'!C66*(1+'Other Assumptions'!G$49)</f>
        <v>0</v>
      </c>
      <c r="D66" s="4">
        <f ca="1">D165*'Total Duration Tables Sup #1'!D66*(1+'Other Assumptions'!H$49)</f>
        <v>0</v>
      </c>
      <c r="E66" s="4">
        <f ca="1">E165*'Total Duration Tables Sup #1'!E66*(1+'Other Assumptions'!I$49)</f>
        <v>0</v>
      </c>
      <c r="F66" s="4">
        <f ca="1">F165*'Total Duration Tables Sup #1'!F66*(1+'Other Assumptions'!J$49)</f>
        <v>0</v>
      </c>
      <c r="G66" s="4">
        <f ca="1">G165*'Total Duration Tables Sup #1'!G66*(1+'Other Assumptions'!K$49)</f>
        <v>0</v>
      </c>
      <c r="H66" s="4">
        <f ca="1">H165*'Total Duration Tables Sup #1'!H66*(1+'Other Assumptions'!L$49)</f>
        <v>0</v>
      </c>
      <c r="I66" s="4">
        <f ca="1">I165*'Total Duration Tables Sup #1'!I66*(1+'Other Assumptions'!M$49)</f>
        <v>0</v>
      </c>
      <c r="J66" s="4">
        <f ca="1">J165*'Total Duration Tables Sup #1'!J66*(1+'Other Assumptions'!N$49)</f>
        <v>0</v>
      </c>
      <c r="K66" s="4">
        <f ca="1">K165*'Total Duration Tables Sup #1'!K66*(1+'Other Assumptions'!O$49)</f>
        <v>0</v>
      </c>
    </row>
    <row r="67" spans="1:11" x14ac:dyDescent="0.2">
      <c r="A67" t="str">
        <f ca="1">OFFSET(Hawkes_Bay_Reference,42,2)</f>
        <v>Local Bus</v>
      </c>
      <c r="B67" s="4">
        <f ca="1">B166*'Total Duration Tables Sup #1'!B67*(1+'Other Assumptions'!D$49)</f>
        <v>1.3660147812000001</v>
      </c>
      <c r="C67" s="4">
        <f ca="1">C166*'Total Duration Tables Sup #1'!C67*(1+'Other Assumptions'!G$49)</f>
        <v>1.3097575779203672</v>
      </c>
      <c r="D67" s="4">
        <f ca="1">D166*'Total Duration Tables Sup #1'!D67*(1+'Other Assumptions'!H$49)</f>
        <v>1.2660167378390328</v>
      </c>
      <c r="E67" s="4">
        <f ca="1">E166*'Total Duration Tables Sup #1'!E67*(1+'Other Assumptions'!I$49)</f>
        <v>1.2356778709279834</v>
      </c>
      <c r="F67" s="4">
        <f ca="1">F166*'Total Duration Tables Sup #1'!F67*(1+'Other Assumptions'!J$49)</f>
        <v>1.1909010555583588</v>
      </c>
      <c r="G67" s="4">
        <f ca="1">G166*'Total Duration Tables Sup #1'!G67*(1+'Other Assumptions'!K$49)</f>
        <v>1.155159331599072</v>
      </c>
      <c r="H67" s="4">
        <f ca="1">H166*'Total Duration Tables Sup #1'!H67*(1+'Other Assumptions'!L$49)</f>
        <v>1.1146492466474451</v>
      </c>
      <c r="I67" s="4">
        <f ca="1">I166*'Total Duration Tables Sup #1'!I67*(1+'Other Assumptions'!M$49)</f>
        <v>1.1081963784144422</v>
      </c>
      <c r="J67" s="4">
        <f ca="1">J166*'Total Duration Tables Sup #1'!J67*(1+'Other Assumptions'!N$49)</f>
        <v>1.0982787433145733</v>
      </c>
      <c r="K67" s="4">
        <f ca="1">K166*'Total Duration Tables Sup #1'!K67*(1+'Other Assumptions'!O$49)</f>
        <v>1.0861155040187875</v>
      </c>
    </row>
    <row r="68" spans="1:11" x14ac:dyDescent="0.2">
      <c r="A68" t="str">
        <f ca="1">OFFSET(Waikato_Reference,56,2)</f>
        <v>Local Ferry</v>
      </c>
      <c r="B68" s="4">
        <f ca="1">B167*'Total Duration Tables Sup #1'!B68*(1+'Other Assumptions'!D$49)</f>
        <v>0</v>
      </c>
      <c r="C68" s="4">
        <f ca="1">C167*'Total Duration Tables Sup #1'!C68*(1+'Other Assumptions'!G$49)</f>
        <v>0</v>
      </c>
      <c r="D68" s="4">
        <f ca="1">D167*'Total Duration Tables Sup #1'!D68*(1+'Other Assumptions'!H$49)</f>
        <v>0</v>
      </c>
      <c r="E68" s="4">
        <f ca="1">E167*'Total Duration Tables Sup #1'!E68*(1+'Other Assumptions'!I$49)</f>
        <v>0</v>
      </c>
      <c r="F68" s="4">
        <f ca="1">F167*'Total Duration Tables Sup #1'!F68*(1+'Other Assumptions'!J$49)</f>
        <v>0</v>
      </c>
      <c r="G68" s="4">
        <f ca="1">G167*'Total Duration Tables Sup #1'!G68*(1+'Other Assumptions'!K$49)</f>
        <v>0</v>
      </c>
      <c r="H68" s="4">
        <f ca="1">H167*'Total Duration Tables Sup #1'!H68*(1+'Other Assumptions'!L$49)</f>
        <v>0</v>
      </c>
      <c r="I68" s="4">
        <f ca="1">I167*'Total Duration Tables Sup #1'!I68*(1+'Other Assumptions'!M$49)</f>
        <v>0</v>
      </c>
      <c r="J68" s="4">
        <f ca="1">J167*'Total Duration Tables Sup #1'!J68*(1+'Other Assumptions'!N$49)</f>
        <v>0</v>
      </c>
      <c r="K68" s="4">
        <f ca="1">K167*'Total Duration Tables Sup #1'!K68*(1+'Other Assumptions'!O$49)</f>
        <v>0</v>
      </c>
    </row>
    <row r="69" spans="1:11" x14ac:dyDescent="0.2">
      <c r="A69" t="str">
        <f ca="1">OFFSET(Hawkes_Bay_Reference,49,2)</f>
        <v>Other Household Travel</v>
      </c>
      <c r="B69" s="4">
        <f ca="1">B168*'Total Duration Tables Sup #1'!B69*(1+'Other Assumptions'!D$49)</f>
        <v>0.15778150060000001</v>
      </c>
      <c r="C69" s="4">
        <f ca="1">C168*'Total Duration Tables Sup #1'!C69*(1+'Other Assumptions'!G$49)</f>
        <v>0.16711336251513498</v>
      </c>
      <c r="D69" s="4">
        <f ca="1">D168*'Total Duration Tables Sup #1'!D69*(1+'Other Assumptions'!H$49)</f>
        <v>0.17306069822928091</v>
      </c>
      <c r="E69" s="4">
        <f ca="1">E168*'Total Duration Tables Sup #1'!E69*(1+'Other Assumptions'!I$49)</f>
        <v>0.17539536408938383</v>
      </c>
      <c r="F69" s="4">
        <f ca="1">F168*'Total Duration Tables Sup #1'!F69*(1+'Other Assumptions'!J$49)</f>
        <v>0.17661571682333974</v>
      </c>
      <c r="G69" s="4">
        <f ca="1">G168*'Total Duration Tables Sup #1'!G69*(1+'Other Assumptions'!K$49)</f>
        <v>0.17897255020165784</v>
      </c>
      <c r="H69" s="4">
        <f ca="1">H168*'Total Duration Tables Sup #1'!H69*(1+'Other Assumptions'!L$49)</f>
        <v>0.18031465205872327</v>
      </c>
      <c r="I69" s="4">
        <f ca="1">I168*'Total Duration Tables Sup #1'!I69*(1+'Other Assumptions'!M$49)</f>
        <v>0.1782795385901593</v>
      </c>
      <c r="J69" s="4">
        <f ca="1">J168*'Total Duration Tables Sup #1'!J69*(1+'Other Assumptions'!N$49)</f>
        <v>0.17571580885151042</v>
      </c>
      <c r="K69" s="4">
        <f ca="1">K168*'Total Duration Tables Sup #1'!K69*(1+'Other Assumptions'!O$49)</f>
        <v>0.17282627136206502</v>
      </c>
    </row>
    <row r="70" spans="1:11" x14ac:dyDescent="0.2">
      <c r="A70" t="str">
        <f ca="1">OFFSET(Taranaki_Reference,0,0)</f>
        <v>07 TARANAKI</v>
      </c>
    </row>
    <row r="71" spans="1:11" x14ac:dyDescent="0.2">
      <c r="A71" t="str">
        <f ca="1">OFFSET(Taranaki_Reference,0,2)</f>
        <v>Pedestrian</v>
      </c>
      <c r="B71" s="4">
        <f ca="1">B159*'Total Duration Tables Sup #1'!B71*(1+'Other Assumptions'!D$50)*(1+'Active Mode Assumptions'!B11)</f>
        <v>4.7547330373000003</v>
      </c>
      <c r="C71" s="4">
        <f ca="1">C159*'Total Duration Tables Sup #1'!C71*(1+'Other Assumptions'!G$50)*(1+'Active Mode Assumptions'!C11)</f>
        <v>4.9448601981688904</v>
      </c>
      <c r="D71" s="4">
        <f ca="1">D159*'Total Duration Tables Sup #1'!D71*(1+'Other Assumptions'!H$50)*(1+'Active Mode Assumptions'!D11)</f>
        <v>5.039803698943464</v>
      </c>
      <c r="E71" s="4">
        <f ca="1">E159*'Total Duration Tables Sup #1'!E71*(1+'Other Assumptions'!I$50)*(1+'Active Mode Assumptions'!E11)</f>
        <v>5.1143759343501447</v>
      </c>
      <c r="F71" s="4">
        <f ca="1">F159*'Total Duration Tables Sup #1'!F71*(1+'Other Assumptions'!J$50)*(1+'Active Mode Assumptions'!F11)</f>
        <v>5.1388110035837142</v>
      </c>
      <c r="G71" s="4">
        <f ca="1">G159*'Total Duration Tables Sup #1'!G71*(1+'Other Assumptions'!K$50)*(1+'Active Mode Assumptions'!G11)</f>
        <v>5.150600685264993</v>
      </c>
      <c r="H71" s="4">
        <f ca="1">H159*'Total Duration Tables Sup #1'!H71*(1+'Other Assumptions'!L$50)*(1+'Active Mode Assumptions'!H11)</f>
        <v>5.144330297576281</v>
      </c>
      <c r="I71" s="4">
        <f ca="1">I159*'Total Duration Tables Sup #1'!I71*(1+'Other Assumptions'!M$50)*(1+'Active Mode Assumptions'!I11)</f>
        <v>5.1740546511817325</v>
      </c>
      <c r="J71" s="4">
        <f ca="1">J159*'Total Duration Tables Sup #1'!J71*(1+'Other Assumptions'!N$50)*(1+'Active Mode Assumptions'!J11)</f>
        <v>5.1874383879928914</v>
      </c>
      <c r="K71" s="4">
        <f ca="1">K159*'Total Duration Tables Sup #1'!K71*(1+'Other Assumptions'!O$50)*(1+'Active Mode Assumptions'!K11)</f>
        <v>5.1897314875702785</v>
      </c>
    </row>
    <row r="72" spans="1:11" x14ac:dyDescent="0.2">
      <c r="A72" t="str">
        <f ca="1">OFFSET(Taranaki_Reference,7,2)</f>
        <v>Cyclist</v>
      </c>
      <c r="B72" s="4">
        <f ca="1">B160*'Total Duration Tables Sup #1'!B72*(1+'Other Assumptions'!D$50)*(1+'Active Mode Assumptions'!B20)</f>
        <v>0.51341482110000003</v>
      </c>
      <c r="C72" s="4">
        <f ca="1">C160*'Total Duration Tables Sup #1'!C72*(1+'Other Assumptions'!G$50)*(1+'Active Mode Assumptions'!C20)</f>
        <v>0.54810124446167907</v>
      </c>
      <c r="D72" s="4">
        <f ca="1">D160*'Total Duration Tables Sup #1'!D72*(1+'Other Assumptions'!H$50)*(1+'Active Mode Assumptions'!D20)</f>
        <v>0.56461564345306769</v>
      </c>
      <c r="E72" s="4">
        <f ca="1">E160*'Total Duration Tables Sup #1'!E72*(1+'Other Assumptions'!I$50)*(1+'Active Mode Assumptions'!E20)</f>
        <v>0.57198844370544888</v>
      </c>
      <c r="F72" s="4">
        <f ca="1">F160*'Total Duration Tables Sup #1'!F72*(1+'Other Assumptions'!J$50)*(1+'Active Mode Assumptions'!F20)</f>
        <v>0.58254281171169842</v>
      </c>
      <c r="G72" s="4">
        <f ca="1">G160*'Total Duration Tables Sup #1'!G72*(1+'Other Assumptions'!K$50)*(1+'Active Mode Assumptions'!G20)</f>
        <v>0.59860140881398982</v>
      </c>
      <c r="H72" s="4">
        <f ca="1">H160*'Total Duration Tables Sup #1'!H72*(1+'Other Assumptions'!L$50)*(1+'Active Mode Assumptions'!H20)</f>
        <v>0.61424137030947978</v>
      </c>
      <c r="I72" s="4">
        <f ca="1">I160*'Total Duration Tables Sup #1'!I72*(1+'Other Assumptions'!M$50)*(1+'Active Mode Assumptions'!I20)</f>
        <v>0.62073351066134141</v>
      </c>
      <c r="J72" s="4">
        <f ca="1">J160*'Total Duration Tables Sup #1'!J72*(1+'Other Assumptions'!N$50)*(1+'Active Mode Assumptions'!J20)</f>
        <v>0.62533270392564899</v>
      </c>
      <c r="K72" s="4">
        <f ca="1">K160*'Total Duration Tables Sup #1'!K72*(1+'Other Assumptions'!O$50)*(1+'Active Mode Assumptions'!K20)</f>
        <v>0.62864668526550016</v>
      </c>
    </row>
    <row r="73" spans="1:11" x14ac:dyDescent="0.2">
      <c r="A73" t="str">
        <f ca="1">OFFSET(Taranaki_Reference,14,2)</f>
        <v>Light Vehicle Driver</v>
      </c>
      <c r="B73" s="4">
        <f ca="1">B161*'Total Duration Tables Sup #1'!B73*(1+'Other Assumptions'!D$50)-(B71*'Active Mode Assumptions'!B11*'Active Mode Assumptions'!B14/(1+'Active Mode Assumptions'!B11))-(B72*'Active Mode Assumptions'!B20*'Active Mode Assumptions'!B23/(1+'Active Mode Assumptions'!B20))</f>
        <v>21.205429401</v>
      </c>
      <c r="C73" s="4">
        <f ca="1">C161*'Total Duration Tables Sup #1'!C73*(1+'Other Assumptions'!G$50)-(C71*'Active Mode Assumptions'!C11*'Active Mode Assumptions'!C14/(1+'Active Mode Assumptions'!C11))-(C72*'Active Mode Assumptions'!C20*'Active Mode Assumptions'!C23/(1+'Active Mode Assumptions'!C20))</f>
        <v>22.848844835593386</v>
      </c>
      <c r="D73" s="4">
        <f ca="1">D161*'Total Duration Tables Sup #1'!D73*(1+'Other Assumptions'!H$50)-(D71*'Active Mode Assumptions'!D11*'Active Mode Assumptions'!D14/(1+'Active Mode Assumptions'!D11))-(D72*'Active Mode Assumptions'!D20*'Active Mode Assumptions'!D23/(1+'Active Mode Assumptions'!D20))</f>
        <v>23.782772432303965</v>
      </c>
      <c r="E73" s="4">
        <f ca="1">E161*'Total Duration Tables Sup #1'!E73*(1+'Other Assumptions'!I$50)-(E71*'Active Mode Assumptions'!E11*'Active Mode Assumptions'!E14/(1+'Active Mode Assumptions'!E11))-(E72*'Active Mode Assumptions'!E20*'Active Mode Assumptions'!E23/(1+'Active Mode Assumptions'!E20))</f>
        <v>24.373301265416817</v>
      </c>
      <c r="F73" s="4">
        <f ca="1">F161*'Total Duration Tables Sup #1'!F73*(1+'Other Assumptions'!J$50)-(F71*'Active Mode Assumptions'!F11*'Active Mode Assumptions'!F14/(1+'Active Mode Assumptions'!F11))-(F72*'Active Mode Assumptions'!F20*'Active Mode Assumptions'!F23/(1+'Active Mode Assumptions'!F20))</f>
        <v>24.870964267909972</v>
      </c>
      <c r="G73" s="4">
        <f ca="1">G161*'Total Duration Tables Sup #1'!G73*(1+'Other Assumptions'!K$50)-(G71*'Active Mode Assumptions'!G11*'Active Mode Assumptions'!G14/(1+'Active Mode Assumptions'!G11))-(G72*'Active Mode Assumptions'!G20*'Active Mode Assumptions'!G23/(1+'Active Mode Assumptions'!G20))</f>
        <v>25.183464415358952</v>
      </c>
      <c r="H73" s="4">
        <f ca="1">H161*'Total Duration Tables Sup #1'!H73*(1+'Other Assumptions'!L$50)-(H71*'Active Mode Assumptions'!H11*'Active Mode Assumptions'!H14/(1+'Active Mode Assumptions'!H11))-(H72*'Active Mode Assumptions'!H20*'Active Mode Assumptions'!H23/(1+'Active Mode Assumptions'!H20))</f>
        <v>25.421078309960592</v>
      </c>
      <c r="I73" s="4">
        <f ca="1">I161*'Total Duration Tables Sup #1'!I73*(1+'Other Assumptions'!M$50)-(I71*'Active Mode Assumptions'!I11*'Active Mode Assumptions'!I14/(1+'Active Mode Assumptions'!I11))-(I72*'Active Mode Assumptions'!I20*'Active Mode Assumptions'!I23/(1+'Active Mode Assumptions'!I20))</f>
        <v>25.557490803895831</v>
      </c>
      <c r="J73" s="4">
        <f ca="1">J161*'Total Duration Tables Sup #1'!J73*(1+'Other Assumptions'!N$50)-(J71*'Active Mode Assumptions'!J11*'Active Mode Assumptions'!J14/(1+'Active Mode Assumptions'!J11))-(J72*'Active Mode Assumptions'!J20*'Active Mode Assumptions'!J23/(1+'Active Mode Assumptions'!J20))</f>
        <v>25.61316140392438</v>
      </c>
      <c r="K73" s="4">
        <f ca="1">K161*'Total Duration Tables Sup #1'!K73*(1+'Other Assumptions'!O$50)-(K71*'Active Mode Assumptions'!K11*'Active Mode Assumptions'!K14/(1+'Active Mode Assumptions'!K11))-(K72*'Active Mode Assumptions'!K20*'Active Mode Assumptions'!K23/(1+'Active Mode Assumptions'!K20))</f>
        <v>25.614114640948326</v>
      </c>
    </row>
    <row r="74" spans="1:11" x14ac:dyDescent="0.2">
      <c r="A74" t="str">
        <f ca="1">OFFSET(Taranaki_Reference,21,2)</f>
        <v>Light Vehicle Passenger</v>
      </c>
      <c r="B74" s="4">
        <f ca="1">B162*'Total Duration Tables Sup #1'!B74*(1+'Other Assumptions'!D$50)-(B71*'Active Mode Assumptions'!B11*'Active Mode Assumptions'!B15/(1+'Active Mode Assumptions'!B11))-(B72*'Active Mode Assumptions'!B20*'Active Mode Assumptions'!B24/(1+'Active Mode Assumptions'!B20))</f>
        <v>13.125178352000001</v>
      </c>
      <c r="C74" s="4">
        <f ca="1">C162*'Total Duration Tables Sup #1'!C74*(1+'Other Assumptions'!G$50)-(C71*'Active Mode Assumptions'!C11*'Active Mode Assumptions'!C15/(1+'Active Mode Assumptions'!C11))-(C72*'Active Mode Assumptions'!C20*'Active Mode Assumptions'!C24/(1+'Active Mode Assumptions'!C20))</f>
        <v>13.520532077829463</v>
      </c>
      <c r="D74" s="4">
        <f ca="1">D162*'Total Duration Tables Sup #1'!D74*(1+'Other Assumptions'!H$50)-(D71*'Active Mode Assumptions'!D11*'Active Mode Assumptions'!D15/(1+'Active Mode Assumptions'!D11))-(D72*'Active Mode Assumptions'!D20*'Active Mode Assumptions'!D24/(1+'Active Mode Assumptions'!D20))</f>
        <v>13.718099866156351</v>
      </c>
      <c r="E74" s="4">
        <f ca="1">E162*'Total Duration Tables Sup #1'!E74*(1+'Other Assumptions'!I$50)-(E71*'Active Mode Assumptions'!E11*'Active Mode Assumptions'!E15/(1+'Active Mode Assumptions'!E11))-(E72*'Active Mode Assumptions'!E20*'Active Mode Assumptions'!E24/(1+'Active Mode Assumptions'!E20))</f>
        <v>13.846572027964456</v>
      </c>
      <c r="F74" s="4">
        <f ca="1">F162*'Total Duration Tables Sup #1'!F74*(1+'Other Assumptions'!J$50)-(F71*'Active Mode Assumptions'!F11*'Active Mode Assumptions'!F15/(1+'Active Mode Assumptions'!F11))-(F72*'Active Mode Assumptions'!F20*'Active Mode Assumptions'!F24/(1+'Active Mode Assumptions'!F20))</f>
        <v>13.89916664571366</v>
      </c>
      <c r="G74" s="4">
        <f ca="1">G162*'Total Duration Tables Sup #1'!G74*(1+'Other Assumptions'!K$50)-(G71*'Active Mode Assumptions'!G11*'Active Mode Assumptions'!G15/(1+'Active Mode Assumptions'!G11))-(G72*'Active Mode Assumptions'!G20*'Active Mode Assumptions'!G24/(1+'Active Mode Assumptions'!G20))</f>
        <v>13.902016002148581</v>
      </c>
      <c r="H74" s="4">
        <f ca="1">H162*'Total Duration Tables Sup #1'!H74*(1+'Other Assumptions'!L$50)-(H71*'Active Mode Assumptions'!H11*'Active Mode Assumptions'!H15/(1+'Active Mode Assumptions'!H11))-(H72*'Active Mode Assumptions'!H20*'Active Mode Assumptions'!H24/(1+'Active Mode Assumptions'!H20))</f>
        <v>13.847791589039355</v>
      </c>
      <c r="I74" s="4">
        <f ca="1">I162*'Total Duration Tables Sup #1'!I74*(1+'Other Assumptions'!M$50)-(I71*'Active Mode Assumptions'!I11*'Active Mode Assumptions'!I15/(1+'Active Mode Assumptions'!I11))-(I72*'Active Mode Assumptions'!I20*'Active Mode Assumptions'!I24/(1+'Active Mode Assumptions'!I20))</f>
        <v>13.935883184250962</v>
      </c>
      <c r="J74" s="4">
        <f ca="1">J162*'Total Duration Tables Sup #1'!J74*(1+'Other Assumptions'!N$50)-(J71*'Active Mode Assumptions'!J11*'Active Mode Assumptions'!J15/(1+'Active Mode Assumptions'!J11))-(J72*'Active Mode Assumptions'!J20*'Active Mode Assumptions'!J24/(1+'Active Mode Assumptions'!J20))</f>
        <v>13.979994308789985</v>
      </c>
      <c r="K74" s="4">
        <f ca="1">K162*'Total Duration Tables Sup #1'!K74*(1+'Other Assumptions'!O$50)-(K71*'Active Mode Assumptions'!K11*'Active Mode Assumptions'!K15/(1+'Active Mode Assumptions'!K11))-(K72*'Active Mode Assumptions'!K20*'Active Mode Assumptions'!K24/(1+'Active Mode Assumptions'!K20))</f>
        <v>13.994206534959657</v>
      </c>
    </row>
    <row r="75" spans="1:11" x14ac:dyDescent="0.2">
      <c r="A75" t="str">
        <f ca="1">OFFSET(Taranaki_Reference,28,2)</f>
        <v>Taxi/Vehicle Share</v>
      </c>
      <c r="B75" s="4">
        <f ca="1">B163*'Total Duration Tables Sup #1'!B75*(1+'Other Assumptions'!D$50)</f>
        <v>0.10005985589999999</v>
      </c>
      <c r="C75" s="4">
        <f ca="1">C163*'Total Duration Tables Sup #1'!C75*(1+'Other Assumptions'!G$50)</f>
        <v>0.11203638899550061</v>
      </c>
      <c r="D75" s="4">
        <f ca="1">D163*'Total Duration Tables Sup #1'!D75*(1+'Other Assumptions'!H$50)</f>
        <v>0.1215194314684576</v>
      </c>
      <c r="E75" s="4">
        <f ca="1">E163*'Total Duration Tables Sup #1'!E75*(1+'Other Assumptions'!I$50)</f>
        <v>0.13062340653164761</v>
      </c>
      <c r="F75" s="4">
        <f ca="1">F163*'Total Duration Tables Sup #1'!F75*(1+'Other Assumptions'!J$50)</f>
        <v>0.13846307462501209</v>
      </c>
      <c r="G75" s="4">
        <f ca="1">G163*'Total Duration Tables Sup #1'!G75*(1+'Other Assumptions'!K$50)</f>
        <v>0.1442435366985908</v>
      </c>
      <c r="H75" s="4">
        <f ca="1">H163*'Total Duration Tables Sup #1'!H75*(1+'Other Assumptions'!L$50)</f>
        <v>0.14962125005978</v>
      </c>
      <c r="I75" s="4">
        <f ca="1">I163*'Total Duration Tables Sup #1'!I75*(1+'Other Assumptions'!M$50)</f>
        <v>0.15015694786398628</v>
      </c>
      <c r="J75" s="4">
        <f ca="1">J163*'Total Duration Tables Sup #1'!J75*(1+'Other Assumptions'!N$50)</f>
        <v>0.15021690296462173</v>
      </c>
      <c r="K75" s="4">
        <f ca="1">K163*'Total Duration Tables Sup #1'!K75*(1+'Other Assumptions'!O$50)</f>
        <v>0.14995617489114779</v>
      </c>
    </row>
    <row r="76" spans="1:11" x14ac:dyDescent="0.2">
      <c r="A76" t="str">
        <f ca="1">OFFSET(Taranaki_Reference,35,2)</f>
        <v>Motorcyclist</v>
      </c>
      <c r="B76" s="4">
        <f ca="1">B164*'Total Duration Tables Sup #1'!B76*(1+'Other Assumptions'!D$50)</f>
        <v>0.25001806910000002</v>
      </c>
      <c r="C76" s="4">
        <f ca="1">C164*'Total Duration Tables Sup #1'!C76*(1+'Other Assumptions'!G$50)</f>
        <v>0.26699612967388192</v>
      </c>
      <c r="D76" s="4">
        <f ca="1">D164*'Total Duration Tables Sup #1'!D76*(1+'Other Assumptions'!H$50)</f>
        <v>0.27616373767746744</v>
      </c>
      <c r="E76" s="4">
        <f ca="1">E164*'Total Duration Tables Sup #1'!E76*(1+'Other Assumptions'!I$50)</f>
        <v>0.27961646754441671</v>
      </c>
      <c r="F76" s="4">
        <f ca="1">F164*'Total Duration Tables Sup #1'!F76*(1+'Other Assumptions'!J$50)</f>
        <v>0.2820892293529631</v>
      </c>
      <c r="G76" s="4">
        <f ca="1">G164*'Total Duration Tables Sup #1'!G76*(1+'Other Assumptions'!K$50)</f>
        <v>0.28090582279486731</v>
      </c>
      <c r="H76" s="4">
        <f ca="1">H164*'Total Duration Tables Sup #1'!H76*(1+'Other Assumptions'!L$50)</f>
        <v>0.27861913564195834</v>
      </c>
      <c r="I76" s="4">
        <f ca="1">I164*'Total Duration Tables Sup #1'!I76*(1+'Other Assumptions'!M$50)</f>
        <v>0.28155943706349068</v>
      </c>
      <c r="J76" s="4">
        <f ca="1">J164*'Total Duration Tables Sup #1'!J76*(1+'Other Assumptions'!N$50)</f>
        <v>0.28362680453448202</v>
      </c>
      <c r="K76" s="4">
        <f ca="1">K164*'Total Duration Tables Sup #1'!K76*(1+'Other Assumptions'!O$50)</f>
        <v>0.2850964043900972</v>
      </c>
    </row>
    <row r="77" spans="1:11" x14ac:dyDescent="0.2">
      <c r="A77" t="str">
        <f ca="1">OFFSET(Taranaki_Reference,42,2)</f>
        <v>Local Train</v>
      </c>
      <c r="B77" s="4">
        <f ca="1">B165*'Total Duration Tables Sup #1'!B77*(1+'Other Assumptions'!D$50)</f>
        <v>0</v>
      </c>
      <c r="C77" s="4">
        <f ca="1">C165*'Total Duration Tables Sup #1'!C77*(1+'Other Assumptions'!G$50)</f>
        <v>0</v>
      </c>
      <c r="D77" s="4">
        <f ca="1">D165*'Total Duration Tables Sup #1'!D77*(1+'Other Assumptions'!H$50)</f>
        <v>0</v>
      </c>
      <c r="E77" s="4">
        <f ca="1">E165*'Total Duration Tables Sup #1'!E77*(1+'Other Assumptions'!I$50)</f>
        <v>0</v>
      </c>
      <c r="F77" s="4">
        <f ca="1">F165*'Total Duration Tables Sup #1'!F77*(1+'Other Assumptions'!J$50)</f>
        <v>0</v>
      </c>
      <c r="G77" s="4">
        <f ca="1">G165*'Total Duration Tables Sup #1'!G77*(1+'Other Assumptions'!K$50)</f>
        <v>0</v>
      </c>
      <c r="H77" s="4">
        <f ca="1">H165*'Total Duration Tables Sup #1'!H77*(1+'Other Assumptions'!L$50)</f>
        <v>0</v>
      </c>
      <c r="I77" s="4">
        <f ca="1">I165*'Total Duration Tables Sup #1'!I77*(1+'Other Assumptions'!M$50)</f>
        <v>0</v>
      </c>
      <c r="J77" s="4">
        <f ca="1">J165*'Total Duration Tables Sup #1'!J77*(1+'Other Assumptions'!N$50)</f>
        <v>0</v>
      </c>
      <c r="K77" s="4">
        <f ca="1">K165*'Total Duration Tables Sup #1'!K77*(1+'Other Assumptions'!O$50)</f>
        <v>0</v>
      </c>
    </row>
    <row r="78" spans="1:11" x14ac:dyDescent="0.2">
      <c r="A78" t="str">
        <f ca="1">OFFSET(Taranaki_Reference,49,2)</f>
        <v>Local Bus</v>
      </c>
      <c r="B78" s="4">
        <f ca="1">B166*'Total Duration Tables Sup #1'!B78*(1+'Other Assumptions'!D$50)</f>
        <v>0.4632962336</v>
      </c>
      <c r="C78" s="4">
        <f ca="1">C166*'Total Duration Tables Sup #1'!C78*(1+'Other Assumptions'!G$50)</f>
        <v>0.44841096794249974</v>
      </c>
      <c r="D78" s="4">
        <f ca="1">D166*'Total Duration Tables Sup #1'!D78*(1+'Other Assumptions'!H$50)</f>
        <v>0.43702090188357695</v>
      </c>
      <c r="E78" s="4">
        <f ca="1">E166*'Total Duration Tables Sup #1'!E78*(1+'Other Assumptions'!I$50)</f>
        <v>0.43056402726157961</v>
      </c>
      <c r="F78" s="4">
        <f ca="1">F166*'Total Duration Tables Sup #1'!F78*(1+'Other Assumptions'!J$50)</f>
        <v>0.41935796885516768</v>
      </c>
      <c r="G78" s="4">
        <f ca="1">G166*'Total Duration Tables Sup #1'!G78*(1+'Other Assumptions'!K$50)</f>
        <v>0.41170199174319949</v>
      </c>
      <c r="H78" s="4">
        <f ca="1">H166*'Total Duration Tables Sup #1'!H78*(1+'Other Assumptions'!L$50)</f>
        <v>0.4026616148462227</v>
      </c>
      <c r="I78" s="4">
        <f ca="1">I166*'Total Duration Tables Sup #1'!I78*(1+'Other Assumptions'!M$50)</f>
        <v>0.40576974069094773</v>
      </c>
      <c r="J78" s="4">
        <f ca="1">J166*'Total Duration Tables Sup #1'!J78*(1+'Other Assumptions'!N$50)</f>
        <v>0.40760212152396796</v>
      </c>
      <c r="K78" s="4">
        <f ca="1">K166*'Total Duration Tables Sup #1'!K78*(1+'Other Assumptions'!O$50)</f>
        <v>0.40856465936670944</v>
      </c>
    </row>
    <row r="79" spans="1:11" x14ac:dyDescent="0.2">
      <c r="A79" t="str">
        <f ca="1">OFFSET(Waikato_Reference,56,2)</f>
        <v>Local Ferry</v>
      </c>
      <c r="B79" s="4">
        <f ca="1">B167*'Total Duration Tables Sup #1'!B79*(1+'Other Assumptions'!D$50)</f>
        <v>0</v>
      </c>
      <c r="C79" s="4">
        <f ca="1">C167*'Total Duration Tables Sup #1'!C79*(1+'Other Assumptions'!G$50)</f>
        <v>0</v>
      </c>
      <c r="D79" s="4">
        <f ca="1">D167*'Total Duration Tables Sup #1'!D79*(1+'Other Assumptions'!H$50)</f>
        <v>0</v>
      </c>
      <c r="E79" s="4">
        <f ca="1">E167*'Total Duration Tables Sup #1'!E79*(1+'Other Assumptions'!I$50)</f>
        <v>0</v>
      </c>
      <c r="F79" s="4">
        <f ca="1">F167*'Total Duration Tables Sup #1'!F79*(1+'Other Assumptions'!J$50)</f>
        <v>0</v>
      </c>
      <c r="G79" s="4">
        <f ca="1">G167*'Total Duration Tables Sup #1'!G79*(1+'Other Assumptions'!K$50)</f>
        <v>0</v>
      </c>
      <c r="H79" s="4">
        <f ca="1">H167*'Total Duration Tables Sup #1'!H79*(1+'Other Assumptions'!L$50)</f>
        <v>0</v>
      </c>
      <c r="I79" s="4">
        <f ca="1">I167*'Total Duration Tables Sup #1'!I79*(1+'Other Assumptions'!M$50)</f>
        <v>0</v>
      </c>
      <c r="J79" s="4">
        <f ca="1">J167*'Total Duration Tables Sup #1'!J79*(1+'Other Assumptions'!N$50)</f>
        <v>0</v>
      </c>
      <c r="K79" s="4">
        <f ca="1">K167*'Total Duration Tables Sup #1'!K79*(1+'Other Assumptions'!O$50)</f>
        <v>0</v>
      </c>
    </row>
    <row r="80" spans="1:11" x14ac:dyDescent="0.2">
      <c r="A80" t="str">
        <f ca="1">OFFSET(Taranaki_Reference,56,2)</f>
        <v>Other Household Travel</v>
      </c>
      <c r="B80" s="4">
        <f ca="1">B168*'Total Duration Tables Sup #1'!B80*(1+'Other Assumptions'!D$50)</f>
        <v>5.6354069499999999E-2</v>
      </c>
      <c r="C80" s="4">
        <f ca="1">C168*'Total Duration Tables Sup #1'!C80*(1+'Other Assumptions'!G$50)</f>
        <v>6.0250730236751454E-2</v>
      </c>
      <c r="D80" s="4">
        <f ca="1">D168*'Total Duration Tables Sup #1'!D80*(1+'Other Assumptions'!H$50)</f>
        <v>6.2911065873651528E-2</v>
      </c>
      <c r="E80" s="4">
        <f ca="1">E168*'Total Duration Tables Sup #1'!E80*(1+'Other Assumptions'!I$50)</f>
        <v>6.4360056084435818E-2</v>
      </c>
      <c r="F80" s="4">
        <f ca="1">F168*'Total Duration Tables Sup #1'!F80*(1+'Other Assumptions'!J$50)</f>
        <v>6.5494434773685009E-2</v>
      </c>
      <c r="G80" s="4">
        <f ca="1">G168*'Total Duration Tables Sup #1'!G80*(1+'Other Assumptions'!K$50)</f>
        <v>6.7172781803309961E-2</v>
      </c>
      <c r="H80" s="4">
        <f ca="1">H168*'Total Duration Tables Sup #1'!H80*(1+'Other Assumptions'!L$50)</f>
        <v>6.8596009605554967E-2</v>
      </c>
      <c r="I80" s="4">
        <f ca="1">I168*'Total Duration Tables Sup #1'!I80*(1+'Other Assumptions'!M$50)</f>
        <v>6.8743281963759353E-2</v>
      </c>
      <c r="J80" s="4">
        <f ca="1">J168*'Total Duration Tables Sup #1'!J80*(1+'Other Assumptions'!N$50)</f>
        <v>6.8675293460631767E-2</v>
      </c>
      <c r="K80" s="4">
        <f ca="1">K168*'Total Duration Tables Sup #1'!K80*(1+'Other Assumptions'!O$50)</f>
        <v>6.8463701415147959E-2</v>
      </c>
    </row>
    <row r="81" spans="1:11" x14ac:dyDescent="0.2">
      <c r="A81" t="str">
        <f ca="1">OFFSET(Manawatu_Reference,0,0)</f>
        <v>08 MANAWATU-WANGANUI</v>
      </c>
    </row>
    <row r="82" spans="1:11" x14ac:dyDescent="0.2">
      <c r="A82" t="str">
        <f ca="1">OFFSET(Manawatu_Reference,0,2)</f>
        <v>Pedestrian</v>
      </c>
      <c r="B82" s="4">
        <f ca="1">B159*'Total Duration Tables Sup #1'!B82*(1+'Other Assumptions'!D$51)*(1+'Active Mode Assumptions'!B11)</f>
        <v>8.3408449691000008</v>
      </c>
      <c r="C82" s="4">
        <f ca="1">C159*'Total Duration Tables Sup #1'!C82*(1+'Other Assumptions'!G$51)*(1+'Active Mode Assumptions'!C11)</f>
        <v>8.6066025892331588</v>
      </c>
      <c r="D82" s="4">
        <f ca="1">D159*'Total Duration Tables Sup #1'!D82*(1+'Other Assumptions'!H$51)*(1+'Active Mode Assumptions'!D11)</f>
        <v>8.6737799059297451</v>
      </c>
      <c r="E82" s="4">
        <f ca="1">E159*'Total Duration Tables Sup #1'!E82*(1+'Other Assumptions'!I$51)*(1+'Active Mode Assumptions'!E11)</f>
        <v>8.6935776642755815</v>
      </c>
      <c r="F82" s="4">
        <f ca="1">F159*'Total Duration Tables Sup #1'!F82*(1+'Other Assumptions'!J$51)*(1+'Active Mode Assumptions'!F11)</f>
        <v>8.6264299717331259</v>
      </c>
      <c r="G82" s="4">
        <f ca="1">G159*'Total Duration Tables Sup #1'!G82*(1+'Other Assumptions'!K$51)*(1+'Active Mode Assumptions'!G11)</f>
        <v>8.5292904114166088</v>
      </c>
      <c r="H82" s="4">
        <f ca="1">H159*'Total Duration Tables Sup #1'!H82*(1+'Other Assumptions'!L$51)*(1+'Active Mode Assumptions'!H11)</f>
        <v>8.3935591346140956</v>
      </c>
      <c r="I82" s="4">
        <f ca="1">I159*'Total Duration Tables Sup #1'!I82*(1+'Other Assumptions'!M$51)*(1+'Active Mode Assumptions'!I11)</f>
        <v>8.3178409115672931</v>
      </c>
      <c r="J82" s="4">
        <f ca="1">J159*'Total Duration Tables Sup #1'!J82*(1+'Other Assumptions'!N$51)*(1+'Active Mode Assumptions'!J11)</f>
        <v>8.2166509538237378</v>
      </c>
      <c r="K82" s="4">
        <f ca="1">K159*'Total Duration Tables Sup #1'!K82*(1+'Other Assumptions'!O$51)*(1+'Active Mode Assumptions'!K11)</f>
        <v>8.099329434884261</v>
      </c>
    </row>
    <row r="83" spans="1:11" x14ac:dyDescent="0.2">
      <c r="A83" t="str">
        <f ca="1">OFFSET(Manawatu_Reference,7,2)</f>
        <v>Cyclist</v>
      </c>
      <c r="B83" s="4">
        <f ca="1">B160*'Total Duration Tables Sup #1'!B83*(1+'Other Assumptions'!D$51)*(1+'Active Mode Assumptions'!B20)</f>
        <v>1.7566260256999999</v>
      </c>
      <c r="C83" s="4">
        <f ca="1">C160*'Total Duration Tables Sup #1'!C83*(1+'Other Assumptions'!G$51)*(1+'Active Mode Assumptions'!C20)</f>
        <v>1.8606535686920784</v>
      </c>
      <c r="D83" s="4">
        <f ca="1">D160*'Total Duration Tables Sup #1'!D83*(1+'Other Assumptions'!H$51)*(1+'Active Mode Assumptions'!D20)</f>
        <v>1.895285690130126</v>
      </c>
      <c r="E83" s="4">
        <f ca="1">E160*'Total Duration Tables Sup #1'!E83*(1+'Other Assumptions'!I$51)*(1+'Active Mode Assumptions'!E20)</f>
        <v>1.8963571997627227</v>
      </c>
      <c r="F83" s="4">
        <f ca="1">F160*'Total Duration Tables Sup #1'!F83*(1+'Other Assumptions'!J$51)*(1+'Active Mode Assumptions'!F20)</f>
        <v>1.9073188605381328</v>
      </c>
      <c r="G83" s="4">
        <f ca="1">G160*'Total Duration Tables Sup #1'!G83*(1+'Other Assumptions'!K$51)*(1+'Active Mode Assumptions'!G20)</f>
        <v>1.9333912782493552</v>
      </c>
      <c r="H83" s="4">
        <f ca="1">H160*'Total Duration Tables Sup #1'!H83*(1+'Other Assumptions'!L$51)*(1+'Active Mode Assumptions'!H20)</f>
        <v>1.9547146725223108</v>
      </c>
      <c r="I83" s="4">
        <f ca="1">I160*'Total Duration Tables Sup #1'!I83*(1+'Other Assumptions'!M$51)*(1+'Active Mode Assumptions'!I20)</f>
        <v>1.9463089945182104</v>
      </c>
      <c r="J83" s="4">
        <f ca="1">J160*'Total Duration Tables Sup #1'!J83*(1+'Other Assumptions'!N$51)*(1+'Active Mode Assumptions'!J20)</f>
        <v>1.9318794774660708</v>
      </c>
      <c r="K83" s="4">
        <f ca="1">K160*'Total Duration Tables Sup #1'!K83*(1+'Other Assumptions'!O$51)*(1+'Active Mode Assumptions'!K20)</f>
        <v>1.9135411476190776</v>
      </c>
    </row>
    <row r="84" spans="1:11" x14ac:dyDescent="0.2">
      <c r="A84" t="str">
        <f ca="1">OFFSET(Manawatu_Reference,14,2)</f>
        <v>Light Vehicle Driver</v>
      </c>
      <c r="B84" s="4">
        <f ca="1">B161*'Total Duration Tables Sup #1'!B84*(1+'Other Assumptions'!D$51)-(B82*'Active Mode Assumptions'!B11*'Active Mode Assumptions'!B14/(1+'Active Mode Assumptions'!B11))-(B83*'Active Mode Assumptions'!B20*'Active Mode Assumptions'!B23/(1+'Active Mode Assumptions'!B20))</f>
        <v>42.09204356</v>
      </c>
      <c r="C84" s="4">
        <f ca="1">C161*'Total Duration Tables Sup #1'!C84*(1+'Other Assumptions'!G$51)-(C82*'Active Mode Assumptions'!C11*'Active Mode Assumptions'!C14/(1+'Active Mode Assumptions'!C11))-(C83*'Active Mode Assumptions'!C20*'Active Mode Assumptions'!C23/(1+'Active Mode Assumptions'!C20))</f>
        <v>44.999844109859957</v>
      </c>
      <c r="D84" s="4">
        <f ca="1">D161*'Total Duration Tables Sup #1'!D84*(1+'Other Assumptions'!H$51)-(D82*'Active Mode Assumptions'!D11*'Active Mode Assumptions'!D14/(1+'Active Mode Assumptions'!D11))-(D83*'Active Mode Assumptions'!D20*'Active Mode Assumptions'!D23/(1+'Active Mode Assumptions'!D20))</f>
        <v>46.315492436973798</v>
      </c>
      <c r="E84" s="4">
        <f ca="1">E161*'Total Duration Tables Sup #1'!E84*(1+'Other Assumptions'!I$51)-(E82*'Active Mode Assumptions'!E11*'Active Mode Assumptions'!E14/(1+'Active Mode Assumptions'!E11))-(E83*'Active Mode Assumptions'!E20*'Active Mode Assumptions'!E23/(1+'Active Mode Assumptions'!E20))</f>
        <v>46.880180557794972</v>
      </c>
      <c r="F84" s="4">
        <f ca="1">F161*'Total Duration Tables Sup #1'!F84*(1+'Other Assumptions'!J$51)-(F82*'Active Mode Assumptions'!F11*'Active Mode Assumptions'!F14/(1+'Active Mode Assumptions'!F11))-(F83*'Active Mode Assumptions'!F20*'Active Mode Assumptions'!F23/(1+'Active Mode Assumptions'!F20))</f>
        <v>47.242199358066372</v>
      </c>
      <c r="G84" s="4">
        <f ca="1">G161*'Total Duration Tables Sup #1'!G84*(1+'Other Assumptions'!K$51)-(G82*'Active Mode Assumptions'!G11*'Active Mode Assumptions'!G14/(1+'Active Mode Assumptions'!G11))-(G83*'Active Mode Assumptions'!G20*'Active Mode Assumptions'!G23/(1+'Active Mode Assumptions'!G20))</f>
        <v>47.188864134682227</v>
      </c>
      <c r="H84" s="4">
        <f ca="1">H161*'Total Duration Tables Sup #1'!H84*(1+'Other Assumptions'!L$51)-(H82*'Active Mode Assumptions'!H11*'Active Mode Assumptions'!H14/(1+'Active Mode Assumptions'!H11))-(H83*'Active Mode Assumptions'!H20*'Active Mode Assumptions'!H23/(1+'Active Mode Assumptions'!H20))</f>
        <v>46.93321514938426</v>
      </c>
      <c r="I84" s="4">
        <f ca="1">I161*'Total Duration Tables Sup #1'!I84*(1+'Other Assumptions'!M$51)-(I82*'Active Mode Assumptions'!I11*'Active Mode Assumptions'!I14/(1+'Active Mode Assumptions'!I11))-(I83*'Active Mode Assumptions'!I20*'Active Mode Assumptions'!I23/(1+'Active Mode Assumptions'!I20))</f>
        <v>46.490780783263986</v>
      </c>
      <c r="J84" s="4">
        <f ca="1">J161*'Total Duration Tables Sup #1'!J84*(1+'Other Assumptions'!N$51)-(J82*'Active Mode Assumptions'!J11*'Active Mode Assumptions'!J14/(1+'Active Mode Assumptions'!J11))-(J83*'Active Mode Assumptions'!J20*'Active Mode Assumptions'!J23/(1+'Active Mode Assumptions'!J20))</f>
        <v>45.906491457566432</v>
      </c>
      <c r="K84" s="4">
        <f ca="1">K161*'Total Duration Tables Sup #1'!K84*(1+'Other Assumptions'!O$51)-(K82*'Active Mode Assumptions'!K11*'Active Mode Assumptions'!K14/(1+'Active Mode Assumptions'!K11))-(K83*'Active Mode Assumptions'!K20*'Active Mode Assumptions'!K23/(1+'Active Mode Assumptions'!K20))</f>
        <v>45.232704279627995</v>
      </c>
    </row>
    <row r="85" spans="1:11" x14ac:dyDescent="0.2">
      <c r="A85" t="str">
        <f ca="1">OFFSET(Manawatu_Reference,21,2)</f>
        <v>Light Vehicle Passenger</v>
      </c>
      <c r="B85" s="4">
        <f ca="1">B162*'Total Duration Tables Sup #1'!B85*(1+'Other Assumptions'!D$51)-(B82*'Active Mode Assumptions'!B11*'Active Mode Assumptions'!B15/(1+'Active Mode Assumptions'!B11))-(B83*'Active Mode Assumptions'!B20*'Active Mode Assumptions'!B24/(1+'Active Mode Assumptions'!B20))</f>
        <v>20.286542670999999</v>
      </c>
      <c r="C85" s="4">
        <f ca="1">C162*'Total Duration Tables Sup #1'!C85*(1+'Other Assumptions'!G$51)-(C82*'Active Mode Assumptions'!C11*'Active Mode Assumptions'!C15/(1+'Active Mode Assumptions'!C11))-(C83*'Active Mode Assumptions'!C20*'Active Mode Assumptions'!C24/(1+'Active Mode Assumptions'!C20))</f>
        <v>20.734350179054466</v>
      </c>
      <c r="D85" s="4">
        <f ca="1">D162*'Total Duration Tables Sup #1'!D85*(1+'Other Assumptions'!H$51)-(D82*'Active Mode Assumptions'!D11*'Active Mode Assumptions'!D15/(1+'Active Mode Assumptions'!D11))-(D83*'Active Mode Assumptions'!D20*'Active Mode Assumptions'!D24/(1+'Active Mode Assumptions'!D20))</f>
        <v>20.802122572189017</v>
      </c>
      <c r="E85" s="4">
        <f ca="1">E162*'Total Duration Tables Sup #1'!E85*(1+'Other Assumptions'!I$51)-(E82*'Active Mode Assumptions'!E11*'Active Mode Assumptions'!E15/(1+'Active Mode Assumptions'!E11))-(E83*'Active Mode Assumptions'!E20*'Active Mode Assumptions'!E24/(1+'Active Mode Assumptions'!E20))</f>
        <v>20.738009711178098</v>
      </c>
      <c r="F85" s="4">
        <f ca="1">F162*'Total Duration Tables Sup #1'!F85*(1+'Other Assumptions'!J$51)-(F82*'Active Mode Assumptions'!F11*'Active Mode Assumptions'!F15/(1+'Active Mode Assumptions'!F11))-(F83*'Active Mode Assumptions'!F20*'Active Mode Assumptions'!F24/(1+'Active Mode Assumptions'!F20))</f>
        <v>20.557776096212226</v>
      </c>
      <c r="G85" s="4">
        <f ca="1">G162*'Total Duration Tables Sup #1'!G85*(1+'Other Assumptions'!K$51)-(G82*'Active Mode Assumptions'!G11*'Active Mode Assumptions'!G15/(1+'Active Mode Assumptions'!G11))-(G83*'Active Mode Assumptions'!G20*'Active Mode Assumptions'!G24/(1+'Active Mode Assumptions'!G20))</f>
        <v>20.283912039123486</v>
      </c>
      <c r="H85" s="4">
        <f ca="1">H162*'Total Duration Tables Sup #1'!H85*(1+'Other Assumptions'!L$51)-(H82*'Active Mode Assumptions'!H11*'Active Mode Assumptions'!H15/(1+'Active Mode Assumptions'!H11))-(H83*'Active Mode Assumptions'!H20*'Active Mode Assumptions'!H24/(1+'Active Mode Assumptions'!H20))</f>
        <v>19.907500806028519</v>
      </c>
      <c r="I85" s="4">
        <f ca="1">I162*'Total Duration Tables Sup #1'!I85*(1+'Other Assumptions'!M$51)-(I82*'Active Mode Assumptions'!I11*'Active Mode Assumptions'!I15/(1+'Active Mode Assumptions'!I11))-(I83*'Active Mode Assumptions'!I20*'Active Mode Assumptions'!I24/(1+'Active Mode Assumptions'!I20))</f>
        <v>19.739357347203779</v>
      </c>
      <c r="J85" s="4">
        <f ca="1">J162*'Total Duration Tables Sup #1'!J85*(1+'Other Assumptions'!N$51)-(J82*'Active Mode Assumptions'!J11*'Active Mode Assumptions'!J15/(1+'Active Mode Assumptions'!J11))-(J83*'Active Mode Assumptions'!J20*'Active Mode Assumptions'!J24/(1+'Active Mode Assumptions'!J20))</f>
        <v>19.510472869041802</v>
      </c>
      <c r="K85" s="4">
        <f ca="1">K162*'Total Duration Tables Sup #1'!K85*(1+'Other Assumptions'!O$51)-(K82*'Active Mode Assumptions'!K11*'Active Mode Assumptions'!K15/(1+'Active Mode Assumptions'!K11))-(K83*'Active Mode Assumptions'!K20*'Active Mode Assumptions'!K24/(1+'Active Mode Assumptions'!K20))</f>
        <v>19.24293747493747</v>
      </c>
    </row>
    <row r="86" spans="1:11" x14ac:dyDescent="0.2">
      <c r="A86" t="str">
        <f ca="1">OFFSET(Manawatu_Reference,28,2)</f>
        <v>Taxi/Vehicle Share</v>
      </c>
      <c r="B86" s="4">
        <f ca="1">B163*'Total Duration Tables Sup #1'!B86*(1+'Other Assumptions'!D$51)</f>
        <v>0.26821620219999998</v>
      </c>
      <c r="C86" s="4">
        <f ca="1">C163*'Total Duration Tables Sup #1'!C86*(1+'Other Assumptions'!G$51)</f>
        <v>0.29797378622017695</v>
      </c>
      <c r="D86" s="4">
        <f ca="1">D163*'Total Duration Tables Sup #1'!D86*(1+'Other Assumptions'!H$51)</f>
        <v>0.31958157323479786</v>
      </c>
      <c r="E86" s="4">
        <f ca="1">E163*'Total Duration Tables Sup #1'!E86*(1+'Other Assumptions'!I$51)</f>
        <v>0.33928770364020006</v>
      </c>
      <c r="F86" s="4">
        <f ca="1">F163*'Total Duration Tables Sup #1'!F86*(1+'Other Assumptions'!J$51)</f>
        <v>0.35517603214827531</v>
      </c>
      <c r="G86" s="4">
        <f ca="1">G163*'Total Duration Tables Sup #1'!G86*(1+'Other Assumptions'!K$51)</f>
        <v>0.36499978383042686</v>
      </c>
      <c r="H86" s="4">
        <f ca="1">H163*'Total Duration Tables Sup #1'!H86*(1+'Other Assumptions'!L$51)</f>
        <v>0.37303691649032056</v>
      </c>
      <c r="I86" s="4">
        <f ca="1">I163*'Total Duration Tables Sup #1'!I86*(1+'Other Assumptions'!M$51)</f>
        <v>0.36886398564598766</v>
      </c>
      <c r="J86" s="4">
        <f ca="1">J163*'Total Duration Tables Sup #1'!J86*(1+'Other Assumptions'!N$51)</f>
        <v>0.36358161556327601</v>
      </c>
      <c r="K86" s="4">
        <f ca="1">K163*'Total Duration Tables Sup #1'!K86*(1+'Other Assumptions'!O$51)</f>
        <v>0.35761008166011943</v>
      </c>
    </row>
    <row r="87" spans="1:11" x14ac:dyDescent="0.2">
      <c r="A87" t="str">
        <f ca="1">OFFSET(Manawatu_Reference,35,2)</f>
        <v>Motorcyclist</v>
      </c>
      <c r="B87" s="4">
        <f ca="1">B164*'Total Duration Tables Sup #1'!B87*(1+'Other Assumptions'!D$51)</f>
        <v>0.1643149203</v>
      </c>
      <c r="C87" s="4">
        <f ca="1">C164*'Total Duration Tables Sup #1'!C87*(1+'Other Assumptions'!G$51)</f>
        <v>0.17410225272606303</v>
      </c>
      <c r="D87" s="4">
        <f ca="1">D164*'Total Duration Tables Sup #1'!D87*(1+'Other Assumptions'!H$51)</f>
        <v>0.17806686852438047</v>
      </c>
      <c r="E87" s="4">
        <f ca="1">E164*'Total Duration Tables Sup #1'!E87*(1+'Other Assumptions'!I$51)</f>
        <v>0.17806982327009593</v>
      </c>
      <c r="F87" s="4">
        <f ca="1">F164*'Total Duration Tables Sup #1'!F87*(1+'Other Assumptions'!J$51)</f>
        <v>0.17740941037373012</v>
      </c>
      <c r="G87" s="4">
        <f ca="1">G164*'Total Duration Tables Sup #1'!G87*(1+'Other Assumptions'!K$51)</f>
        <v>0.17427594830159063</v>
      </c>
      <c r="H87" s="4">
        <f ca="1">H164*'Total Duration Tables Sup #1'!H87*(1+'Other Assumptions'!L$51)</f>
        <v>0.17031384053487666</v>
      </c>
      <c r="I87" s="4">
        <f ca="1">I164*'Total Duration Tables Sup #1'!I87*(1+'Other Assumptions'!M$51)</f>
        <v>0.16957873009513932</v>
      </c>
      <c r="J87" s="4">
        <f ca="1">J164*'Total Duration Tables Sup #1'!J87*(1+'Other Assumptions'!N$51)</f>
        <v>0.1683103609122048</v>
      </c>
      <c r="K87" s="4">
        <f ca="1">K164*'Total Duration Tables Sup #1'!K87*(1+'Other Assumptions'!O$51)</f>
        <v>0.16669309415958944</v>
      </c>
    </row>
    <row r="88" spans="1:11" x14ac:dyDescent="0.2">
      <c r="A88" t="str">
        <f ca="1">OFFSET(Taranaki_Reference,42,2)</f>
        <v>Local Train</v>
      </c>
      <c r="B88" s="4">
        <f ca="1">B165*'Total Duration Tables Sup #1'!B88*(1+'Other Assumptions'!D$51)</f>
        <v>0</v>
      </c>
      <c r="C88" s="4">
        <f ca="1">C165*'Total Duration Tables Sup #1'!C88*(1+'Other Assumptions'!G$51)</f>
        <v>0</v>
      </c>
      <c r="D88" s="4">
        <f ca="1">D165*'Total Duration Tables Sup #1'!D88*(1+'Other Assumptions'!H$51)</f>
        <v>0</v>
      </c>
      <c r="E88" s="4">
        <f ca="1">E165*'Total Duration Tables Sup #1'!E88*(1+'Other Assumptions'!I$51)</f>
        <v>0</v>
      </c>
      <c r="F88" s="4">
        <f ca="1">F165*'Total Duration Tables Sup #1'!F88*(1+'Other Assumptions'!J$51)</f>
        <v>0</v>
      </c>
      <c r="G88" s="4">
        <f ca="1">G165*'Total Duration Tables Sup #1'!G88*(1+'Other Assumptions'!K$51)</f>
        <v>0</v>
      </c>
      <c r="H88" s="4">
        <f ca="1">H165*'Total Duration Tables Sup #1'!H88*(1+'Other Assumptions'!L$51)</f>
        <v>0</v>
      </c>
      <c r="I88" s="4">
        <f ca="1">I165*'Total Duration Tables Sup #1'!I88*(1+'Other Assumptions'!M$51)</f>
        <v>0</v>
      </c>
      <c r="J88" s="4">
        <f ca="1">J165*'Total Duration Tables Sup #1'!J88*(1+'Other Assumptions'!N$51)</f>
        <v>0</v>
      </c>
      <c r="K88" s="4">
        <f ca="1">K165*'Total Duration Tables Sup #1'!K88*(1+'Other Assumptions'!O$51)</f>
        <v>0</v>
      </c>
    </row>
    <row r="89" spans="1:11" x14ac:dyDescent="0.2">
      <c r="A89" t="str">
        <f ca="1">OFFSET(Manawatu_Reference,42,2)</f>
        <v>Local Bus</v>
      </c>
      <c r="B89" s="4">
        <f ca="1">B166*'Total Duration Tables Sup #1'!B89*(1+'Other Assumptions'!D$51)</f>
        <v>1.7349616699999999</v>
      </c>
      <c r="C89" s="4">
        <f ca="1">C166*'Total Duration Tables Sup #1'!C89*(1+'Other Assumptions'!G$51)</f>
        <v>1.6661003762826585</v>
      </c>
      <c r="D89" s="4">
        <f ca="1">D166*'Total Duration Tables Sup #1'!D89*(1+'Other Assumptions'!H$51)</f>
        <v>1.6056252509206557</v>
      </c>
      <c r="E89" s="4">
        <f ca="1">E166*'Total Duration Tables Sup #1'!E89*(1+'Other Assumptions'!I$51)</f>
        <v>1.5623949860718123</v>
      </c>
      <c r="F89" s="4">
        <f ca="1">F166*'Total Duration Tables Sup #1'!F89*(1+'Other Assumptions'!J$51)</f>
        <v>1.5027978305248524</v>
      </c>
      <c r="G89" s="4">
        <f ca="1">G166*'Total Duration Tables Sup #1'!G89*(1+'Other Assumptions'!K$51)</f>
        <v>1.4554094556922654</v>
      </c>
      <c r="H89" s="4">
        <f ca="1">H166*'Total Duration Tables Sup #1'!H89*(1+'Other Assumptions'!L$51)</f>
        <v>1.4025060514494196</v>
      </c>
      <c r="I89" s="4">
        <f ca="1">I166*'Total Duration Tables Sup #1'!I89*(1+'Other Assumptions'!M$51)</f>
        <v>1.3925360886811147</v>
      </c>
      <c r="J89" s="4">
        <f ca="1">J166*'Total Duration Tables Sup #1'!J89*(1+'Other Assumptions'!N$51)</f>
        <v>1.3782421456730491</v>
      </c>
      <c r="K89" s="4">
        <f ca="1">K166*'Total Duration Tables Sup #1'!K89*(1+'Other Assumptions'!O$51)</f>
        <v>1.3611693985356772</v>
      </c>
    </row>
    <row r="90" spans="1:11" x14ac:dyDescent="0.2">
      <c r="A90" t="str">
        <f ca="1">OFFSET(Manawatu_Reference,49,2)</f>
        <v>Local Ferry</v>
      </c>
      <c r="B90" s="4">
        <f ca="1">B167*'Total Duration Tables Sup #1'!B90*(1+'Other Assumptions'!D$51)</f>
        <v>1.3357738999999997E-2</v>
      </c>
      <c r="C90" s="4">
        <f ca="1">C167*'Total Duration Tables Sup #1'!C90*(1+'Other Assumptions'!G$51)</f>
        <v>1.4536049727034275E-2</v>
      </c>
      <c r="D90" s="4">
        <f ca="1">D167*'Total Duration Tables Sup #1'!D90*(1+'Other Assumptions'!H$51)</f>
        <v>1.5171610839053379E-2</v>
      </c>
      <c r="E90" s="4">
        <f ca="1">E167*'Total Duration Tables Sup #1'!E90*(1+'Other Assumptions'!I$51)</f>
        <v>1.5560845015447721E-2</v>
      </c>
      <c r="F90" s="4">
        <f ca="1">F167*'Total Duration Tables Sup #1'!F90*(1+'Other Assumptions'!J$51)</f>
        <v>1.5804895963400411E-2</v>
      </c>
      <c r="G90" s="4">
        <f ca="1">G167*'Total Duration Tables Sup #1'!G90*(1+'Other Assumptions'!K$51)</f>
        <v>1.6319578604013157E-2</v>
      </c>
      <c r="H90" s="4">
        <f ca="1">H167*'Total Duration Tables Sup #1'!H90*(1+'Other Assumptions'!L$51)</f>
        <v>1.6718738147568274E-2</v>
      </c>
      <c r="I90" s="4">
        <f ca="1">I167*'Total Duration Tables Sup #1'!I90*(1+'Other Assumptions'!M$51)</f>
        <v>1.6320171379928486E-2</v>
      </c>
      <c r="J90" s="4">
        <f ca="1">J167*'Total Duration Tables Sup #1'!J90*(1+'Other Assumptions'!N$51)</f>
        <v>1.5884121078173368E-2</v>
      </c>
      <c r="K90" s="4">
        <f ca="1">K167*'Total Duration Tables Sup #1'!K90*(1+'Other Assumptions'!O$51)</f>
        <v>1.5430119529889728E-2</v>
      </c>
    </row>
    <row r="91" spans="1:11" x14ac:dyDescent="0.2">
      <c r="A91" t="str">
        <f ca="1">OFFSET(Manawatu_Reference,56,2)</f>
        <v>Other Household Travel</v>
      </c>
      <c r="B91" s="4">
        <f ca="1">B168*'Total Duration Tables Sup #1'!B91*(1+'Other Assumptions'!D$51)</f>
        <v>3.9735238899999997E-2</v>
      </c>
      <c r="C91" s="4">
        <f ca="1">C168*'Total Duration Tables Sup #1'!C91*(1+'Other Assumptions'!G$51)</f>
        <v>4.2150883396707639E-2</v>
      </c>
      <c r="D91" s="4">
        <f ca="1">D168*'Total Duration Tables Sup #1'!D91*(1+'Other Assumptions'!H$51)</f>
        <v>4.3519956655418419E-2</v>
      </c>
      <c r="E91" s="4">
        <f ca="1">E168*'Total Duration Tables Sup #1'!E91*(1+'Other Assumptions'!I$51)</f>
        <v>4.3973287796018265E-2</v>
      </c>
      <c r="F91" s="4">
        <f ca="1">F168*'Total Duration Tables Sup #1'!F91*(1+'Other Assumptions'!J$51)</f>
        <v>4.4191575802375579E-2</v>
      </c>
      <c r="G91" s="4">
        <f ca="1">G168*'Total Duration Tables Sup #1'!G91*(1+'Other Assumptions'!K$51)</f>
        <v>4.4711062291357177E-2</v>
      </c>
      <c r="H91" s="4">
        <f ca="1">H168*'Total Duration Tables Sup #1'!H91*(1+'Other Assumptions'!L$51)</f>
        <v>4.4986561095692316E-2</v>
      </c>
      <c r="I91" s="4">
        <f ca="1">I168*'Total Duration Tables Sup #1'!I91*(1+'Other Assumptions'!M$51)</f>
        <v>4.4419789329858017E-2</v>
      </c>
      <c r="J91" s="4">
        <f ca="1">J168*'Total Duration Tables Sup #1'!J91*(1+'Other Assumptions'!N$51)</f>
        <v>4.3722908560684663E-2</v>
      </c>
      <c r="K91" s="4">
        <f ca="1">K168*'Total Duration Tables Sup #1'!K91*(1+'Other Assumptions'!O$51)</f>
        <v>4.2946837065891974E-2</v>
      </c>
    </row>
    <row r="92" spans="1:11" x14ac:dyDescent="0.2">
      <c r="A92" t="str">
        <f ca="1">OFFSET(Wellington_Reference,0,0)</f>
        <v>09 WELLINGTON</v>
      </c>
    </row>
    <row r="93" spans="1:11" x14ac:dyDescent="0.2">
      <c r="A93" t="str">
        <f ca="1">OFFSET(Wellington_Reference,0,2)</f>
        <v>Pedestrian</v>
      </c>
      <c r="B93" s="4">
        <f ca="1">B159*'Total Duration Tables Sup #1'!B93*(1+'Other Assumptions'!D$52)*(1+'Active Mode Assumptions'!B11)-('PT Assumptions'!B44*'Total Duration Tables Sup #2'!B171+'PT Assumptions'!B56*'Total Duration Tables Sup #2'!B174)*(1+'Other Assumptions'!D$52)</f>
        <v>32.985647405999998</v>
      </c>
      <c r="C93" s="4">
        <f ca="1">C159*'Total Duration Tables Sup #1'!C93*(1+'Other Assumptions'!G$52)*(1+'Active Mode Assumptions'!C11)-('PT Assumptions'!C44*'Total Duration Tables Sup #2'!C171+'PT Assumptions'!C56*'Total Duration Tables Sup #2'!C174)*(1+'Other Assumptions'!G$52)</f>
        <v>34.635832503714823</v>
      </c>
      <c r="D93" s="4">
        <f ca="1">D159*'Total Duration Tables Sup #1'!D93*(1+'Other Assumptions'!H$52)*(1+'Active Mode Assumptions'!D11)-('PT Assumptions'!D44*'Total Duration Tables Sup #2'!D171+'PT Assumptions'!D56*'Total Duration Tables Sup #2'!D174)*(1+'Other Assumptions'!H$52)</f>
        <v>35.429173832022954</v>
      </c>
      <c r="E93" s="4">
        <f ca="1">E159*'Total Duration Tables Sup #1'!E93*(1+'Other Assumptions'!I$52)*(1+'Active Mode Assumptions'!E11)-('PT Assumptions'!E44*'Total Duration Tables Sup #2'!E171+'PT Assumptions'!E56*'Total Duration Tables Sup #2'!E174)*(1+'Other Assumptions'!I$52)</f>
        <v>35.967713736626258</v>
      </c>
      <c r="F93" s="4">
        <f ca="1">F159*'Total Duration Tables Sup #1'!F93*(1+'Other Assumptions'!J$52)*(1+'Active Mode Assumptions'!F11)-('PT Assumptions'!F44*'Total Duration Tables Sup #2'!F171+'PT Assumptions'!F56*'Total Duration Tables Sup #2'!F174)*(1+'Other Assumptions'!J$52)</f>
        <v>36.205190965673388</v>
      </c>
      <c r="G93" s="4">
        <f ca="1">G159*'Total Duration Tables Sup #1'!G93*(1+'Other Assumptions'!K$52)*(1+'Active Mode Assumptions'!G11)-('PT Assumptions'!G44*'Total Duration Tables Sup #2'!G171+'PT Assumptions'!G56*'Total Duration Tables Sup #2'!G174)*(1+'Other Assumptions'!K$52)</f>
        <v>36.324571214313181</v>
      </c>
      <c r="H93" s="4">
        <f ca="1">H159*'Total Duration Tables Sup #1'!H93*(1+'Other Assumptions'!L$52)*(1+'Active Mode Assumptions'!H11)-('PT Assumptions'!H44*'Total Duration Tables Sup #2'!H171+'PT Assumptions'!H56*'Total Duration Tables Sup #2'!H174)*(1+'Other Assumptions'!L$52)</f>
        <v>36.264863332594651</v>
      </c>
      <c r="I93" s="4">
        <f ca="1">I159*'Total Duration Tables Sup #1'!I93*(1+'Other Assumptions'!M$52)*(1+'Active Mode Assumptions'!I11)-('PT Assumptions'!I44*'Total Duration Tables Sup #2'!I171+'PT Assumptions'!I56*'Total Duration Tables Sup #2'!I174)*(1+'Other Assumptions'!M$52)</f>
        <v>36.465118807942765</v>
      </c>
      <c r="J93" s="4">
        <f ca="1">J159*'Total Duration Tables Sup #1'!J93*(1+'Other Assumptions'!N$52)*(1+'Active Mode Assumptions'!J11)-('PT Assumptions'!J44*'Total Duration Tables Sup #2'!J171+'PT Assumptions'!J56*'Total Duration Tables Sup #2'!J174)*(1+'Other Assumptions'!N$52)</f>
        <v>36.548077803181819</v>
      </c>
      <c r="K93" s="4">
        <f ca="1">K159*'Total Duration Tables Sup #1'!K93*(1+'Other Assumptions'!O$52)*(1+'Active Mode Assumptions'!K11)-('PT Assumptions'!K44*'Total Duration Tables Sup #2'!K171+'PT Assumptions'!K56*'Total Duration Tables Sup #2'!K174)*(1+'Other Assumptions'!O$52)</f>
        <v>36.551261304445639</v>
      </c>
    </row>
    <row r="94" spans="1:11" x14ac:dyDescent="0.2">
      <c r="A94" t="str">
        <f ca="1">OFFSET(Wellington_Reference,7,2)</f>
        <v>Cyclist</v>
      </c>
      <c r="B94" s="4">
        <f ca="1">B160*'Total Duration Tables Sup #1'!B94*(1+'Other Assumptions'!D$52)*(1+'Active Mode Assumptions'!B20)-('PT Assumptions'!B45*'Total Duration Tables Sup #2'!B171+'PT Assumptions'!B57*'Total Duration Tables Sup #2'!B174)*(1+'Other Assumptions'!D$52)</f>
        <v>3.6978261002999999</v>
      </c>
      <c r="C94" s="4">
        <f ca="1">C160*'Total Duration Tables Sup #1'!C94*(1+'Other Assumptions'!G$52)*(1+'Active Mode Assumptions'!C20)-('PT Assumptions'!C45*'Total Duration Tables Sup #2'!C171+'PT Assumptions'!C57*'Total Duration Tables Sup #2'!C174)*(1+'Other Assumptions'!G$52)</f>
        <v>3.9858407968141676</v>
      </c>
      <c r="D94" s="4">
        <f ca="1">D160*'Total Duration Tables Sup #1'!D94*(1+'Other Assumptions'!H$52)*(1+'Active Mode Assumptions'!D20)-('PT Assumptions'!D45*'Total Duration Tables Sup #2'!D171+'PT Assumptions'!D57*'Total Duration Tables Sup #2'!D174)*(1+'Other Assumptions'!H$52)</f>
        <v>4.1260215994743881</v>
      </c>
      <c r="E94" s="4">
        <f ca="1">E160*'Total Duration Tables Sup #1'!E94*(1+'Other Assumptions'!I$52)*(1+'Active Mode Assumptions'!E20)-('PT Assumptions'!E45*'Total Duration Tables Sup #2'!E171+'PT Assumptions'!E57*'Total Duration Tables Sup #2'!E174)*(1+'Other Assumptions'!I$52)</f>
        <v>4.1849501729115284</v>
      </c>
      <c r="F94" s="4">
        <f ca="1">F160*'Total Duration Tables Sup #1'!F94*(1+'Other Assumptions'!J$52)*(1+'Active Mode Assumptions'!F20)-('PT Assumptions'!F45*'Total Duration Tables Sup #2'!F171+'PT Assumptions'!F57*'Total Duration Tables Sup #2'!F174)*(1+'Other Assumptions'!J$52)</f>
        <v>4.2712896686576478</v>
      </c>
      <c r="G94" s="4">
        <f ca="1">G160*'Total Duration Tables Sup #1'!G94*(1+'Other Assumptions'!K$52)*(1+'Active Mode Assumptions'!G20)-('PT Assumptions'!G45*'Total Duration Tables Sup #2'!G171+'PT Assumptions'!G57*'Total Duration Tables Sup #2'!G174)*(1+'Other Assumptions'!K$52)</f>
        <v>4.3951371729966757</v>
      </c>
      <c r="H94" s="4">
        <f ca="1">H160*'Total Duration Tables Sup #1'!H94*(1+'Other Assumptions'!L$52)*(1+'Active Mode Assumptions'!H20)-('PT Assumptions'!H45*'Total Duration Tables Sup #2'!H171+'PT Assumptions'!H57*'Total Duration Tables Sup #2'!H174)*(1+'Other Assumptions'!L$52)</f>
        <v>4.5101461027792702</v>
      </c>
      <c r="I94" s="4">
        <f ca="1">I160*'Total Duration Tables Sup #1'!I94*(1+'Other Assumptions'!M$52)*(1+'Active Mode Assumptions'!I20)-('PT Assumptions'!I45*'Total Duration Tables Sup #2'!I171+'PT Assumptions'!I57*'Total Duration Tables Sup #2'!I174)*(1+'Other Assumptions'!M$52)</f>
        <v>4.5579922925861416</v>
      </c>
      <c r="J94" s="4">
        <f ca="1">J160*'Total Duration Tables Sup #1'!J94*(1+'Other Assumptions'!N$52)*(1+'Active Mode Assumptions'!J20)-('PT Assumptions'!J45*'Total Duration Tables Sup #2'!J171+'PT Assumptions'!J57*'Total Duration Tables Sup #2'!J174)*(1+'Other Assumptions'!N$52)</f>
        <v>4.5919419025034873</v>
      </c>
      <c r="K94" s="4">
        <f ca="1">K160*'Total Duration Tables Sup #1'!K94*(1+'Other Assumptions'!O$52)*(1+'Active Mode Assumptions'!K20)-('PT Assumptions'!K45*'Total Duration Tables Sup #2'!K171+'PT Assumptions'!K57*'Total Duration Tables Sup #2'!K174)*(1+'Other Assumptions'!O$52)</f>
        <v>4.6164562078046201</v>
      </c>
    </row>
    <row r="95" spans="1:11" x14ac:dyDescent="0.2">
      <c r="A95" t="str">
        <f ca="1">OFFSET(Wellington_Reference,14,2)</f>
        <v>Light Vehicle Driver</v>
      </c>
      <c r="B95" s="4">
        <f ca="1">(B161*'Total Duration Tables Sup #1'!B95-'PT Assumptions'!B46*'Total Duration Tables Sup #2'!B171-'PT Assumptions'!B58*'Total Duration Tables Sup #2'!B174)*(1+'Other Assumptions'!D$52)-(B159*'Total Duration Tables Sup #1'!B93)*(1+'Other Assumptions'!D$52)*'Active Mode Assumptions'!B11*'Active Mode Assumptions'!B14-(B160*'Total Duration Tables Sup #1'!B94)*(1+'Other Assumptions'!D$52)*'Active Mode Assumptions'!B20*'Active Mode Assumptions'!B23</f>
        <v>92.129697210000003</v>
      </c>
      <c r="C95" s="4">
        <f ca="1">(C161*'Total Duration Tables Sup #1'!C95-'PT Assumptions'!C46*'Total Duration Tables Sup #2'!C171-'PT Assumptions'!C58*'Total Duration Tables Sup #2'!C174)*(1+'Other Assumptions'!G$52)-(C159*'Total Duration Tables Sup #1'!C93)*(1+'Other Assumptions'!G$52)*'Active Mode Assumptions'!C11*'Active Mode Assumptions'!C14-(C160*'Total Duration Tables Sup #1'!C94)*(1+'Other Assumptions'!G$52)*'Active Mode Assumptions'!C20*'Active Mode Assumptions'!C23</f>
        <v>100.20882877108455</v>
      </c>
      <c r="D95" s="4">
        <f ca="1">(D161*'Total Duration Tables Sup #1'!D95-'PT Assumptions'!D46*'Total Duration Tables Sup #2'!D171-'PT Assumptions'!D58*'Total Duration Tables Sup #2'!D174)*(1+'Other Assumptions'!H$52)-(D159*'Total Duration Tables Sup #1'!D93)*(1+'Other Assumptions'!H$52)*'Active Mode Assumptions'!D11*'Active Mode Assumptions'!D14-(D160*'Total Duration Tables Sup #1'!D94)*(1+'Other Assumptions'!H$52)*'Active Mode Assumptions'!D20*'Active Mode Assumptions'!D23</f>
        <v>104.33050009555214</v>
      </c>
      <c r="E95" s="4">
        <f ca="1">(E161*'Total Duration Tables Sup #1'!E95-'PT Assumptions'!E46*'Total Duration Tables Sup #2'!E171-'PT Assumptions'!E58*'Total Duration Tables Sup #2'!E174)*(1+'Other Assumptions'!I$52)-(E159*'Total Duration Tables Sup #1'!E93)*(1+'Other Assumptions'!I$52)*'Active Mode Assumptions'!E11*'Active Mode Assumptions'!E14-(E160*'Total Duration Tables Sup #1'!E94)*(1+'Other Assumptions'!I$52)*'Active Mode Assumptions'!E20*'Active Mode Assumptions'!E23</f>
        <v>106.71025104790553</v>
      </c>
      <c r="F95" s="4">
        <f ca="1">(F161*'Total Duration Tables Sup #1'!F95-'PT Assumptions'!F46*'Total Duration Tables Sup #2'!F171-'PT Assumptions'!F58*'Total Duration Tables Sup #2'!F174)*(1+'Other Assumptions'!J$52)-(F159*'Total Duration Tables Sup #1'!F93)*(1+'Other Assumptions'!J$52)*'Active Mode Assumptions'!F11*'Active Mode Assumptions'!F14-(F160*'Total Duration Tables Sup #1'!F94)*(1+'Other Assumptions'!J$52)*'Active Mode Assumptions'!F20*'Active Mode Assumptions'!F23</f>
        <v>108.9358337417123</v>
      </c>
      <c r="G95" s="4">
        <f ca="1">(G161*'Total Duration Tables Sup #1'!G95-'PT Assumptions'!G46*'Total Duration Tables Sup #2'!G171-'PT Assumptions'!G58*'Total Duration Tables Sup #2'!G174)*(1+'Other Assumptions'!K$52)-(G159*'Total Duration Tables Sup #1'!G93)*(1+'Other Assumptions'!K$52)*'Active Mode Assumptions'!G11*'Active Mode Assumptions'!G14-(G160*'Total Duration Tables Sup #1'!G94)*(1+'Other Assumptions'!K$52)*'Active Mode Assumptions'!G20*'Active Mode Assumptions'!G23</f>
        <v>110.25057066084182</v>
      </c>
      <c r="H95" s="4">
        <f ca="1">(H161*'Total Duration Tables Sup #1'!H95-'PT Assumptions'!H46*'Total Duration Tables Sup #2'!H171-'PT Assumptions'!H58*'Total Duration Tables Sup #2'!H174)*(1+'Other Assumptions'!L$52)-(H159*'Total Duration Tables Sup #1'!H93)*(1+'Other Assumptions'!L$52)*'Active Mode Assumptions'!H11*'Active Mode Assumptions'!H14-(H160*'Total Duration Tables Sup #1'!H94)*(1+'Other Assumptions'!L$52)*'Active Mode Assumptions'!H20*'Active Mode Assumptions'!H23</f>
        <v>111.0573017798836</v>
      </c>
      <c r="I95" s="4">
        <f ca="1">(I161*'Total Duration Tables Sup #1'!I95-'PT Assumptions'!I46*'Total Duration Tables Sup #2'!I171-'PT Assumptions'!I58*'Total Duration Tables Sup #2'!I174)*(1+'Other Assumptions'!M$52)-(I159*'Total Duration Tables Sup #1'!I93)*(1+'Other Assumptions'!M$52)*'Active Mode Assumptions'!I11*'Active Mode Assumptions'!I14-(I160*'Total Duration Tables Sup #1'!I94)*(1+'Other Assumptions'!M$52)*'Active Mode Assumptions'!I20*'Active Mode Assumptions'!I23</f>
        <v>111.43827667341712</v>
      </c>
      <c r="J95" s="4">
        <f ca="1">(J161*'Total Duration Tables Sup #1'!J95-'PT Assumptions'!J46*'Total Duration Tables Sup #2'!J171-'PT Assumptions'!J58*'Total Duration Tables Sup #2'!J174)*(1+'Other Assumptions'!N$52)-(J159*'Total Duration Tables Sup #1'!J93)*(1+'Other Assumptions'!N$52)*'Active Mode Assumptions'!J11*'Active Mode Assumptions'!J14-(J160*'Total Duration Tables Sup #1'!J94)*(1+'Other Assumptions'!N$52)*'Active Mode Assumptions'!J20*'Active Mode Assumptions'!J23</f>
        <v>111.43384066951502</v>
      </c>
      <c r="K95" s="4">
        <f ca="1">(K161*'Total Duration Tables Sup #1'!K95-'PT Assumptions'!K46*'Total Duration Tables Sup #2'!K171-'PT Assumptions'!K58*'Total Duration Tables Sup #2'!K174)*(1+'Other Assumptions'!O$52)-(K159*'Total Duration Tables Sup #1'!K93)*(1+'Other Assumptions'!O$52)*'Active Mode Assumptions'!K11*'Active Mode Assumptions'!K14-(K160*'Total Duration Tables Sup #1'!K94)*(1+'Other Assumptions'!O$52)*'Active Mode Assumptions'!K20*'Active Mode Assumptions'!K23</f>
        <v>111.16301038837157</v>
      </c>
    </row>
    <row r="96" spans="1:11" x14ac:dyDescent="0.2">
      <c r="A96" t="str">
        <f ca="1">OFFSET(Wellington_Reference,21,2)</f>
        <v>Light Vehicle Passenger</v>
      </c>
      <c r="B96" s="4">
        <f ca="1">(B162*'Total Duration Tables Sup #1'!B96-'PT Assumptions'!B47*'Total Duration Tables Sup #2'!B171-'PT Assumptions'!B59*'Total Duration Tables Sup #2'!B174)*(1+'Other Assumptions'!D$52)-(B159*'Total Duration Tables Sup #1'!B93)*(1+'Other Assumptions'!D$52)*'Active Mode Assumptions'!B11*'Active Mode Assumptions'!B15-(B160*'Total Duration Tables Sup #1'!B94)*(1+'Other Assumptions'!D$52)*'Active Mode Assumptions'!B20*'Active Mode Assumptions'!B24</f>
        <v>48.966354531</v>
      </c>
      <c r="C96" s="4">
        <f ca="1">(C162*'Total Duration Tables Sup #1'!C96-'PT Assumptions'!C47*'Total Duration Tables Sup #2'!C171-'PT Assumptions'!C59*'Total Duration Tables Sup #2'!C174)*(1+'Other Assumptions'!G$52)-(C159*'Total Duration Tables Sup #1'!C93)*(1+'Other Assumptions'!G$52)*'Active Mode Assumptions'!C11*'Active Mode Assumptions'!C15-(C160*'Total Duration Tables Sup #1'!C94)*(1+'Other Assumptions'!G$52)*'Active Mode Assumptions'!C20*'Active Mode Assumptions'!C24</f>
        <v>50.908056169468921</v>
      </c>
      <c r="D96" s="4">
        <f ca="1">(D162*'Total Duration Tables Sup #1'!D96-'PT Assumptions'!D47*'Total Duration Tables Sup #2'!D171-'PT Assumptions'!D59*'Total Duration Tables Sup #2'!D174)*(1+'Other Assumptions'!H$52)-(D159*'Total Duration Tables Sup #1'!D93)*(1+'Other Assumptions'!H$52)*'Active Mode Assumptions'!D11*'Active Mode Assumptions'!D15-(D160*'Total Duration Tables Sup #1'!D94)*(1+'Other Assumptions'!H$52)*'Active Mode Assumptions'!D20*'Active Mode Assumptions'!D24</f>
        <v>51.419522425141707</v>
      </c>
      <c r="E96" s="4">
        <f ca="1">(E162*'Total Duration Tables Sup #1'!E96-'PT Assumptions'!E47*'Total Duration Tables Sup #2'!E171-'PT Assumptions'!E59*'Total Duration Tables Sup #2'!E174)*(1+'Other Assumptions'!I$52)-(E159*'Total Duration Tables Sup #1'!E93)*(1+'Other Assumptions'!I$52)*'Active Mode Assumptions'!E11*'Active Mode Assumptions'!E15-(E160*'Total Duration Tables Sup #1'!E94)*(1+'Other Assumptions'!I$52)*'Active Mode Assumptions'!E20*'Active Mode Assumptions'!E24</f>
        <v>51.615960183099162</v>
      </c>
      <c r="F96" s="4">
        <f ca="1">(F162*'Total Duration Tables Sup #1'!F96-'PT Assumptions'!F47*'Total Duration Tables Sup #2'!F171-'PT Assumptions'!F59*'Total Duration Tables Sup #2'!F174)*(1+'Other Assumptions'!J$52)-(F159*'Total Duration Tables Sup #1'!F93)*(1+'Other Assumptions'!J$52)*'Active Mode Assumptions'!F11*'Active Mode Assumptions'!F15-(F160*'Total Duration Tables Sup #1'!F94)*(1+'Other Assumptions'!J$52)*'Active Mode Assumptions'!F20*'Active Mode Assumptions'!F24</f>
        <v>51.722317458205197</v>
      </c>
      <c r="G96" s="4">
        <f ca="1">(G162*'Total Duration Tables Sup #1'!G96-'PT Assumptions'!G47*'Total Duration Tables Sup #2'!G171-'PT Assumptions'!G59*'Total Duration Tables Sup #2'!G174)*(1+'Other Assumptions'!K$52)-(G159*'Total Duration Tables Sup #1'!G93)*(1+'Other Assumptions'!K$52)*'Active Mode Assumptions'!G11*'Active Mode Assumptions'!G15-(G160*'Total Duration Tables Sup #1'!G94)*(1+'Other Assumptions'!K$52)*'Active Mode Assumptions'!G20*'Active Mode Assumptions'!G24</f>
        <v>51.584254087105734</v>
      </c>
      <c r="H96" s="4">
        <f ca="1">(H162*'Total Duration Tables Sup #1'!H96-'PT Assumptions'!H47*'Total Duration Tables Sup #2'!H171-'PT Assumptions'!H59*'Total Duration Tables Sup #2'!H174)*(1+'Other Assumptions'!L$52)-(H159*'Total Duration Tables Sup #1'!H93)*(1+'Other Assumptions'!L$52)*'Active Mode Assumptions'!H11*'Active Mode Assumptions'!H15-(H160*'Total Duration Tables Sup #1'!H94)*(1+'Other Assumptions'!L$52)*'Active Mode Assumptions'!H20*'Active Mode Assumptions'!H24</f>
        <v>51.130033738675209</v>
      </c>
      <c r="I96" s="4">
        <f ca="1">(I162*'Total Duration Tables Sup #1'!I96-'PT Assumptions'!I47*'Total Duration Tables Sup #2'!I171-'PT Assumptions'!I59*'Total Duration Tables Sup #2'!I174)*(1+'Other Assumptions'!M$52)-(I159*'Total Duration Tables Sup #1'!I93)*(1+'Other Assumptions'!M$52)*'Active Mode Assumptions'!I11*'Active Mode Assumptions'!I15-(I160*'Total Duration Tables Sup #1'!I94)*(1+'Other Assumptions'!M$52)*'Active Mode Assumptions'!I20*'Active Mode Assumptions'!I24</f>
        <v>51.239517075755757</v>
      </c>
      <c r="J96" s="4">
        <f ca="1">(J162*'Total Duration Tables Sup #1'!J96-'PT Assumptions'!J47*'Total Duration Tables Sup #2'!J171-'PT Assumptions'!J59*'Total Duration Tables Sup #2'!J174)*(1+'Other Assumptions'!N$52)-(J159*'Total Duration Tables Sup #1'!J93)*(1+'Other Assumptions'!N$52)*'Active Mode Assumptions'!J11*'Active Mode Assumptions'!J15-(J160*'Total Duration Tables Sup #1'!J94)*(1+'Other Assumptions'!N$52)*'Active Mode Assumptions'!J20*'Active Mode Assumptions'!J24</f>
        <v>51.153932901815814</v>
      </c>
      <c r="K96" s="4">
        <f ca="1">(K162*'Total Duration Tables Sup #1'!K96-'PT Assumptions'!K47*'Total Duration Tables Sup #2'!K171-'PT Assumptions'!K59*'Total Duration Tables Sup #2'!K174)*(1+'Other Assumptions'!O$52)-(K159*'Total Duration Tables Sup #1'!K93)*(1+'Other Assumptions'!O$52)*'Active Mode Assumptions'!K11*'Active Mode Assumptions'!K15-(K160*'Total Duration Tables Sup #1'!K94)*(1+'Other Assumptions'!O$52)*'Active Mode Assumptions'!K20*'Active Mode Assumptions'!K24</f>
        <v>50.930601872974009</v>
      </c>
    </row>
    <row r="97" spans="1:11" x14ac:dyDescent="0.2">
      <c r="A97" t="str">
        <f ca="1">OFFSET(Wellington_Reference,28,2)</f>
        <v>Taxi/Vehicle Share</v>
      </c>
      <c r="B97" s="4">
        <f ca="1">B163*'Total Duration Tables Sup #1'!B97*(1+'Other Assumptions'!D$52)</f>
        <v>0.76229285280000003</v>
      </c>
      <c r="C97" s="4">
        <f ca="1">C163*'Total Duration Tables Sup #1'!C97*(1+'Other Assumptions'!G$52)</f>
        <v>0.86179139941436844</v>
      </c>
      <c r="D97" s="4">
        <f ca="1">D163*'Total Duration Tables Sup #1'!D97*(1+'Other Assumptions'!H$52)</f>
        <v>0.93930841335867554</v>
      </c>
      <c r="E97" s="4">
        <f ca="1">E163*'Total Duration Tables Sup #1'!E97*(1+'Other Assumptions'!I$52)</f>
        <v>1.0108993922371639</v>
      </c>
      <c r="F97" s="4">
        <f ca="1">F163*'Total Duration Tables Sup #1'!F97*(1+'Other Assumptions'!J$52)</f>
        <v>1.0738634018473787</v>
      </c>
      <c r="G97" s="4">
        <f ca="1">G163*'Total Duration Tables Sup #1'!G97*(1+'Other Assumptions'!K$52)</f>
        <v>1.1202500050976849</v>
      </c>
      <c r="H97" s="4">
        <f ca="1">H163*'Total Duration Tables Sup #1'!H97*(1+'Other Assumptions'!L$52)</f>
        <v>1.1620604456060826</v>
      </c>
      <c r="I97" s="4">
        <f ca="1">I163*'Total Duration Tables Sup #1'!I97*(1+'Other Assumptions'!M$52)</f>
        <v>1.1662662816961125</v>
      </c>
      <c r="J97" s="4">
        <f ca="1">J163*'Total Duration Tables Sup #1'!J97*(1+'Other Assumptions'!N$52)</f>
        <v>1.1667772140909565</v>
      </c>
      <c r="K97" s="4">
        <f ca="1">K163*'Total Duration Tables Sup #1'!K97*(1+'Other Assumptions'!O$52)</f>
        <v>1.1647972507395137</v>
      </c>
    </row>
    <row r="98" spans="1:11" x14ac:dyDescent="0.2">
      <c r="A98" t="str">
        <f ca="1">OFFSET(Wellington_Reference,35,2)</f>
        <v>Motorcyclist</v>
      </c>
      <c r="B98" s="4">
        <f ca="1">B164*'Total Duration Tables Sup #1'!B98*(1+'Other Assumptions'!D$52)</f>
        <v>0.71073078609999996</v>
      </c>
      <c r="C98" s="4">
        <f ca="1">C164*'Total Duration Tables Sup #1'!C98*(1+'Other Assumptions'!G$52)</f>
        <v>0.76633696554259279</v>
      </c>
      <c r="D98" s="4">
        <f ca="1">D164*'Total Duration Tables Sup #1'!D98*(1+'Other Assumptions'!H$52)</f>
        <v>0.79652771486213136</v>
      </c>
      <c r="E98" s="4">
        <f ca="1">E164*'Total Duration Tables Sup #1'!E98*(1+'Other Assumptions'!I$52)</f>
        <v>0.80746076895423002</v>
      </c>
      <c r="F98" s="4">
        <f ca="1">F164*'Total Duration Tables Sup #1'!F98*(1+'Other Assumptions'!J$52)</f>
        <v>0.8163442367973367</v>
      </c>
      <c r="G98" s="4">
        <f ca="1">G164*'Total Duration Tables Sup #1'!G98*(1+'Other Assumptions'!K$52)</f>
        <v>0.81405001784040654</v>
      </c>
      <c r="H98" s="4">
        <f ca="1">H164*'Total Duration Tables Sup #1'!H98*(1+'Other Assumptions'!L$52)</f>
        <v>0.80745464423230928</v>
      </c>
      <c r="I98" s="4">
        <f ca="1">I164*'Total Duration Tables Sup #1'!I98*(1+'Other Assumptions'!M$52)</f>
        <v>0.81600746568799121</v>
      </c>
      <c r="J98" s="4">
        <f ca="1">J164*'Total Duration Tables Sup #1'!J98*(1+'Other Assumptions'!N$52)</f>
        <v>0.82203093930094129</v>
      </c>
      <c r="K98" s="4">
        <f ca="1">K164*'Total Duration Tables Sup #1'!K98*(1+'Other Assumptions'!O$52)</f>
        <v>0.82632231169950843</v>
      </c>
    </row>
    <row r="99" spans="1:11" x14ac:dyDescent="0.2">
      <c r="A99" t="str">
        <f ca="1">OFFSET(Wellington_Reference,42,2)</f>
        <v>Local Train</v>
      </c>
      <c r="B99" s="4">
        <f ca="1">'Total Duration Tables Sup #1'!B99*(1+'PT Assumptions'!B41)*(1+'Other Assumptions'!D$52)</f>
        <v>6.554720885672368</v>
      </c>
      <c r="C99" s="4">
        <f ca="1">'Total Duration Tables Sup #1'!C99*(1+'PT Assumptions'!C41)*(1+'Other Assumptions'!G$52)</f>
        <v>7.0448448964299279</v>
      </c>
      <c r="D99" s="4">
        <f ca="1">'Total Duration Tables Sup #1'!D99*(1+'PT Assumptions'!D41)*(1+'Other Assumptions'!H$52)</f>
        <v>7.8935385275407652</v>
      </c>
      <c r="E99" s="4">
        <f ca="1">'Total Duration Tables Sup #1'!E99*(1+'PT Assumptions'!E41)*(1+'Other Assumptions'!I$52)</f>
        <v>8.6408841088294839</v>
      </c>
      <c r="F99" s="4">
        <f ca="1">'Total Duration Tables Sup #1'!F99*(1+'PT Assumptions'!F41)*(1+'Other Assumptions'!J$52)</f>
        <v>9.2362076153850268</v>
      </c>
      <c r="G99" s="4">
        <f ca="1">'Total Duration Tables Sup #1'!G99*(1+'PT Assumptions'!G41)*(1+'Other Assumptions'!K$52)</f>
        <v>9.8315311219405714</v>
      </c>
      <c r="H99" s="4">
        <f ca="1">'Total Duration Tables Sup #1'!H99*(1+'PT Assumptions'!H41)*(1+'Other Assumptions'!L$52)</f>
        <v>10.426854628496114</v>
      </c>
      <c r="I99" s="4">
        <f ca="1">'Total Duration Tables Sup #1'!I99*(1+'PT Assumptions'!I41)*(1+'Other Assumptions'!M$52)</f>
        <v>11.026180717298757</v>
      </c>
      <c r="J99" s="4">
        <f ca="1">'Total Duration Tables Sup #1'!J99*(1+'PT Assumptions'!J41)*(1+'Other Assumptions'!N$52)</f>
        <v>11.655563302151755</v>
      </c>
      <c r="K99" s="4">
        <f ca="1">'Total Duration Tables Sup #1'!K99*(1+'PT Assumptions'!K41)*(1+'Other Assumptions'!O$52)</f>
        <v>12.320871512411452</v>
      </c>
    </row>
    <row r="100" spans="1:11" x14ac:dyDescent="0.2">
      <c r="A100" t="str">
        <f ca="1">OFFSET(Wellington_Reference,49,2)</f>
        <v>Local Bus</v>
      </c>
      <c r="B100" s="4">
        <f ca="1">'Total Duration Tables Sup #1'!B100*(1+'PT Assumptions'!B53)*(1+'Other Assumptions'!D$52)</f>
        <v>8.2404499312721509</v>
      </c>
      <c r="C100" s="4">
        <f ca="1">'Total Duration Tables Sup #1'!C100*(1+'PT Assumptions'!C53)*(1+'Other Assumptions'!G$52)</f>
        <v>8.6079287777540188</v>
      </c>
      <c r="D100" s="4">
        <f ca="1">'Total Duration Tables Sup #1'!D100*(1+'PT Assumptions'!D53)*(1+'Other Assumptions'!H$52)</f>
        <v>9.6607331128316805</v>
      </c>
      <c r="E100" s="4">
        <f ca="1">'Total Duration Tables Sup #1'!E100*(1+'PT Assumptions'!E53)*(1+'Other Assumptions'!I$52)</f>
        <v>10.406720184543854</v>
      </c>
      <c r="F100" s="4">
        <f ca="1">'Total Duration Tables Sup #1'!F100*(1+'PT Assumptions'!F53)*(1+'Other Assumptions'!J$52)</f>
        <v>10.692481361207788</v>
      </c>
      <c r="G100" s="4">
        <f ca="1">'Total Duration Tables Sup #1'!G100*(1+'PT Assumptions'!G53)*(1+'Other Assumptions'!K$52)</f>
        <v>10.978242537871724</v>
      </c>
      <c r="H100" s="4">
        <f ca="1">'Total Duration Tables Sup #1'!H100*(1+'PT Assumptions'!H53)*(1+'Other Assumptions'!L$52)</f>
        <v>11.264003714535663</v>
      </c>
      <c r="I100" s="4">
        <f ca="1">'Total Duration Tables Sup #1'!I100*(1+'PT Assumptions'!I53)*(1+'Other Assumptions'!M$52)</f>
        <v>11.550627544994747</v>
      </c>
      <c r="J100" s="4">
        <f ca="1">'Total Duration Tables Sup #1'!J100*(1+'PT Assumptions'!J53)*(1+'Other Assumptions'!N$52)</f>
        <v>11.843645302397736</v>
      </c>
      <c r="K100" s="4">
        <f ca="1">'Total Duration Tables Sup #1'!K100*(1+'PT Assumptions'!K53)*(1+'Other Assumptions'!O$52)</f>
        <v>12.144096370745867</v>
      </c>
    </row>
    <row r="101" spans="1:11" x14ac:dyDescent="0.2">
      <c r="A101" t="str">
        <f ca="1">OFFSET(Wellington_Reference,56,2)</f>
        <v>Local Ferry</v>
      </c>
      <c r="B101" s="4">
        <f ca="1">B167*'Total Duration Tables Sup #1'!B101*(1+'Other Assumptions'!D$52)</f>
        <v>5.6537513499999983E-2</v>
      </c>
      <c r="C101" s="4">
        <f ca="1">C167*'Total Duration Tables Sup #1'!C101*(1+'Other Assumptions'!G$52)</f>
        <v>6.26090924004504E-2</v>
      </c>
      <c r="D101" s="4">
        <f ca="1">D167*'Total Duration Tables Sup #1'!D101*(1+'Other Assumptions'!H$52)</f>
        <v>6.6408716746380755E-2</v>
      </c>
      <c r="E101" s="4">
        <f ca="1">E167*'Total Duration Tables Sup #1'!E101*(1+'Other Assumptions'!I$52)</f>
        <v>6.9046219453005292E-2</v>
      </c>
      <c r="F101" s="4">
        <f ca="1">F167*'Total Duration Tables Sup #1'!F101*(1+'Other Assumptions'!J$52)</f>
        <v>7.1164588707958137E-2</v>
      </c>
      <c r="G101" s="4">
        <f ca="1">G167*'Total Duration Tables Sup #1'!G101*(1+'Other Assumptions'!K$52)</f>
        <v>7.4593021582995397E-2</v>
      </c>
      <c r="H101" s="4">
        <f ca="1">H167*'Total Duration Tables Sup #1'!H101*(1+'Other Assumptions'!L$52)</f>
        <v>7.7561699047499502E-2</v>
      </c>
      <c r="I101" s="4">
        <f ca="1">I167*'Total Duration Tables Sup #1'!I101*(1+'Other Assumptions'!M$52)</f>
        <v>7.6846323055454663E-2</v>
      </c>
      <c r="J101" s="4">
        <f ca="1">J167*'Total Duration Tables Sup #1'!J101*(1+'Other Assumptions'!N$52)</f>
        <v>7.591299482012101E-2</v>
      </c>
      <c r="K101" s="4">
        <f ca="1">K167*'Total Duration Tables Sup #1'!K101*(1+'Other Assumptions'!O$52)</f>
        <v>7.4847411498271427E-2</v>
      </c>
    </row>
    <row r="102" spans="1:11" x14ac:dyDescent="0.2">
      <c r="A102" t="str">
        <f ca="1">OFFSET(Wellington_Reference,63,2)</f>
        <v>Other Household Travel</v>
      </c>
      <c r="B102" s="4">
        <f ca="1">B168*'Total Duration Tables Sup #1'!B102*(1+'Other Assumptions'!D$52)</f>
        <v>0.36538599710000003</v>
      </c>
      <c r="C102" s="4">
        <f ca="1">C168*'Total Duration Tables Sup #1'!C102*(1+'Other Assumptions'!G$52)</f>
        <v>0.39443006329874164</v>
      </c>
      <c r="D102" s="4">
        <f ca="1">D168*'Total Duration Tables Sup #1'!D102*(1+'Other Assumptions'!H$52)</f>
        <v>0.41386068116224767</v>
      </c>
      <c r="E102" s="4">
        <f ca="1">E168*'Total Duration Tables Sup #1'!E102*(1+'Other Assumptions'!I$52)</f>
        <v>0.42390445946767569</v>
      </c>
      <c r="F102" s="4">
        <f ca="1">F168*'Total Duration Tables Sup #1'!F102*(1+'Other Assumptions'!J$52)</f>
        <v>0.43229888015541651</v>
      </c>
      <c r="G102" s="4">
        <f ca="1">G168*'Total Duration Tables Sup #1'!G102*(1+'Other Assumptions'!K$52)</f>
        <v>0.44399345468487711</v>
      </c>
      <c r="H102" s="4">
        <f ca="1">H168*'Total Duration Tables Sup #1'!H102*(1+'Other Assumptions'!L$52)</f>
        <v>0.45341818489946628</v>
      </c>
      <c r="I102" s="4">
        <f ca="1">I168*'Total Duration Tables Sup #1'!I102*(1+'Other Assumptions'!M$52)</f>
        <v>0.4544092797760898</v>
      </c>
      <c r="J102" s="4">
        <f ca="1">J168*'Total Duration Tables Sup #1'!J102*(1+'Other Assumptions'!N$52)</f>
        <v>0.45397747068866207</v>
      </c>
      <c r="K102" s="4">
        <f ca="1">K168*'Total Duration Tables Sup #1'!K102*(1+'Other Assumptions'!O$52)</f>
        <v>0.45259630053477778</v>
      </c>
    </row>
    <row r="103" spans="1:11" x14ac:dyDescent="0.2">
      <c r="A103" t="str">
        <f ca="1">OFFSET(Nelson_Reference,0,0)</f>
        <v>10 NELS-MARLB-TAS</v>
      </c>
    </row>
    <row r="104" spans="1:11" x14ac:dyDescent="0.2">
      <c r="A104" t="str">
        <f ca="1">OFFSET(Nelson_Reference,0,2)</f>
        <v>Pedestrian</v>
      </c>
      <c r="B104" s="4">
        <f ca="1">B159*'Total Duration Tables Sup #1'!B104*(1+'Other Assumptions'!D$53)*(1+'Active Mode Assumptions'!B11)</f>
        <v>7.2640217022</v>
      </c>
      <c r="C104" s="4">
        <f ca="1">C159*'Total Duration Tables Sup #1'!C104*(1+'Other Assumptions'!G$53)*(1+'Active Mode Assumptions'!C11)</f>
        <v>7.5552637497498969</v>
      </c>
      <c r="D104" s="4">
        <f ca="1">D159*'Total Duration Tables Sup #1'!D104*(1+'Other Assumptions'!H$53)*(1+'Active Mode Assumptions'!D11)</f>
        <v>7.7125586245068067</v>
      </c>
      <c r="E104" s="4">
        <f ca="1">E159*'Total Duration Tables Sup #1'!E104*(1+'Other Assumptions'!I$53)*(1+'Active Mode Assumptions'!E11)</f>
        <v>7.8086922072282645</v>
      </c>
      <c r="F104" s="4">
        <f ca="1">F159*'Total Duration Tables Sup #1'!F104*(1+'Other Assumptions'!J$53)*(1+'Active Mode Assumptions'!F11)</f>
        <v>7.8225768588165563</v>
      </c>
      <c r="G104" s="4">
        <f ca="1">G159*'Total Duration Tables Sup #1'!G104*(1+'Other Assumptions'!K$53)*(1+'Active Mode Assumptions'!G11)</f>
        <v>7.8007025831152488</v>
      </c>
      <c r="H104" s="4">
        <f ca="1">H159*'Total Duration Tables Sup #1'!H104*(1+'Other Assumptions'!L$53)*(1+'Active Mode Assumptions'!H11)</f>
        <v>7.7281707225935055</v>
      </c>
      <c r="I104" s="4">
        <f ca="1">I159*'Total Duration Tables Sup #1'!I104*(1+'Other Assumptions'!M$53)*(1+'Active Mode Assumptions'!I11)</f>
        <v>7.7103017913724168</v>
      </c>
      <c r="J104" s="4">
        <f ca="1">J159*'Total Duration Tables Sup #1'!J104*(1+'Other Assumptions'!N$53)*(1+'Active Mode Assumptions'!J11)</f>
        <v>7.6684276390760191</v>
      </c>
      <c r="K104" s="4">
        <f ca="1">K159*'Total Duration Tables Sup #1'!K104*(1+'Other Assumptions'!O$53)*(1+'Active Mode Assumptions'!K11)</f>
        <v>7.6108259989051401</v>
      </c>
    </row>
    <row r="105" spans="1:11" x14ac:dyDescent="0.2">
      <c r="A105" t="str">
        <f ca="1">OFFSET(Nelson_Reference,7,2)</f>
        <v>Cyclist</v>
      </c>
      <c r="B105" s="4">
        <f ca="1">B160*'Total Duration Tables Sup #1'!B105*(1+'Other Assumptions'!D$53)*(1+'Active Mode Assumptions'!B20)</f>
        <v>1.0417220854</v>
      </c>
      <c r="C105" s="4">
        <f ca="1">C160*'Total Duration Tables Sup #1'!C105*(1+'Other Assumptions'!G$53)*(1+'Active Mode Assumptions'!C20)</f>
        <v>1.1122153258343486</v>
      </c>
      <c r="D105" s="4">
        <f ca="1">D160*'Total Duration Tables Sup #1'!D105*(1+'Other Assumptions'!H$53)*(1+'Active Mode Assumptions'!D20)</f>
        <v>1.1475463574326097</v>
      </c>
      <c r="E105" s="4">
        <f ca="1">E160*'Total Duration Tables Sup #1'!E105*(1+'Other Assumptions'!I$53)*(1+'Active Mode Assumptions'!E20)</f>
        <v>1.1598595058111048</v>
      </c>
      <c r="F105" s="4">
        <f ca="1">F160*'Total Duration Tables Sup #1'!F105*(1+'Other Assumptions'!J$53)*(1+'Active Mode Assumptions'!F20)</f>
        <v>1.1777348218654391</v>
      </c>
      <c r="G105" s="4">
        <f ca="1">G160*'Total Duration Tables Sup #1'!G105*(1+'Other Assumptions'!K$53)*(1+'Active Mode Assumptions'!G20)</f>
        <v>1.2040542307189346</v>
      </c>
      <c r="H105" s="4">
        <f ca="1">H160*'Total Duration Tables Sup #1'!H105*(1+'Other Assumptions'!L$53)*(1+'Active Mode Assumptions'!H20)</f>
        <v>1.2255171713248074</v>
      </c>
      <c r="I105" s="4">
        <f ca="1">I160*'Total Duration Tables Sup #1'!I105*(1+'Other Assumptions'!M$53)*(1+'Active Mode Assumptions'!I20)</f>
        <v>1.228508121930632</v>
      </c>
      <c r="J105" s="4">
        <f ca="1">J160*'Total Duration Tables Sup #1'!J105*(1+'Other Assumptions'!N$53)*(1+'Active Mode Assumptions'!J20)</f>
        <v>1.2277133809014535</v>
      </c>
      <c r="K105" s="4">
        <f ca="1">K160*'Total Duration Tables Sup #1'!K105*(1+'Other Assumptions'!O$53)*(1+'Active Mode Assumptions'!K20)</f>
        <v>1.2244075796778542</v>
      </c>
    </row>
    <row r="106" spans="1:11" x14ac:dyDescent="0.2">
      <c r="A106" t="str">
        <f ca="1">OFFSET(Nelson_Reference,14,2)</f>
        <v>Light Vehicle Driver</v>
      </c>
      <c r="B106" s="4">
        <f ca="1">B161*'Total Duration Tables Sup #1'!B106*(1+'Other Assumptions'!D$53)-(B104*'Active Mode Assumptions'!B11*'Active Mode Assumptions'!B14/(1+'Active Mode Assumptions'!B11))-(B105*'Active Mode Assumptions'!B20*'Active Mode Assumptions'!B23/(1+'Active Mode Assumptions'!B20))</f>
        <v>23.635435057999999</v>
      </c>
      <c r="C106" s="4">
        <f ca="1">C161*'Total Duration Tables Sup #1'!C106*(1+'Other Assumptions'!G$53)-(C104*'Active Mode Assumptions'!C11*'Active Mode Assumptions'!C14/(1+'Active Mode Assumptions'!C11))-(C105*'Active Mode Assumptions'!C20*'Active Mode Assumptions'!C23/(1+'Active Mode Assumptions'!C20))</f>
        <v>25.469791806149786</v>
      </c>
      <c r="D106" s="4">
        <f ca="1">D161*'Total Duration Tables Sup #1'!D106*(1+'Other Assumptions'!H$53)-(D104*'Active Mode Assumptions'!D11*'Active Mode Assumptions'!D14/(1+'Active Mode Assumptions'!D11))-(D105*'Active Mode Assumptions'!D20*'Active Mode Assumptions'!D23/(1+'Active Mode Assumptions'!D20))</f>
        <v>26.552955760378307</v>
      </c>
      <c r="E106" s="4">
        <f ca="1">E161*'Total Duration Tables Sup #1'!E106*(1+'Other Assumptions'!I$53)-(E104*'Active Mode Assumptions'!E11*'Active Mode Assumptions'!E14/(1+'Active Mode Assumptions'!E11))-(E105*'Active Mode Assumptions'!E20*'Active Mode Assumptions'!E23/(1+'Active Mode Assumptions'!E20))</f>
        <v>27.149732053155105</v>
      </c>
      <c r="F106" s="4">
        <f ca="1">F161*'Total Duration Tables Sup #1'!F106*(1+'Other Assumptions'!J$53)-(F104*'Active Mode Assumptions'!F11*'Active Mode Assumptions'!F14/(1+'Active Mode Assumptions'!F11))-(F105*'Active Mode Assumptions'!F20*'Active Mode Assumptions'!F23/(1+'Active Mode Assumptions'!F20))</f>
        <v>27.621378644548994</v>
      </c>
      <c r="G106" s="4">
        <f ca="1">G161*'Total Duration Tables Sup #1'!G106*(1+'Other Assumptions'!K$53)-(G104*'Active Mode Assumptions'!G11*'Active Mode Assumptions'!G14/(1+'Active Mode Assumptions'!G11))-(G105*'Active Mode Assumptions'!G20*'Active Mode Assumptions'!G23/(1+'Active Mode Assumptions'!G20))</f>
        <v>27.826388703480635</v>
      </c>
      <c r="H106" s="4">
        <f ca="1">H161*'Total Duration Tables Sup #1'!H106*(1+'Other Assumptions'!L$53)-(H104*'Active Mode Assumptions'!H11*'Active Mode Assumptions'!H14/(1+'Active Mode Assumptions'!H11))-(H105*'Active Mode Assumptions'!H20*'Active Mode Assumptions'!H23/(1+'Active Mode Assumptions'!H20))</f>
        <v>27.861684184112768</v>
      </c>
      <c r="I106" s="4">
        <f ca="1">I161*'Total Duration Tables Sup #1'!I106*(1+'Other Assumptions'!M$53)-(I104*'Active Mode Assumptions'!I11*'Active Mode Assumptions'!I14/(1+'Active Mode Assumptions'!I11))-(I105*'Active Mode Assumptions'!I20*'Active Mode Assumptions'!I23/(1+'Active Mode Assumptions'!I20))</f>
        <v>27.785877270594444</v>
      </c>
      <c r="J106" s="4">
        <f ca="1">J161*'Total Duration Tables Sup #1'!J106*(1+'Other Assumptions'!N$53)-(J104*'Active Mode Assumptions'!J11*'Active Mode Assumptions'!J14/(1+'Active Mode Assumptions'!J11))-(J105*'Active Mode Assumptions'!J20*'Active Mode Assumptions'!J23/(1+'Active Mode Assumptions'!J20))</f>
        <v>27.623715522160595</v>
      </c>
      <c r="K106" s="4">
        <f ca="1">K161*'Total Duration Tables Sup #1'!K106*(1+'Other Assumptions'!O$53)-(K104*'Active Mode Assumptions'!K11*'Active Mode Assumptions'!K14/(1+'Active Mode Assumptions'!K11))-(K105*'Active Mode Assumptions'!K20*'Active Mode Assumptions'!K23/(1+'Active Mode Assumptions'!K20))</f>
        <v>27.405125042286439</v>
      </c>
    </row>
    <row r="107" spans="1:11" x14ac:dyDescent="0.2">
      <c r="A107" t="str">
        <f ca="1">OFFSET(Nelson_Reference,21,2)</f>
        <v>Light Vehicle Passenger</v>
      </c>
      <c r="B107" s="4">
        <f ca="1">B162*'Total Duration Tables Sup #1'!B107*(1+'Other Assumptions'!D$53)-(B104*'Active Mode Assumptions'!B11*'Active Mode Assumptions'!B15/(1+'Active Mode Assumptions'!B11))-(B105*'Active Mode Assumptions'!B20*'Active Mode Assumptions'!B24/(1+'Active Mode Assumptions'!B20))</f>
        <v>11.910351560000001</v>
      </c>
      <c r="C107" s="4">
        <f ca="1">C162*'Total Duration Tables Sup #1'!C107*(1+'Other Assumptions'!G$53)-(C104*'Active Mode Assumptions'!C11*'Active Mode Assumptions'!C15/(1+'Active Mode Assumptions'!C11))-(C105*'Active Mode Assumptions'!C20*'Active Mode Assumptions'!C24/(1+'Active Mode Assumptions'!C20))</f>
        <v>12.270373065063659</v>
      </c>
      <c r="D107" s="4">
        <f ca="1">D162*'Total Duration Tables Sup #1'!D107*(1+'Other Assumptions'!H$53)-(D104*'Active Mode Assumptions'!D11*'Active Mode Assumptions'!D15/(1+'Active Mode Assumptions'!D11))-(D105*'Active Mode Assumptions'!D20*'Active Mode Assumptions'!D24/(1+'Active Mode Assumptions'!D20))</f>
        <v>12.4694468781758</v>
      </c>
      <c r="E107" s="4">
        <f ca="1">E162*'Total Duration Tables Sup #1'!E107*(1+'Other Assumptions'!I$53)-(E104*'Active Mode Assumptions'!E11*'Active Mode Assumptions'!E15/(1+'Active Mode Assumptions'!E11))-(E105*'Active Mode Assumptions'!E20*'Active Mode Assumptions'!E24/(1+'Active Mode Assumptions'!E20))</f>
        <v>12.557300813497852</v>
      </c>
      <c r="F107" s="4">
        <f ca="1">F162*'Total Duration Tables Sup #1'!F107*(1+'Other Assumptions'!J$53)-(F104*'Active Mode Assumptions'!F11*'Active Mode Assumptions'!F15/(1+'Active Mode Assumptions'!F11))-(F105*'Active Mode Assumptions'!F20*'Active Mode Assumptions'!F24/(1+'Active Mode Assumptions'!F20))</f>
        <v>12.567367858635448</v>
      </c>
      <c r="G107" s="4">
        <f ca="1">G162*'Total Duration Tables Sup #1'!G107*(1+'Other Assumptions'!K$53)-(G104*'Active Mode Assumptions'!G11*'Active Mode Assumptions'!G15/(1+'Active Mode Assumptions'!G11))-(G105*'Active Mode Assumptions'!G20*'Active Mode Assumptions'!G24/(1+'Active Mode Assumptions'!G20))</f>
        <v>12.506102812209161</v>
      </c>
      <c r="H107" s="4">
        <f ca="1">H162*'Total Duration Tables Sup #1'!H107*(1+'Other Assumptions'!L$53)-(H104*'Active Mode Assumptions'!H11*'Active Mode Assumptions'!H15/(1+'Active Mode Assumptions'!H11))-(H105*'Active Mode Assumptions'!H20*'Active Mode Assumptions'!H24/(1+'Active Mode Assumptions'!H20))</f>
        <v>12.356536404902858</v>
      </c>
      <c r="I107" s="4">
        <f ca="1">I162*'Total Duration Tables Sup #1'!I107*(1+'Other Assumptions'!M$53)-(I104*'Active Mode Assumptions'!I11*'Active Mode Assumptions'!I15/(1+'Active Mode Assumptions'!I11))-(I105*'Active Mode Assumptions'!I20*'Active Mode Assumptions'!I24/(1+'Active Mode Assumptions'!I20))</f>
        <v>12.335115911008881</v>
      </c>
      <c r="J107" s="4">
        <f ca="1">J162*'Total Duration Tables Sup #1'!J107*(1+'Other Assumptions'!N$53)-(J104*'Active Mode Assumptions'!J11*'Active Mode Assumptions'!J15/(1+'Active Mode Assumptions'!J11))-(J105*'Active Mode Assumptions'!J20*'Active Mode Assumptions'!J24/(1+'Active Mode Assumptions'!J20))</f>
        <v>12.275204580330186</v>
      </c>
      <c r="K107" s="4">
        <f ca="1">K162*'Total Duration Tables Sup #1'!K107*(1+'Other Assumptions'!O$53)-(K104*'Active Mode Assumptions'!K11*'Active Mode Assumptions'!K15/(1+'Active Mode Assumptions'!K11))-(K105*'Active Mode Assumptions'!K20*'Active Mode Assumptions'!K24/(1+'Active Mode Assumptions'!K20))</f>
        <v>12.189995797184579</v>
      </c>
    </row>
    <row r="108" spans="1:11" x14ac:dyDescent="0.2">
      <c r="A108" t="str">
        <f ca="1">OFFSET(Nelson_Reference,28,2)</f>
        <v>Taxi/Vehicle Share</v>
      </c>
      <c r="B108" s="4">
        <f ca="1">B163*'Total Duration Tables Sup #1'!B108*(1+'Other Assumptions'!D$53)</f>
        <v>8.1526233300000001E-2</v>
      </c>
      <c r="C108" s="4">
        <f ca="1">C163*'Total Duration Tables Sup #1'!C108*(1+'Other Assumptions'!G$53)</f>
        <v>9.1293787293011269E-2</v>
      </c>
      <c r="D108" s="4">
        <f ca="1">D163*'Total Duration Tables Sup #1'!D108*(1+'Other Assumptions'!H$53)</f>
        <v>9.9178399433498599E-2</v>
      </c>
      <c r="E108" s="4">
        <f ca="1">E163*'Total Duration Tables Sup #1'!E108*(1+'Other Assumptions'!I$53)</f>
        <v>0.10636363509339646</v>
      </c>
      <c r="F108" s="4">
        <f ca="1">F163*'Total Duration Tables Sup #1'!F108*(1+'Other Assumptions'!J$53)</f>
        <v>0.11241070551488928</v>
      </c>
      <c r="G108" s="4">
        <f ca="1">G163*'Total Duration Tables Sup #1'!G108*(1+'Other Assumptions'!K$53)</f>
        <v>0.11650879481958316</v>
      </c>
      <c r="H108" s="4">
        <f ca="1">H163*'Total Duration Tables Sup #1'!H108*(1+'Other Assumptions'!L$53)</f>
        <v>0.11987473225893223</v>
      </c>
      <c r="I108" s="4">
        <f ca="1">I163*'Total Duration Tables Sup #1'!I108*(1+'Other Assumptions'!M$53)</f>
        <v>0.11933622805719067</v>
      </c>
      <c r="J108" s="4">
        <f ca="1">J163*'Total Duration Tables Sup #1'!J108*(1+'Other Assumptions'!N$53)</f>
        <v>0.11842916987258298</v>
      </c>
      <c r="K108" s="4">
        <f ca="1">K163*'Total Duration Tables Sup #1'!K108*(1+'Other Assumptions'!O$53)</f>
        <v>0.117283729468884</v>
      </c>
    </row>
    <row r="109" spans="1:11" x14ac:dyDescent="0.2">
      <c r="A109" t="str">
        <f ca="1">OFFSET(Nelson_Reference,35,2)</f>
        <v>Motorcyclist</v>
      </c>
      <c r="B109" s="4">
        <f ca="1">B164*'Total Duration Tables Sup #1'!B109*(1+'Other Assumptions'!D$53)</f>
        <v>0.60769230029999999</v>
      </c>
      <c r="C109" s="4">
        <f ca="1">C164*'Total Duration Tables Sup #1'!C109*(1+'Other Assumptions'!G$53)</f>
        <v>0.64902573822369536</v>
      </c>
      <c r="D109" s="4">
        <f ca="1">D164*'Total Duration Tables Sup #1'!D109*(1+'Other Assumptions'!H$53)</f>
        <v>0.67237700267121492</v>
      </c>
      <c r="E109" s="4">
        <f ca="1">E164*'Total Duration Tables Sup #1'!E109*(1+'Other Assumptions'!I$53)</f>
        <v>0.67921887067817754</v>
      </c>
      <c r="F109" s="4">
        <f ca="1">F164*'Total Duration Tables Sup #1'!F109*(1+'Other Assumptions'!J$53)</f>
        <v>0.68317983569682417</v>
      </c>
      <c r="G109" s="4">
        <f ca="1">G164*'Total Duration Tables Sup #1'!G109*(1+'Other Assumptions'!K$53)</f>
        <v>0.67685855410516016</v>
      </c>
      <c r="H109" s="4">
        <f ca="1">H164*'Total Duration Tables Sup #1'!H109*(1+'Other Assumptions'!L$53)</f>
        <v>0.66591706519249749</v>
      </c>
      <c r="I109" s="4">
        <f ca="1">I164*'Total Duration Tables Sup #1'!I109*(1+'Other Assumptions'!M$53)</f>
        <v>0.66753154779856805</v>
      </c>
      <c r="J109" s="4">
        <f ca="1">J164*'Total Duration Tables Sup #1'!J109*(1+'Other Assumptions'!N$53)</f>
        <v>0.66705552547118829</v>
      </c>
      <c r="K109" s="4">
        <f ca="1">K164*'Total Duration Tables Sup #1'!K109*(1+'Other Assumptions'!O$53)</f>
        <v>0.6651812308185393</v>
      </c>
    </row>
    <row r="110" spans="1:11" x14ac:dyDescent="0.2">
      <c r="A110" t="str">
        <f ca="1">OFFSET(Nelson_Reference,42,2)</f>
        <v>Local Train</v>
      </c>
      <c r="B110" s="4">
        <f ca="1">B165*'Total Duration Tables Sup #1'!B110*(1+'Other Assumptions'!D$53)</f>
        <v>0</v>
      </c>
      <c r="C110" s="4">
        <f ca="1">C165*'Total Duration Tables Sup #1'!C110*(1+'Other Assumptions'!G$53)</f>
        <v>0</v>
      </c>
      <c r="D110" s="4">
        <f ca="1">D165*'Total Duration Tables Sup #1'!D110*(1+'Other Assumptions'!H$53)</f>
        <v>0</v>
      </c>
      <c r="E110" s="4">
        <f ca="1">E165*'Total Duration Tables Sup #1'!E110*(1+'Other Assumptions'!I$53)</f>
        <v>0</v>
      </c>
      <c r="F110" s="4">
        <f ca="1">F165*'Total Duration Tables Sup #1'!F110*(1+'Other Assumptions'!J$53)</f>
        <v>0</v>
      </c>
      <c r="G110" s="4">
        <f ca="1">G165*'Total Duration Tables Sup #1'!G110*(1+'Other Assumptions'!K$53)</f>
        <v>0</v>
      </c>
      <c r="H110" s="4">
        <f ca="1">H165*'Total Duration Tables Sup #1'!H110*(1+'Other Assumptions'!L$53)</f>
        <v>0</v>
      </c>
      <c r="I110" s="4">
        <f ca="1">I165*'Total Duration Tables Sup #1'!I110*(1+'Other Assumptions'!M$53)</f>
        <v>0</v>
      </c>
      <c r="J110" s="4">
        <f ca="1">J165*'Total Duration Tables Sup #1'!J110*(1+'Other Assumptions'!N$53)</f>
        <v>0</v>
      </c>
      <c r="K110" s="4">
        <f ca="1">K165*'Total Duration Tables Sup #1'!K110*(1+'Other Assumptions'!O$53)</f>
        <v>0</v>
      </c>
    </row>
    <row r="111" spans="1:11" x14ac:dyDescent="0.2">
      <c r="A111" t="str">
        <f ca="1">OFFSET(Nelson_Reference,49,2)</f>
        <v>Local Bus</v>
      </c>
      <c r="B111" s="4">
        <f ca="1">B166*'Total Duration Tables Sup #1'!B111*(1+'Other Assumptions'!D$53)</f>
        <v>0.94491203199999996</v>
      </c>
      <c r="C111" s="4">
        <f ca="1">C166*'Total Duration Tables Sup #1'!C111*(1+'Other Assumptions'!G$53)</f>
        <v>0.91464687136292977</v>
      </c>
      <c r="D111" s="4">
        <f ca="1">D166*'Total Duration Tables Sup #1'!D111*(1+'Other Assumptions'!H$53)</f>
        <v>0.89282980646026722</v>
      </c>
      <c r="E111" s="4">
        <f ca="1">E166*'Total Duration Tables Sup #1'!E111*(1+'Other Assumptions'!I$53)</f>
        <v>0.87761697264774752</v>
      </c>
      <c r="F111" s="4">
        <f ca="1">F166*'Total Duration Tables Sup #1'!F111*(1+'Other Assumptions'!J$53)</f>
        <v>0.85222389673447219</v>
      </c>
      <c r="G111" s="4">
        <f ca="1">G166*'Total Duration Tables Sup #1'!G111*(1+'Other Assumptions'!K$53)</f>
        <v>0.83241600309676955</v>
      </c>
      <c r="H111" s="4">
        <f ca="1">H166*'Total Duration Tables Sup #1'!H111*(1+'Other Assumptions'!L$53)</f>
        <v>0.80755053175350244</v>
      </c>
      <c r="I111" s="4">
        <f ca="1">I166*'Total Duration Tables Sup #1'!I111*(1+'Other Assumptions'!M$53)</f>
        <v>0.80723807343584286</v>
      </c>
      <c r="J111" s="4">
        <f ca="1">J166*'Total Duration Tables Sup #1'!J111*(1+'Other Assumptions'!N$53)</f>
        <v>0.80439881526411183</v>
      </c>
      <c r="K111" s="4">
        <f ca="1">K166*'Total Duration Tables Sup #1'!K111*(1+'Other Assumptions'!O$53)</f>
        <v>0.79988824878352538</v>
      </c>
    </row>
    <row r="112" spans="1:11" x14ac:dyDescent="0.2">
      <c r="A112" t="str">
        <f ca="1">OFFSET(Wellington_Reference,56,2)</f>
        <v>Local Ferry</v>
      </c>
      <c r="B112" s="4">
        <f ca="1">B167*'Total Duration Tables Sup #1'!B112*(1+'Other Assumptions'!D$53)</f>
        <v>0</v>
      </c>
      <c r="C112" s="4">
        <f ca="1">C167*'Total Duration Tables Sup #1'!C112*(1+'Other Assumptions'!G$53)</f>
        <v>0</v>
      </c>
      <c r="D112" s="4">
        <f ca="1">D167*'Total Duration Tables Sup #1'!D112*(1+'Other Assumptions'!H$53)</f>
        <v>0</v>
      </c>
      <c r="E112" s="4">
        <f ca="1">E167*'Total Duration Tables Sup #1'!E112*(1+'Other Assumptions'!I$53)</f>
        <v>0</v>
      </c>
      <c r="F112" s="4">
        <f ca="1">F167*'Total Duration Tables Sup #1'!F112*(1+'Other Assumptions'!J$53)</f>
        <v>0</v>
      </c>
      <c r="G112" s="4">
        <f ca="1">G167*'Total Duration Tables Sup #1'!G112*(1+'Other Assumptions'!K$53)</f>
        <v>0</v>
      </c>
      <c r="H112" s="4">
        <f ca="1">H167*'Total Duration Tables Sup #1'!H112*(1+'Other Assumptions'!L$53)</f>
        <v>0</v>
      </c>
      <c r="I112" s="4">
        <f ca="1">I167*'Total Duration Tables Sup #1'!I112*(1+'Other Assumptions'!M$53)</f>
        <v>0</v>
      </c>
      <c r="J112" s="4">
        <f ca="1">J167*'Total Duration Tables Sup #1'!J112*(1+'Other Assumptions'!N$53)</f>
        <v>0</v>
      </c>
      <c r="K112" s="4">
        <f ca="1">K167*'Total Duration Tables Sup #1'!K112*(1+'Other Assumptions'!O$53)</f>
        <v>0</v>
      </c>
    </row>
    <row r="113" spans="1:11" x14ac:dyDescent="0.2">
      <c r="A113" t="str">
        <f ca="1">OFFSET(Nelson_Reference,56,2)</f>
        <v>Other Household Travel</v>
      </c>
      <c r="B113" s="4">
        <f ca="1">B168*'Total Duration Tables Sup #1'!B113*(1+'Other Assumptions'!D$53)</f>
        <v>0.51346004550000002</v>
      </c>
      <c r="C113" s="4">
        <f ca="1">C168*'Total Duration Tables Sup #1'!C113*(1+'Other Assumptions'!G$53)</f>
        <v>0.54902017460139863</v>
      </c>
      <c r="D113" s="4">
        <f ca="1">D168*'Total Duration Tables Sup #1'!D113*(1+'Other Assumptions'!H$53)</f>
        <v>0.574172353071707</v>
      </c>
      <c r="E113" s="4">
        <f ca="1">E168*'Total Duration Tables Sup #1'!E113*(1+'Other Assumptions'!I$53)</f>
        <v>0.58604700005994104</v>
      </c>
      <c r="F113" s="4">
        <f ca="1">F168*'Total Duration Tables Sup #1'!F113*(1+'Other Assumptions'!J$53)</f>
        <v>0.59459597963535016</v>
      </c>
      <c r="G113" s="4">
        <f ca="1">G168*'Total Duration Tables Sup #1'!G113*(1+'Other Assumptions'!K$53)</f>
        <v>0.60673569950357487</v>
      </c>
      <c r="H113" s="4">
        <f ca="1">H168*'Total Duration Tables Sup #1'!H113*(1+'Other Assumptions'!L$53)</f>
        <v>0.61457811522919659</v>
      </c>
      <c r="I113" s="4">
        <f ca="1">I168*'Total Duration Tables Sup #1'!I113*(1+'Other Assumptions'!M$53)</f>
        <v>0.61094343802482742</v>
      </c>
      <c r="J113" s="4">
        <f ca="1">J168*'Total Duration Tables Sup #1'!J113*(1+'Other Assumptions'!N$53)</f>
        <v>0.60545834941738941</v>
      </c>
      <c r="K113" s="4">
        <f ca="1">K168*'Total Duration Tables Sup #1'!K113*(1+'Other Assumptions'!O$53)</f>
        <v>0.59879429809537188</v>
      </c>
    </row>
    <row r="114" spans="1:11" x14ac:dyDescent="0.2">
      <c r="A114" t="str">
        <f ca="1">OFFSET(West_Coast_Reference,0,0)</f>
        <v>12 WEST COAST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x14ac:dyDescent="0.2">
      <c r="A115" t="str">
        <f ca="1">OFFSET(West_Coast_Reference,0,2)</f>
        <v>Pedestrian</v>
      </c>
      <c r="B115" s="4">
        <f ca="1">B159*'Total Duration Tables Sup #1'!B115*(1+'Other Assumptions'!D$54)*(1+'Active Mode Assumptions'!B11)</f>
        <v>1.1518220776999999</v>
      </c>
      <c r="C115" s="4">
        <f ca="1">C159*'Total Duration Tables Sup #1'!C115*(1+'Other Assumptions'!G$54)*(1+'Active Mode Assumptions'!C11)</f>
        <v>1.1252506425028996</v>
      </c>
      <c r="D115" s="4">
        <f ca="1">D159*'Total Duration Tables Sup #1'!D115*(1+'Other Assumptions'!H$54)*(1+'Active Mode Assumptions'!D11)</f>
        <v>1.1150248480746343</v>
      </c>
      <c r="E115" s="4">
        <f ca="1">E159*'Total Duration Tables Sup #1'!E115*(1+'Other Assumptions'!I$54)*(1+'Active Mode Assumptions'!E11)</f>
        <v>1.0976783456829031</v>
      </c>
      <c r="F115" s="4">
        <f ca="1">F159*'Total Duration Tables Sup #1'!F115*(1+'Other Assumptions'!J$54)*(1+'Active Mode Assumptions'!F11)</f>
        <v>1.0696609147794898</v>
      </c>
      <c r="G115" s="4">
        <f ca="1">G159*'Total Duration Tables Sup #1'!G115*(1+'Other Assumptions'!K$54)*(1+'Active Mode Assumptions'!G11)</f>
        <v>1.038140425291902</v>
      </c>
      <c r="H115" s="4">
        <f ca="1">H159*'Total Duration Tables Sup #1'!H115*(1+'Other Assumptions'!L$54)*(1+'Active Mode Assumptions'!H11)</f>
        <v>1.0036127733380296</v>
      </c>
      <c r="I115" s="4">
        <f ca="1">I159*'Total Duration Tables Sup #1'!I115*(1+'Other Assumptions'!M$54)*(1+'Active Mode Assumptions'!I11)</f>
        <v>0.97702901210032556</v>
      </c>
      <c r="J115" s="4">
        <f ca="1">J159*'Total Duration Tables Sup #1'!J115*(1+'Other Assumptions'!N$54)*(1+'Active Mode Assumptions'!J11)</f>
        <v>0.94813136404878029</v>
      </c>
      <c r="K115" s="4">
        <f ca="1">K159*'Total Duration Tables Sup #1'!K115*(1+'Other Assumptions'!O$54)*(1+'Active Mode Assumptions'!K11)</f>
        <v>0.9181202439365943</v>
      </c>
    </row>
    <row r="116" spans="1:11" x14ac:dyDescent="0.2">
      <c r="A116" t="str">
        <f ca="1">OFFSET(West_Coast_Reference,7,2)</f>
        <v>Cyclist</v>
      </c>
      <c r="B116" s="4">
        <f ca="1">B160*'Total Duration Tables Sup #1'!B116*(1+'Other Assumptions'!D$54)*(1+'Active Mode Assumptions'!B20)</f>
        <v>0.17528853950000001</v>
      </c>
      <c r="C116" s="4">
        <f ca="1">C160*'Total Duration Tables Sup #1'!C116*(1+'Other Assumptions'!G$54)*(1+'Active Mode Assumptions'!C20)</f>
        <v>0.17578503510702298</v>
      </c>
      <c r="D116" s="4">
        <f ca="1">D160*'Total Duration Tables Sup #1'!D116*(1+'Other Assumptions'!H$54)*(1+'Active Mode Assumptions'!D20)</f>
        <v>0.17605553825003595</v>
      </c>
      <c r="E116" s="4">
        <f ca="1">E160*'Total Duration Tables Sup #1'!E116*(1+'Other Assumptions'!I$54)*(1+'Active Mode Assumptions'!E20)</f>
        <v>0.17301970350234572</v>
      </c>
      <c r="F116" s="4">
        <f ca="1">F160*'Total Duration Tables Sup #1'!F116*(1+'Other Assumptions'!J$54)*(1+'Active Mode Assumptions'!F20)</f>
        <v>0.17089808226238784</v>
      </c>
      <c r="G116" s="4">
        <f ca="1">G160*'Total Duration Tables Sup #1'!G116*(1+'Other Assumptions'!K$54)*(1+'Active Mode Assumptions'!G20)</f>
        <v>0.17004419721983613</v>
      </c>
      <c r="H116" s="4">
        <f ca="1">H160*'Total Duration Tables Sup #1'!H116*(1+'Other Assumptions'!L$54)*(1+'Active Mode Assumptions'!H20)</f>
        <v>0.16888934778642728</v>
      </c>
      <c r="I116" s="4">
        <f ca="1">I160*'Total Duration Tables Sup #1'!I116*(1+'Other Assumptions'!M$54)*(1+'Active Mode Assumptions'!I20)</f>
        <v>0.16519903265897601</v>
      </c>
      <c r="J116" s="4">
        <f ca="1">J160*'Total Duration Tables Sup #1'!J116*(1+'Other Assumptions'!N$54)*(1+'Active Mode Assumptions'!J20)</f>
        <v>0.16108405877757392</v>
      </c>
      <c r="K116" s="4">
        <f ca="1">K160*'Total Duration Tables Sup #1'!K116*(1+'Other Assumptions'!O$54)*(1+'Active Mode Assumptions'!K20)</f>
        <v>0.15674264276982214</v>
      </c>
    </row>
    <row r="117" spans="1:11" x14ac:dyDescent="0.2">
      <c r="A117" t="str">
        <f ca="1">OFFSET(West_Coast_Reference,14,2)</f>
        <v>Light Vehicle Driver</v>
      </c>
      <c r="B117" s="4">
        <f ca="1">B161*'Total Duration Tables Sup #1'!B117*(1+'Other Assumptions'!D$54)-(B115*'Active Mode Assumptions'!B11*'Active Mode Assumptions'!B14/(1+'Active Mode Assumptions'!B11))-(B116*'Active Mode Assumptions'!B20*'Active Mode Assumptions'!B23/(1+'Active Mode Assumptions'!B20))</f>
        <v>5.0852916584000001</v>
      </c>
      <c r="C117" s="4">
        <f ca="1">C161*'Total Duration Tables Sup #1'!C117*(1+'Other Assumptions'!G$54)-(C115*'Active Mode Assumptions'!C11*'Active Mode Assumptions'!C14/(1+'Active Mode Assumptions'!C11))-(C116*'Active Mode Assumptions'!C20*'Active Mode Assumptions'!C23/(1+'Active Mode Assumptions'!C20))</f>
        <v>5.147176188475596</v>
      </c>
      <c r="D117" s="4">
        <f ca="1">D161*'Total Duration Tables Sup #1'!D117*(1+'Other Assumptions'!H$54)-(D115*'Active Mode Assumptions'!D11*'Active Mode Assumptions'!D14/(1+'Active Mode Assumptions'!D11))-(D116*'Active Mode Assumptions'!D20*'Active Mode Assumptions'!D23/(1+'Active Mode Assumptions'!D20))</f>
        <v>5.2088630486638605</v>
      </c>
      <c r="E117" s="4">
        <f ca="1">E161*'Total Duration Tables Sup #1'!E117*(1+'Other Assumptions'!I$54)-(E115*'Active Mode Assumptions'!E11*'Active Mode Assumptions'!E14/(1+'Active Mode Assumptions'!E11))-(E116*'Active Mode Assumptions'!E20*'Active Mode Assumptions'!E23/(1+'Active Mode Assumptions'!E20))</f>
        <v>5.1785281295544516</v>
      </c>
      <c r="F117" s="4">
        <f ca="1">F161*'Total Duration Tables Sup #1'!F117*(1+'Other Assumptions'!J$54)-(F115*'Active Mode Assumptions'!F11*'Active Mode Assumptions'!F14/(1+'Active Mode Assumptions'!F11))-(F116*'Active Mode Assumptions'!F20*'Active Mode Assumptions'!F23/(1+'Active Mode Assumptions'!F20))</f>
        <v>5.1249028760363968</v>
      </c>
      <c r="G117" s="4">
        <f ca="1">G161*'Total Duration Tables Sup #1'!G117*(1+'Other Assumptions'!K$54)-(G115*'Active Mode Assumptions'!G11*'Active Mode Assumptions'!G14/(1+'Active Mode Assumptions'!G11))-(G116*'Active Mode Assumptions'!G20*'Active Mode Assumptions'!G23/(1+'Active Mode Assumptions'!G20))</f>
        <v>5.0248514842631655</v>
      </c>
      <c r="H117" s="4">
        <f ca="1">H161*'Total Duration Tables Sup #1'!H117*(1+'Other Assumptions'!L$54)-(H115*'Active Mode Assumptions'!H11*'Active Mode Assumptions'!H14/(1+'Active Mode Assumptions'!H11))-(H116*'Active Mode Assumptions'!H20*'Active Mode Assumptions'!H23/(1+'Active Mode Assumptions'!H20))</f>
        <v>4.909540393079169</v>
      </c>
      <c r="I117" s="4">
        <f ca="1">I161*'Total Duration Tables Sup #1'!I117*(1+'Other Assumptions'!M$54)-(I115*'Active Mode Assumptions'!I11*'Active Mode Assumptions'!I14/(1+'Active Mode Assumptions'!I11))-(I116*'Active Mode Assumptions'!I20*'Active Mode Assumptions'!I23/(1+'Active Mode Assumptions'!I20))</f>
        <v>4.7775385008069362</v>
      </c>
      <c r="J117" s="4">
        <f ca="1">J161*'Total Duration Tables Sup #1'!J117*(1+'Other Assumptions'!N$54)-(J115*'Active Mode Assumptions'!J11*'Active Mode Assumptions'!J14/(1+'Active Mode Assumptions'!J11))-(J116*'Active Mode Assumptions'!J20*'Active Mode Assumptions'!J23/(1+'Active Mode Assumptions'!J20))</f>
        <v>4.6343441534515879</v>
      </c>
      <c r="K117" s="4">
        <f ca="1">K161*'Total Duration Tables Sup #1'!K117*(1+'Other Assumptions'!O$54)-(K115*'Active Mode Assumptions'!K11*'Active Mode Assumptions'!K14/(1+'Active Mode Assumptions'!K11))-(K116*'Active Mode Assumptions'!K20*'Active Mode Assumptions'!K23/(1+'Active Mode Assumptions'!K20))</f>
        <v>4.4858377161239238</v>
      </c>
    </row>
    <row r="118" spans="1:11" x14ac:dyDescent="0.2">
      <c r="A118" t="str">
        <f ca="1">OFFSET(West_Coast_Reference,21,2)</f>
        <v>Light Vehicle Passenger</v>
      </c>
      <c r="B118" s="4">
        <f ca="1">B162*'Total Duration Tables Sup #1'!B118*(1+'Other Assumptions'!D$54)-(B115*'Active Mode Assumptions'!B11*'Active Mode Assumptions'!B15/(1+'Active Mode Assumptions'!B11))-(B116*'Active Mode Assumptions'!B20*'Active Mode Assumptions'!B24/(1+'Active Mode Assumptions'!B20))</f>
        <v>3.4140139011000001</v>
      </c>
      <c r="C118" s="4">
        <f ca="1">C162*'Total Duration Tables Sup #1'!C118*(1+'Other Assumptions'!G$54)-(C115*'Active Mode Assumptions'!C11*'Active Mode Assumptions'!C15/(1+'Active Mode Assumptions'!C11))-(C116*'Active Mode Assumptions'!C20*'Active Mode Assumptions'!C24/(1+'Active Mode Assumptions'!C20))</f>
        <v>3.3036181652165384</v>
      </c>
      <c r="D118" s="4">
        <f ca="1">D162*'Total Duration Tables Sup #1'!D118*(1+'Other Assumptions'!H$54)-(D115*'Active Mode Assumptions'!D11*'Active Mode Assumptions'!D15/(1+'Active Mode Assumptions'!D11))-(D116*'Active Mode Assumptions'!D20*'Active Mode Assumptions'!D24/(1+'Active Mode Assumptions'!D20))</f>
        <v>3.2588599388473742</v>
      </c>
      <c r="E118" s="4">
        <f ca="1">E162*'Total Duration Tables Sup #1'!E118*(1+'Other Assumptions'!I$54)-(E115*'Active Mode Assumptions'!E11*'Active Mode Assumptions'!E15/(1+'Active Mode Assumptions'!E11))-(E116*'Active Mode Assumptions'!E20*'Active Mode Assumptions'!E24/(1+'Active Mode Assumptions'!E20))</f>
        <v>3.1909906287516527</v>
      </c>
      <c r="F118" s="4">
        <f ca="1">F162*'Total Duration Tables Sup #1'!F118*(1+'Other Assumptions'!J$54)-(F115*'Active Mode Assumptions'!F11*'Active Mode Assumptions'!F15/(1+'Active Mode Assumptions'!F11))-(F116*'Active Mode Assumptions'!F20*'Active Mode Assumptions'!F24/(1+'Active Mode Assumptions'!F20))</f>
        <v>3.1065121339732786</v>
      </c>
      <c r="G118" s="4">
        <f ca="1">G162*'Total Duration Tables Sup #1'!G118*(1+'Other Assumptions'!K$54)-(G115*'Active Mode Assumptions'!G11*'Active Mode Assumptions'!G15/(1+'Active Mode Assumptions'!G11))-(G116*'Active Mode Assumptions'!G20*'Active Mode Assumptions'!G24/(1+'Active Mode Assumptions'!G20))</f>
        <v>3.0086856612922919</v>
      </c>
      <c r="H118" s="4">
        <f ca="1">H162*'Total Duration Tables Sup #1'!H118*(1+'Other Assumptions'!L$54)-(H115*'Active Mode Assumptions'!H11*'Active Mode Assumptions'!H15/(1+'Active Mode Assumptions'!H11))-(H116*'Active Mode Assumptions'!H20*'Active Mode Assumptions'!H24/(1+'Active Mode Assumptions'!H20))</f>
        <v>2.9008058615055901</v>
      </c>
      <c r="I118" s="4">
        <f ca="1">I162*'Total Duration Tables Sup #1'!I118*(1+'Other Assumptions'!M$54)-(I115*'Active Mode Assumptions'!I11*'Active Mode Assumptions'!I15/(1+'Active Mode Assumptions'!I11))-(I116*'Active Mode Assumptions'!I20*'Active Mode Assumptions'!I24/(1+'Active Mode Assumptions'!I20))</f>
        <v>2.8256069896339979</v>
      </c>
      <c r="J118" s="4">
        <f ca="1">J162*'Total Duration Tables Sup #1'!J118*(1+'Other Assumptions'!N$54)-(J115*'Active Mode Assumptions'!J11*'Active Mode Assumptions'!J15/(1+'Active Mode Assumptions'!J11))-(J116*'Active Mode Assumptions'!J20*'Active Mode Assumptions'!J24/(1+'Active Mode Assumptions'!J20))</f>
        <v>2.743616252933275</v>
      </c>
      <c r="K118" s="4">
        <f ca="1">K162*'Total Duration Tables Sup #1'!K118*(1+'Other Assumptions'!O$54)-(K115*'Active Mode Assumptions'!K11*'Active Mode Assumptions'!K15/(1+'Active Mode Assumptions'!K11))-(K116*'Active Mode Assumptions'!K20*'Active Mode Assumptions'!K24/(1+'Active Mode Assumptions'!K20))</f>
        <v>2.6582986141947371</v>
      </c>
    </row>
    <row r="119" spans="1:11" x14ac:dyDescent="0.2">
      <c r="A119" t="str">
        <f ca="1">OFFSET(West_Coast_Reference,28,2)</f>
        <v>Taxi/Vehicle Share</v>
      </c>
      <c r="B119" s="4">
        <f ca="1">B163*'Total Duration Tables Sup #1'!B119*(1+'Other Assumptions'!D$54)</f>
        <v>6.5507808299999998E-2</v>
      </c>
      <c r="C119" s="4">
        <f ca="1">C163*'Total Duration Tables Sup #1'!C119*(1+'Other Assumptions'!G$54)</f>
        <v>6.8901438670927156E-2</v>
      </c>
      <c r="D119" s="4">
        <f ca="1">D163*'Total Duration Tables Sup #1'!D119*(1+'Other Assumptions'!H$54)</f>
        <v>7.2659196199800241E-2</v>
      </c>
      <c r="E119" s="4">
        <f ca="1">E163*'Total Duration Tables Sup #1'!E119*(1+'Other Assumptions'!I$54)</f>
        <v>7.5766528652576368E-2</v>
      </c>
      <c r="F119" s="4">
        <f ca="1">F163*'Total Duration Tables Sup #1'!F119*(1+'Other Assumptions'!J$54)</f>
        <v>7.7891736881568419E-2</v>
      </c>
      <c r="G119" s="4">
        <f ca="1">G163*'Total Duration Tables Sup #1'!G119*(1+'Other Assumptions'!K$54)</f>
        <v>7.8572128684587933E-2</v>
      </c>
      <c r="H119" s="4">
        <f ca="1">H163*'Total Duration Tables Sup #1'!H119*(1+'Other Assumptions'!L$54)</f>
        <v>7.8886838093461781E-2</v>
      </c>
      <c r="I119" s="4">
        <f ca="1">I163*'Total Duration Tables Sup #1'!I119*(1+'Other Assumptions'!M$54)</f>
        <v>7.6629468939197989E-2</v>
      </c>
      <c r="J119" s="4">
        <f ca="1">J163*'Total Duration Tables Sup #1'!J119*(1+'Other Assumptions'!N$54)</f>
        <v>7.4200751005789448E-2</v>
      </c>
      <c r="K119" s="4">
        <f ca="1">K163*'Total Duration Tables Sup #1'!K119*(1+'Other Assumptions'!O$54)</f>
        <v>7.1695676050456195E-2</v>
      </c>
    </row>
    <row r="120" spans="1:11" x14ac:dyDescent="0.2">
      <c r="A120" t="str">
        <f ca="1">OFFSET(West_Coast_Reference,35,2)</f>
        <v>Motorcyclist</v>
      </c>
      <c r="B120" s="4">
        <f ca="1">B164*'Total Duration Tables Sup #1'!B120*(1+'Other Assumptions'!D$54)</f>
        <v>9.7989774000000005E-3</v>
      </c>
      <c r="C120" s="4">
        <f ca="1">C164*'Total Duration Tables Sup #1'!C120*(1+'Other Assumptions'!G$54)</f>
        <v>9.829927533216919E-3</v>
      </c>
      <c r="D120" s="4">
        <f ca="1">D164*'Total Duration Tables Sup #1'!D120*(1+'Other Assumptions'!H$54)</f>
        <v>9.8852504046414817E-3</v>
      </c>
      <c r="E120" s="4">
        <f ca="1">E164*'Total Duration Tables Sup #1'!E120*(1+'Other Assumptions'!I$54)</f>
        <v>9.7094648115815078E-3</v>
      </c>
      <c r="F120" s="4">
        <f ca="1">F164*'Total Duration Tables Sup #1'!F120*(1+'Other Assumptions'!J$54)</f>
        <v>9.4999229813287015E-3</v>
      </c>
      <c r="G120" s="4">
        <f ca="1">G164*'Total Duration Tables Sup #1'!G120*(1+'Other Assumptions'!K$54)</f>
        <v>9.1602865947407845E-3</v>
      </c>
      <c r="H120" s="4">
        <f ca="1">H164*'Total Duration Tables Sup #1'!H120*(1+'Other Assumptions'!L$54)</f>
        <v>8.7942412194782181E-3</v>
      </c>
      <c r="I120" s="4">
        <f ca="1">I164*'Total Duration Tables Sup #1'!I120*(1+'Other Assumptions'!M$54)</f>
        <v>8.6019444738856168E-3</v>
      </c>
      <c r="J120" s="4">
        <f ca="1">J164*'Total Duration Tables Sup #1'!J120*(1+'Other Assumptions'!N$54)</f>
        <v>8.3871214524329444E-3</v>
      </c>
      <c r="K120" s="4">
        <f ca="1">K164*'Total Duration Tables Sup #1'!K120*(1+'Other Assumptions'!O$54)</f>
        <v>8.1601193987926278E-3</v>
      </c>
    </row>
    <row r="121" spans="1:11" x14ac:dyDescent="0.2">
      <c r="A121" t="str">
        <f ca="1">OFFSET(Nelson_Reference,42,2)</f>
        <v>Local Train</v>
      </c>
      <c r="B121" s="4">
        <f ca="1">B165*'Total Duration Tables Sup #1'!B121*(1+'Other Assumptions'!D$54)</f>
        <v>0</v>
      </c>
      <c r="C121" s="4">
        <f ca="1">C165*'Total Duration Tables Sup #1'!C121*(1+'Other Assumptions'!G$54)</f>
        <v>0</v>
      </c>
      <c r="D121" s="4">
        <f ca="1">D165*'Total Duration Tables Sup #1'!D121*(1+'Other Assumptions'!H$54)</f>
        <v>0</v>
      </c>
      <c r="E121" s="4">
        <f ca="1">E165*'Total Duration Tables Sup #1'!E121*(1+'Other Assumptions'!I$54)</f>
        <v>0</v>
      </c>
      <c r="F121" s="4">
        <f ca="1">F165*'Total Duration Tables Sup #1'!F121*(1+'Other Assumptions'!J$54)</f>
        <v>0</v>
      </c>
      <c r="G121" s="4">
        <f ca="1">G165*'Total Duration Tables Sup #1'!G121*(1+'Other Assumptions'!K$54)</f>
        <v>0</v>
      </c>
      <c r="H121" s="4">
        <f ca="1">H165*'Total Duration Tables Sup #1'!H121*(1+'Other Assumptions'!L$54)</f>
        <v>0</v>
      </c>
      <c r="I121" s="4">
        <f ca="1">I165*'Total Duration Tables Sup #1'!I121*(1+'Other Assumptions'!M$54)</f>
        <v>0</v>
      </c>
      <c r="J121" s="4">
        <f ca="1">J165*'Total Duration Tables Sup #1'!J121*(1+'Other Assumptions'!N$54)</f>
        <v>0</v>
      </c>
      <c r="K121" s="4">
        <f ca="1">K165*'Total Duration Tables Sup #1'!K121*(1+'Other Assumptions'!O$54)</f>
        <v>0</v>
      </c>
    </row>
    <row r="122" spans="1:11" x14ac:dyDescent="0.2">
      <c r="A122" t="str">
        <f ca="1">OFFSET(West_Coast_Reference,42,2)</f>
        <v>Local Bus</v>
      </c>
      <c r="B122" s="4">
        <f ca="1">B166*'Total Duration Tables Sup #1'!B122*(1+'Other Assumptions'!D$54)</f>
        <v>0.18249519829999999</v>
      </c>
      <c r="C122" s="4">
        <f ca="1">C166*'Total Duration Tables Sup #1'!C122*(1+'Other Assumptions'!G$54)</f>
        <v>0.16592235002379258</v>
      </c>
      <c r="D122" s="4">
        <f ca="1">D166*'Total Duration Tables Sup #1'!D122*(1+'Other Assumptions'!H$54)</f>
        <v>0.15721954866329324</v>
      </c>
      <c r="E122" s="4">
        <f ca="1">E166*'Total Duration Tables Sup #1'!E122*(1+'Other Assumptions'!I$54)</f>
        <v>0.1502635355274759</v>
      </c>
      <c r="F122" s="4">
        <f ca="1">F166*'Total Duration Tables Sup #1'!F122*(1+'Other Assumptions'!J$54)</f>
        <v>0.14193901704087122</v>
      </c>
      <c r="G122" s="4">
        <f ca="1">G166*'Total Duration Tables Sup #1'!G122*(1+'Other Assumptions'!K$54)</f>
        <v>0.13493188923657257</v>
      </c>
      <c r="H122" s="4">
        <f ca="1">H166*'Total Duration Tables Sup #1'!H122*(1+'Other Assumptions'!L$54)</f>
        <v>0.12773531324997403</v>
      </c>
      <c r="I122" s="4">
        <f ca="1">I166*'Total Duration Tables Sup #1'!I122*(1+'Other Assumptions'!M$54)</f>
        <v>0.12459181636630354</v>
      </c>
      <c r="J122" s="4">
        <f ca="1">J166*'Total Duration Tables Sup #1'!J122*(1+'Other Assumptions'!N$54)</f>
        <v>0.12113939740506005</v>
      </c>
      <c r="K122" s="4">
        <f ca="1">K166*'Total Duration Tables Sup #1'!K122*(1+'Other Assumptions'!O$54)</f>
        <v>0.1175300400709918</v>
      </c>
    </row>
    <row r="123" spans="1:11" x14ac:dyDescent="0.2">
      <c r="A123" t="str">
        <f ca="1">OFFSET(Wellington_Reference,56,2)</f>
        <v>Local Ferry</v>
      </c>
      <c r="B123" s="4">
        <f ca="1">B167*'Total Duration Tables Sup #1'!B123*(1+'Other Assumptions'!D$54)</f>
        <v>0</v>
      </c>
      <c r="C123" s="4">
        <f ca="1">C167*'Total Duration Tables Sup #1'!C123*(1+'Other Assumptions'!G$54)</f>
        <v>0</v>
      </c>
      <c r="D123" s="4">
        <f ca="1">D167*'Total Duration Tables Sup #1'!D123*(1+'Other Assumptions'!H$54)</f>
        <v>0</v>
      </c>
      <c r="E123" s="4">
        <f ca="1">E167*'Total Duration Tables Sup #1'!E123*(1+'Other Assumptions'!I$54)</f>
        <v>0</v>
      </c>
      <c r="F123" s="4">
        <f ca="1">F167*'Total Duration Tables Sup #1'!F123*(1+'Other Assumptions'!J$54)</f>
        <v>0</v>
      </c>
      <c r="G123" s="4">
        <f ca="1">G167*'Total Duration Tables Sup #1'!G123*(1+'Other Assumptions'!K$54)</f>
        <v>0</v>
      </c>
      <c r="H123" s="4">
        <f ca="1">H167*'Total Duration Tables Sup #1'!H123*(1+'Other Assumptions'!L$54)</f>
        <v>0</v>
      </c>
      <c r="I123" s="4">
        <f ca="1">I167*'Total Duration Tables Sup #1'!I123*(1+'Other Assumptions'!M$54)</f>
        <v>0</v>
      </c>
      <c r="J123" s="4">
        <f ca="1">J167*'Total Duration Tables Sup #1'!J123*(1+'Other Assumptions'!N$54)</f>
        <v>0</v>
      </c>
      <c r="K123" s="4">
        <f ca="1">K167*'Total Duration Tables Sup #1'!K123*(1+'Other Assumptions'!O$54)</f>
        <v>0</v>
      </c>
    </row>
    <row r="124" spans="1:11" x14ac:dyDescent="0.2">
      <c r="A124" t="str">
        <f ca="1">OFFSET(West_Coast_Reference,49,2)</f>
        <v>Other Household Travel</v>
      </c>
      <c r="B124" s="4">
        <f ca="1">B168*'Total Duration Tables Sup #1'!B124*(1+'Other Assumptions'!D$54)</f>
        <v>3.6766106000000001E-3</v>
      </c>
      <c r="C124" s="4">
        <f ca="1">C168*'Total Duration Tables Sup #1'!C124*(1+'Other Assumptions'!G$54)</f>
        <v>3.6925013063520461E-3</v>
      </c>
      <c r="D124" s="4">
        <f ca="1">D168*'Total Duration Tables Sup #1'!D124*(1+'Other Assumptions'!H$54)</f>
        <v>3.7485305859601328E-3</v>
      </c>
      <c r="E124" s="4">
        <f ca="1">E168*'Total Duration Tables Sup #1'!E124*(1+'Other Assumptions'!I$54)</f>
        <v>3.7201628679101361E-3</v>
      </c>
      <c r="F124" s="4">
        <f ca="1">F168*'Total Duration Tables Sup #1'!F124*(1+'Other Assumptions'!J$54)</f>
        <v>3.6715628841797877E-3</v>
      </c>
      <c r="G124" s="4">
        <f ca="1">G168*'Total Duration Tables Sup #1'!G124*(1+'Other Assumptions'!K$54)</f>
        <v>3.646318881317136E-3</v>
      </c>
      <c r="H124" s="4">
        <f ca="1">H168*'Total Duration Tables Sup #1'!H124*(1+'Other Assumptions'!L$54)</f>
        <v>3.6041202964588975E-3</v>
      </c>
      <c r="I124" s="4">
        <f ca="1">I168*'Total Duration Tables Sup #1'!I124*(1+'Other Assumptions'!M$54)</f>
        <v>3.4959869402855026E-3</v>
      </c>
      <c r="J124" s="4">
        <f ca="1">J168*'Total Duration Tables Sup #1'!J124*(1+'Other Assumptions'!N$54)</f>
        <v>3.3804862698600738E-3</v>
      </c>
      <c r="K124" s="4">
        <f ca="1">K168*'Total Duration Tables Sup #1'!K124*(1+'Other Assumptions'!O$54)</f>
        <v>3.2619563176022569E-3</v>
      </c>
    </row>
    <row r="125" spans="1:11" x14ac:dyDescent="0.2">
      <c r="A125" t="str">
        <f ca="1">OFFSET(Canterbury_Reference,0,0)</f>
        <v>13 CANTERBURY</v>
      </c>
      <c r="B125" s="4"/>
    </row>
    <row r="126" spans="1:11" x14ac:dyDescent="0.2">
      <c r="A126" t="str">
        <f ca="1">OFFSET(Canterbury_Reference,0,2)</f>
        <v>Pedestrian</v>
      </c>
      <c r="B126" s="4">
        <f ca="1">B159*'Total Duration Tables Sup #1'!B126*(1+'Other Assumptions'!D$55)*(1+'Active Mode Assumptions'!B11)</f>
        <v>27.07651954</v>
      </c>
      <c r="C126" s="4">
        <f ca="1">C159*'Total Duration Tables Sup #1'!C126*(1+'Other Assumptions'!G$55)*(1+'Active Mode Assumptions'!C11)</f>
        <v>29.736064115896351</v>
      </c>
      <c r="D126" s="4">
        <f ca="1">D159*'Total Duration Tables Sup #1'!D126*(1+'Other Assumptions'!H$55)*(1+'Active Mode Assumptions'!D11)</f>
        <v>31.404377351742777</v>
      </c>
      <c r="E126" s="4">
        <f ca="1">E159*'Total Duration Tables Sup #1'!E126*(1+'Other Assumptions'!I$55)*(1+'Active Mode Assumptions'!E11)</f>
        <v>32.516955071954619</v>
      </c>
      <c r="F126" s="4">
        <f ca="1">F159*'Total Duration Tables Sup #1'!F126*(1+'Other Assumptions'!J$55)*(1+'Active Mode Assumptions'!F11)</f>
        <v>33.35049471307957</v>
      </c>
      <c r="G126" s="4">
        <f ca="1">G159*'Total Duration Tables Sup #1'!G126*(1+'Other Assumptions'!K$55)*(1+'Active Mode Assumptions'!G11)</f>
        <v>34.089786048049525</v>
      </c>
      <c r="H126" s="4">
        <f ca="1">H159*'Total Duration Tables Sup #1'!H126*(1+'Other Assumptions'!L$55)*(1+'Active Mode Assumptions'!H11)</f>
        <v>34.681676507307699</v>
      </c>
      <c r="I126" s="4">
        <f ca="1">I159*'Total Duration Tables Sup #1'!I126*(1+'Other Assumptions'!M$55)*(1+'Active Mode Assumptions'!I11)</f>
        <v>35.530972387374042</v>
      </c>
      <c r="J126" s="4">
        <f ca="1">J159*'Total Duration Tables Sup #1'!J126*(1+'Other Assumptions'!N$55)*(1+'Active Mode Assumptions'!J11)</f>
        <v>36.285563897168593</v>
      </c>
      <c r="K126" s="4">
        <f ca="1">K159*'Total Duration Tables Sup #1'!K126*(1+'Other Assumptions'!O$55)*(1+'Active Mode Assumptions'!K11)</f>
        <v>36.976913476716689</v>
      </c>
    </row>
    <row r="127" spans="1:11" x14ac:dyDescent="0.2">
      <c r="A127" t="str">
        <f ca="1">OFFSET(Canterbury_Reference,7,2)</f>
        <v>Cyclist</v>
      </c>
      <c r="B127" s="4">
        <f ca="1">B160*'Total Duration Tables Sup #1'!B127*(1+'Other Assumptions'!D$55)*(1+'Active Mode Assumptions'!B20)</f>
        <v>7.2445897615000003</v>
      </c>
      <c r="C127" s="4">
        <f ca="1">C160*'Total Duration Tables Sup #1'!C127*(1+'Other Assumptions'!G$55)*(1+'Active Mode Assumptions'!C20)</f>
        <v>8.1671202529440663</v>
      </c>
      <c r="D127" s="4">
        <f ca="1">D160*'Total Duration Tables Sup #1'!D127*(1+'Other Assumptions'!H$55)*(1+'Active Mode Assumptions'!D20)</f>
        <v>8.7178254280833194</v>
      </c>
      <c r="E127" s="4">
        <f ca="1">E160*'Total Duration Tables Sup #1'!E127*(1+'Other Assumptions'!I$55)*(1+'Active Mode Assumptions'!E20)</f>
        <v>9.0112112885228051</v>
      </c>
      <c r="F127" s="4">
        <f ca="1">F160*'Total Duration Tables Sup #1'!F127*(1+'Other Assumptions'!J$55)*(1+'Active Mode Assumptions'!F20)</f>
        <v>9.3679848130827086</v>
      </c>
      <c r="G127" s="4">
        <f ca="1">G160*'Total Duration Tables Sup #1'!G127*(1+'Other Assumptions'!K$55)*(1+'Active Mode Assumptions'!G20)</f>
        <v>9.8170911669415553</v>
      </c>
      <c r="H127" s="4">
        <f ca="1">H160*'Total Duration Tables Sup #1'!H127*(1+'Other Assumptions'!L$55)*(1+'Active Mode Assumptions'!H20)</f>
        <v>10.2609836768547</v>
      </c>
      <c r="I127" s="4">
        <f ca="1">I160*'Total Duration Tables Sup #1'!I127*(1+'Other Assumptions'!M$55)*(1+'Active Mode Assumptions'!I20)</f>
        <v>10.562335746639107</v>
      </c>
      <c r="J127" s="4">
        <f ca="1">J160*'Total Duration Tables Sup #1'!J127*(1+'Other Assumptions'!N$55)*(1+'Active Mode Assumptions'!J20)</f>
        <v>10.838539445401409</v>
      </c>
      <c r="K127" s="4">
        <f ca="1">K160*'Total Duration Tables Sup #1'!K127*(1+'Other Assumptions'!O$55)*(1+'Active Mode Assumptions'!K20)</f>
        <v>11.098673968013346</v>
      </c>
    </row>
    <row r="128" spans="1:11" x14ac:dyDescent="0.2">
      <c r="A128" t="str">
        <f ca="1">OFFSET(Canterbury_Reference,14,2)</f>
        <v>Light Vehicle Driver</v>
      </c>
      <c r="B128" s="4">
        <f ca="1">B161*'Total Duration Tables Sup #1'!B128*(1+'Other Assumptions'!D$55)-(B126*'Active Mode Assumptions'!B11*'Active Mode Assumptions'!B14/(1+'Active Mode Assumptions'!B11))-(B127*'Active Mode Assumptions'!B20*'Active Mode Assumptions'!B23/(1+'Active Mode Assumptions'!B20))</f>
        <v>111.06814274</v>
      </c>
      <c r="C128" s="4">
        <f ca="1">C161*'Total Duration Tables Sup #1'!C128*(1+'Other Assumptions'!G$55)-(C126*'Active Mode Assumptions'!C11*'Active Mode Assumptions'!C14/(1+'Active Mode Assumptions'!C11))-(C127*'Active Mode Assumptions'!C20*'Active Mode Assumptions'!C23/(1+'Active Mode Assumptions'!C20))</f>
        <v>126.37741066346776</v>
      </c>
      <c r="D128" s="4">
        <f ca="1">D161*'Total Duration Tables Sup #1'!D128*(1+'Other Assumptions'!H$55)-(D126*'Active Mode Assumptions'!D11*'Active Mode Assumptions'!D14/(1+'Active Mode Assumptions'!D11))-(D127*'Active Mode Assumptions'!D20*'Active Mode Assumptions'!D23/(1+'Active Mode Assumptions'!D20))</f>
        <v>136.30594063768143</v>
      </c>
      <c r="E128" s="4">
        <f ca="1">E161*'Total Duration Tables Sup #1'!E128*(1+'Other Assumptions'!I$55)-(E126*'Active Mode Assumptions'!E11*'Active Mode Assumptions'!E14/(1+'Active Mode Assumptions'!E11))-(E127*'Active Mode Assumptions'!E20*'Active Mode Assumptions'!E23/(1+'Active Mode Assumptions'!E20))</f>
        <v>142.53033875432789</v>
      </c>
      <c r="F128" s="4">
        <f ca="1">F161*'Total Duration Tables Sup #1'!F128*(1+'Other Assumptions'!J$55)-(F126*'Active Mode Assumptions'!F11*'Active Mode Assumptions'!F14/(1+'Active Mode Assumptions'!F11))-(F127*'Active Mode Assumptions'!F20*'Active Mode Assumptions'!F23/(1+'Active Mode Assumptions'!F20))</f>
        <v>148.45950094678818</v>
      </c>
      <c r="G128" s="4">
        <f ca="1">G161*'Total Duration Tables Sup #1'!G128*(1+'Other Assumptions'!K$55)-(G126*'Active Mode Assumptions'!G11*'Active Mode Assumptions'!G14/(1+'Active Mode Assumptions'!G11))-(G127*'Active Mode Assumptions'!G20*'Active Mode Assumptions'!G23/(1+'Active Mode Assumptions'!G20))</f>
        <v>153.30545428019698</v>
      </c>
      <c r="H128" s="4">
        <f ca="1">H161*'Total Duration Tables Sup #1'!H128*(1+'Other Assumptions'!L$55)-(H126*'Active Mode Assumptions'!H11*'Active Mode Assumptions'!H14/(1+'Active Mode Assumptions'!H11))-(H127*'Active Mode Assumptions'!H20*'Active Mode Assumptions'!H23/(1+'Active Mode Assumptions'!H20))</f>
        <v>157.63075075406354</v>
      </c>
      <c r="I128" s="4">
        <f ca="1">I161*'Total Duration Tables Sup #1'!I128*(1+'Other Assumptions'!M$55)-(I126*'Active Mode Assumptions'!I11*'Active Mode Assumptions'!I14/(1+'Active Mode Assumptions'!I11))-(I127*'Active Mode Assumptions'!I20*'Active Mode Assumptions'!I23/(1+'Active Mode Assumptions'!I20))</f>
        <v>161.4247164817352</v>
      </c>
      <c r="J128" s="4">
        <f ca="1">J161*'Total Duration Tables Sup #1'!J128*(1+'Other Assumptions'!N$55)-(J126*'Active Mode Assumptions'!J11*'Active Mode Assumptions'!J14/(1+'Active Mode Assumptions'!J11))-(J127*'Active Mode Assumptions'!J20*'Active Mode Assumptions'!J23/(1+'Active Mode Assumptions'!J20))</f>
        <v>164.78582437013489</v>
      </c>
      <c r="K128" s="4">
        <f ca="1">K161*'Total Duration Tables Sup #1'!K128*(1+'Other Assumptions'!O$55)-(K126*'Active Mode Assumptions'!K11*'Active Mode Assumptions'!K14/(1+'Active Mode Assumptions'!K11))-(K127*'Active Mode Assumptions'!K20*'Active Mode Assumptions'!K23/(1+'Active Mode Assumptions'!K20))</f>
        <v>167.85754044934617</v>
      </c>
    </row>
    <row r="129" spans="1:11" x14ac:dyDescent="0.2">
      <c r="A129" t="str">
        <f ca="1">OFFSET(Canterbury_Reference,21,2)</f>
        <v>Light Vehicle Passenger</v>
      </c>
      <c r="B129" s="4">
        <f ca="1">B162*'Total Duration Tables Sup #1'!B129*(1+'Other Assumptions'!D$55)-(B126*'Active Mode Assumptions'!B11*'Active Mode Assumptions'!B15/(1+'Active Mode Assumptions'!B11))-(B127*'Active Mode Assumptions'!B20*'Active Mode Assumptions'!B24/(1+'Active Mode Assumptions'!B20))</f>
        <v>53.544276449999998</v>
      </c>
      <c r="C129" s="4">
        <f ca="1">C162*'Total Duration Tables Sup #1'!C129*(1+'Other Assumptions'!G$55)-(C126*'Active Mode Assumptions'!C11*'Active Mode Assumptions'!C15/(1+'Active Mode Assumptions'!C11))-(C127*'Active Mode Assumptions'!C20*'Active Mode Assumptions'!C24/(1+'Active Mode Assumptions'!C20))</f>
        <v>58.245769805337403</v>
      </c>
      <c r="D129" s="4">
        <f ca="1">D162*'Total Duration Tables Sup #1'!D129*(1+'Other Assumptions'!H$55)-(D126*'Active Mode Assumptions'!D11*'Active Mode Assumptions'!D15/(1+'Active Mode Assumptions'!D11))-(D127*'Active Mode Assumptions'!D20*'Active Mode Assumptions'!D24/(1+'Active Mode Assumptions'!D20))</f>
        <v>61.236684108570145</v>
      </c>
      <c r="E129" s="4">
        <f ca="1">E162*'Total Duration Tables Sup #1'!E129*(1+'Other Assumptions'!I$55)-(E126*'Active Mode Assumptions'!E11*'Active Mode Assumptions'!E15/(1+'Active Mode Assumptions'!E11))-(E127*'Active Mode Assumptions'!E20*'Active Mode Assumptions'!E24/(1+'Active Mode Assumptions'!E20))</f>
        <v>63.066776261894148</v>
      </c>
      <c r="F129" s="4">
        <f ca="1">F162*'Total Duration Tables Sup #1'!F129*(1+'Other Assumptions'!J$55)-(F126*'Active Mode Assumptions'!F11*'Active Mode Assumptions'!F15/(1+'Active Mode Assumptions'!F11))-(F127*'Active Mode Assumptions'!F20*'Active Mode Assumptions'!F24/(1+'Active Mode Assumptions'!F20))</f>
        <v>64.620384365323858</v>
      </c>
      <c r="G129" s="4">
        <f ca="1">G162*'Total Duration Tables Sup #1'!G129*(1+'Other Assumptions'!K$55)-(G126*'Active Mode Assumptions'!G11*'Active Mode Assumptions'!G15/(1+'Active Mode Assumptions'!G11))-(G127*'Active Mode Assumptions'!G20*'Active Mode Assumptions'!G24/(1+'Active Mode Assumptions'!G20))</f>
        <v>65.915161141101578</v>
      </c>
      <c r="H129" s="4">
        <f ca="1">H162*'Total Duration Tables Sup #1'!H129*(1+'Other Assumptions'!L$55)-(H126*'Active Mode Assumptions'!H11*'Active Mode Assumptions'!H15/(1+'Active Mode Assumptions'!H11))-(H127*'Active Mode Assumptions'!H20*'Active Mode Assumptions'!H24/(1+'Active Mode Assumptions'!H20))</f>
        <v>66.879481333236114</v>
      </c>
      <c r="I129" s="4">
        <f ca="1">I162*'Total Duration Tables Sup #1'!I129*(1+'Other Assumptions'!M$55)-(I126*'Active Mode Assumptions'!I11*'Active Mode Assumptions'!I15/(1+'Active Mode Assumptions'!I11))-(I127*'Active Mode Assumptions'!I20*'Active Mode Assumptions'!I24/(1+'Active Mode Assumptions'!I20))</f>
        <v>68.556986356259586</v>
      </c>
      <c r="J129" s="4">
        <f ca="1">J162*'Total Duration Tables Sup #1'!J129*(1+'Other Assumptions'!N$55)-(J126*'Active Mode Assumptions'!J11*'Active Mode Assumptions'!J15/(1+'Active Mode Assumptions'!J11))-(J127*'Active Mode Assumptions'!J20*'Active Mode Assumptions'!J24/(1+'Active Mode Assumptions'!J20))</f>
        <v>70.05337437111595</v>
      </c>
      <c r="K129" s="4">
        <f ca="1">K162*'Total Duration Tables Sup #1'!K129*(1+'Other Assumptions'!O$55)-(K126*'Active Mode Assumptions'!K11*'Active Mode Assumptions'!K15/(1+'Active Mode Assumptions'!K11))-(K127*'Active Mode Assumptions'!K20*'Active Mode Assumptions'!K24/(1+'Active Mode Assumptions'!K20))</f>
        <v>71.429101575776983</v>
      </c>
    </row>
    <row r="130" spans="1:11" x14ac:dyDescent="0.2">
      <c r="A130" t="str">
        <f ca="1">OFFSET(Canterbury_Reference,28,2)</f>
        <v>Taxi/Vehicle Share</v>
      </c>
      <c r="B130" s="4">
        <f ca="1">B163*'Total Duration Tables Sup #1'!B130*(1+'Other Assumptions'!D$55)</f>
        <v>0.86554787379999998</v>
      </c>
      <c r="C130" s="4">
        <f ca="1">C163*'Total Duration Tables Sup #1'!C130*(1+'Other Assumptions'!G$55)</f>
        <v>1.0234180903275567</v>
      </c>
      <c r="D130" s="4">
        <f ca="1">D163*'Total Duration Tables Sup #1'!D130*(1+'Other Assumptions'!H$55)</f>
        <v>1.1502356267244858</v>
      </c>
      <c r="E130" s="4">
        <f ca="1">E163*'Total Duration Tables Sup #1'!E130*(1+'Other Assumptions'!I$55)</f>
        <v>1.2615450053086428</v>
      </c>
      <c r="F130" s="4">
        <f ca="1">F163*'Total Duration Tables Sup #1'!F130*(1+'Other Assumptions'!J$55)</f>
        <v>1.3650172070688751</v>
      </c>
      <c r="G130" s="4">
        <f ca="1">G163*'Total Duration Tables Sup #1'!G130*(1+'Other Assumptions'!K$55)</f>
        <v>1.4501979149677511</v>
      </c>
      <c r="H130" s="4">
        <f ca="1">H163*'Total Duration Tables Sup #1'!H130*(1+'Other Assumptions'!L$55)</f>
        <v>1.532247906247032</v>
      </c>
      <c r="I130" s="4">
        <f ca="1">I163*'Total Duration Tables Sup #1'!I130*(1+'Other Assumptions'!M$55)</f>
        <v>1.566339980711571</v>
      </c>
      <c r="J130" s="4">
        <f ca="1">J163*'Total Duration Tables Sup #1'!J130*(1+'Other Assumptions'!N$55)</f>
        <v>1.5961152562420353</v>
      </c>
      <c r="K130" s="4">
        <f ca="1">K163*'Total Duration Tables Sup #1'!K130*(1+'Other Assumptions'!O$55)</f>
        <v>1.6229855095437202</v>
      </c>
    </row>
    <row r="131" spans="1:11" x14ac:dyDescent="0.2">
      <c r="A131" t="str">
        <f ca="1">OFFSET(Canterbury_Reference,35,2)</f>
        <v>Motorcyclist</v>
      </c>
      <c r="B131" s="4">
        <f ca="1">B164*'Total Duration Tables Sup #1'!B131*(1+'Other Assumptions'!D$55)</f>
        <v>0.39288238580000001</v>
      </c>
      <c r="C131" s="4">
        <f ca="1">C164*'Total Duration Tables Sup #1'!C131*(1+'Other Assumptions'!G$55)</f>
        <v>0.44305627667402042</v>
      </c>
      <c r="D131" s="4">
        <f ca="1">D164*'Total Duration Tables Sup #1'!D131*(1+'Other Assumptions'!H$55)</f>
        <v>0.47486228595645436</v>
      </c>
      <c r="E131" s="4">
        <f ca="1">E164*'Total Duration Tables Sup #1'!E131*(1+'Other Assumptions'!I$55)</f>
        <v>0.49057388863575369</v>
      </c>
      <c r="F131" s="4">
        <f ca="1">F164*'Total Duration Tables Sup #1'!F131*(1+'Other Assumptions'!J$55)</f>
        <v>0.5051851782375445</v>
      </c>
      <c r="G131" s="4">
        <f ca="1">G164*'Total Duration Tables Sup #1'!G131*(1+'Other Assumptions'!K$55)</f>
        <v>0.51304043669881483</v>
      </c>
      <c r="H131" s="4">
        <f ca="1">H164*'Total Duration Tables Sup #1'!H131*(1+'Other Assumptions'!L$55)</f>
        <v>0.51833035016619533</v>
      </c>
      <c r="I131" s="4">
        <f ca="1">I164*'Total Duration Tables Sup #1'!I131*(1+'Other Assumptions'!M$55)</f>
        <v>0.53354447912756486</v>
      </c>
      <c r="J131" s="4">
        <f ca="1">J164*'Total Duration Tables Sup #1'!J131*(1+'Other Assumptions'!N$55)</f>
        <v>0.5474603337082572</v>
      </c>
      <c r="K131" s="4">
        <f ca="1">K164*'Total Duration Tables Sup #1'!K131*(1+'Other Assumptions'!O$55)</f>
        <v>0.56053401154131222</v>
      </c>
    </row>
    <row r="132" spans="1:11" x14ac:dyDescent="0.2">
      <c r="A132" t="str">
        <f ca="1">OFFSET(Canterbury_Reference,42,2)</f>
        <v>Local Train</v>
      </c>
      <c r="B132" s="4">
        <f ca="1">B165*'Total Duration Tables Sup #1'!B132*(1+'Other Assumptions'!D$55)</f>
        <v>7.3004144E-3</v>
      </c>
      <c r="C132" s="4">
        <f ca="1">C165*'Total Duration Tables Sup #1'!C132*(1+'Other Assumptions'!G$55)</f>
        <v>7.5482699742290887E-3</v>
      </c>
      <c r="D132" s="4">
        <f ca="1">D165*'Total Duration Tables Sup #1'!D132*(1+'Other Assumptions'!H$55)</f>
        <v>6.5057569189365611E-3</v>
      </c>
      <c r="E132" s="4">
        <f ca="1">E165*'Total Duration Tables Sup #1'!E132*(1+'Other Assumptions'!I$55)</f>
        <v>6.0746929869403207E-3</v>
      </c>
      <c r="F132" s="4">
        <f ca="1">F165*'Total Duration Tables Sup #1'!F132*(1+'Other Assumptions'!J$55)</f>
        <v>5.7779610686899338E-3</v>
      </c>
      <c r="G132" s="4">
        <f ca="1">G165*'Total Duration Tables Sup #1'!G132*(1+'Other Assumptions'!K$55)</f>
        <v>4.8870130842178002E-3</v>
      </c>
      <c r="H132" s="4">
        <f ca="1">H165*'Total Duration Tables Sup #1'!H132*(1+'Other Assumptions'!L$55)</f>
        <v>4.0479577489004742E-3</v>
      </c>
      <c r="I132" s="4">
        <f ca="1">I165*'Total Duration Tables Sup #1'!I132*(1+'Other Assumptions'!M$55)</f>
        <v>4.0435258390747186E-3</v>
      </c>
      <c r="J132" s="4">
        <f ca="1">J165*'Total Duration Tables Sup #1'!J132*(1+'Other Assumptions'!N$55)</f>
        <v>4.0391371927140339E-3</v>
      </c>
      <c r="K132" s="4">
        <f ca="1">K165*'Total Duration Tables Sup #1'!K132*(1+'Other Assumptions'!O$55)</f>
        <v>4.0347820613790683E-3</v>
      </c>
    </row>
    <row r="133" spans="1:11" x14ac:dyDescent="0.2">
      <c r="A133" t="str">
        <f ca="1">OFFSET(Canterbury_Reference,49,2)</f>
        <v>Local Bus</v>
      </c>
      <c r="B133" s="4">
        <f ca="1">'Total Duration Tables Sup #1'!B133*(1+'Other Assumptions'!D$55)</f>
        <v>7.9805750329</v>
      </c>
      <c r="C133" s="4">
        <f ca="1">'Total Duration Tables Sup #1'!C133*(1+'Other Assumptions'!G$55)</f>
        <v>8.0885047295000003</v>
      </c>
      <c r="D133" s="4">
        <f ca="1">'Total Duration Tables Sup #1'!D133*(1+'Other Assumptions'!H$55)</f>
        <v>7.9753596038000003</v>
      </c>
      <c r="E133" s="4">
        <f ca="1">'Total Duration Tables Sup #1'!E133*(1+'Other Assumptions'!I$55)</f>
        <v>8.0645476315</v>
      </c>
      <c r="F133" s="4">
        <f ca="1">'Total Duration Tables Sup #1'!F133*(1+'Other Assumptions'!J$55)</f>
        <v>7.9786037935999996</v>
      </c>
      <c r="G133" s="4">
        <f ca="1">'Total Duration Tables Sup #1'!G133*(1+'Other Assumptions'!K$55)</f>
        <v>7.8974170205999998</v>
      </c>
      <c r="H133" s="4">
        <f ca="1">'Total Duration Tables Sup #1'!H133*(1+'Other Assumptions'!L$55)</f>
        <v>7.775002143</v>
      </c>
      <c r="I133" s="4">
        <f ca="1">'Total Duration Tables Sup #1'!I133*(1+'Other Assumptions'!M$55)</f>
        <v>7.775002143</v>
      </c>
      <c r="J133" s="4">
        <f ca="1">'Total Duration Tables Sup #1'!J133*(1+'Other Assumptions'!N$55)</f>
        <v>7.775002143</v>
      </c>
      <c r="K133" s="4">
        <f ca="1">'Total Duration Tables Sup #1'!K133*(1+'Other Assumptions'!O$55)</f>
        <v>7.775002143</v>
      </c>
    </row>
    <row r="134" spans="1:11" x14ac:dyDescent="0.2">
      <c r="A134" t="str">
        <f ca="1">OFFSET(Wellington_Reference,56,2)</f>
        <v>Local Ferry</v>
      </c>
      <c r="B134" s="4">
        <f ca="1">B167*'Total Duration Tables Sup #1'!B134*(1+'Other Assumptions'!D$55)</f>
        <v>0</v>
      </c>
      <c r="C134" s="4">
        <f ca="1">C167*'Total Duration Tables Sup #1'!C134*(1+'Other Assumptions'!G$55)</f>
        <v>0</v>
      </c>
      <c r="D134" s="4">
        <f ca="1">D167*'Total Duration Tables Sup #1'!D134*(1+'Other Assumptions'!H$55)</f>
        <v>0</v>
      </c>
      <c r="E134" s="4">
        <f ca="1">E167*'Total Duration Tables Sup #1'!E134*(1+'Other Assumptions'!I$55)</f>
        <v>0</v>
      </c>
      <c r="F134" s="4">
        <f ca="1">F167*'Total Duration Tables Sup #1'!F134*(1+'Other Assumptions'!J$55)</f>
        <v>0</v>
      </c>
      <c r="G134" s="4">
        <f ca="1">G167*'Total Duration Tables Sup #1'!G134*(1+'Other Assumptions'!K$55)</f>
        <v>0</v>
      </c>
      <c r="H134" s="4">
        <f ca="1">H167*'Total Duration Tables Sup #1'!H134*(1+'Other Assumptions'!L$55)</f>
        <v>0</v>
      </c>
      <c r="I134" s="4">
        <f ca="1">I167*'Total Duration Tables Sup #1'!I134*(1+'Other Assumptions'!M$55)</f>
        <v>0</v>
      </c>
      <c r="J134" s="4">
        <f ca="1">J167*'Total Duration Tables Sup #1'!J134*(1+'Other Assumptions'!N$55)</f>
        <v>0</v>
      </c>
      <c r="K134" s="4">
        <f ca="1">K167*'Total Duration Tables Sup #1'!K134*(1+'Other Assumptions'!O$55)</f>
        <v>0</v>
      </c>
    </row>
    <row r="135" spans="1:11" x14ac:dyDescent="0.2">
      <c r="A135" t="str">
        <f ca="1">OFFSET(Canterbury_Reference,56,2)</f>
        <v>Other Household Travel</v>
      </c>
      <c r="B135" s="4">
        <f ca="1">B168*'Total Duration Tables Sup #1'!B135*(1+'Other Assumptions'!D$55)</f>
        <v>0.91635513570000005</v>
      </c>
      <c r="C135" s="4">
        <f ca="1">C168*'Total Duration Tables Sup #1'!C135*(1+'Other Assumptions'!G$55)</f>
        <v>1.0345788974393193</v>
      </c>
      <c r="D135" s="4">
        <f ca="1">D168*'Total Duration Tables Sup #1'!D135*(1+'Other Assumptions'!H$55)</f>
        <v>1.1193745884519206</v>
      </c>
      <c r="E135" s="4">
        <f ca="1">E168*'Total Duration Tables Sup #1'!E135*(1+'Other Assumptions'!I$55)</f>
        <v>1.1684374573330247</v>
      </c>
      <c r="F135" s="4">
        <f ca="1">F168*'Total Duration Tables Sup #1'!F135*(1+'Other Assumptions'!J$55)</f>
        <v>1.2137126197456813</v>
      </c>
      <c r="G135" s="4">
        <f ca="1">G168*'Total Duration Tables Sup #1'!G135*(1+'Other Assumptions'!K$55)</f>
        <v>1.26949665890783</v>
      </c>
      <c r="H135" s="4">
        <f ca="1">H168*'Total Duration Tables Sup #1'!H135*(1+'Other Assumptions'!L$55)</f>
        <v>1.3205106992288</v>
      </c>
      <c r="I135" s="4">
        <f ca="1">I168*'Total Duration Tables Sup #1'!I135*(1+'Other Assumptions'!M$55)</f>
        <v>1.3479636409555791</v>
      </c>
      <c r="J135" s="4">
        <f ca="1">J168*'Total Duration Tables Sup #1'!J135*(1+'Other Assumptions'!N$55)</f>
        <v>1.3716815053090525</v>
      </c>
      <c r="K135" s="4">
        <f ca="1">K168*'Total Duration Tables Sup #1'!K135*(1+'Other Assumptions'!O$55)</f>
        <v>1.3928937118076625</v>
      </c>
    </row>
    <row r="136" spans="1:11" x14ac:dyDescent="0.2">
      <c r="A136" t="str">
        <f ca="1">OFFSET(Otago_Reference,0,0)</f>
        <v>14 OTAGO</v>
      </c>
    </row>
    <row r="137" spans="1:11" x14ac:dyDescent="0.2">
      <c r="A137" t="str">
        <f ca="1">OFFSET(Otago_Reference,0,2)</f>
        <v>Pedestrian</v>
      </c>
      <c r="B137" s="4">
        <f ca="1">B159*'Total Duration Tables Sup #1'!B137*(1+'Other Assumptions'!D$56)*(1+'Active Mode Assumptions'!B11)</f>
        <v>11.651603939999999</v>
      </c>
      <c r="C137" s="4">
        <f ca="1">C159*'Total Duration Tables Sup #1'!C137*(1+'Other Assumptions'!G$56)*(1+'Active Mode Assumptions'!C11)</f>
        <v>12.498952188803704</v>
      </c>
      <c r="D137" s="4">
        <f ca="1">D159*'Total Duration Tables Sup #1'!D137*(1+'Other Assumptions'!H$56)*(1+'Active Mode Assumptions'!D11)</f>
        <v>12.944847790485193</v>
      </c>
      <c r="E137" s="4">
        <f ca="1">E159*'Total Duration Tables Sup #1'!E137*(1+'Other Assumptions'!I$56)*(1+'Active Mode Assumptions'!E11)</f>
        <v>13.186395924571835</v>
      </c>
      <c r="F137" s="4">
        <f ca="1">F159*'Total Duration Tables Sup #1'!F137*(1+'Other Assumptions'!J$56)*(1+'Active Mode Assumptions'!F11)</f>
        <v>13.311160627129885</v>
      </c>
      <c r="G137" s="4">
        <f ca="1">G159*'Total Duration Tables Sup #1'!G137*(1+'Other Assumptions'!K$56)*(1+'Active Mode Assumptions'!G11)</f>
        <v>13.39987563930411</v>
      </c>
      <c r="H137" s="4">
        <f ca="1">H159*'Total Duration Tables Sup #1'!H137*(1+'Other Assumptions'!L$56)*(1+'Active Mode Assumptions'!H11)</f>
        <v>13.428827424195116</v>
      </c>
      <c r="I137" s="4">
        <f ca="1">I159*'Total Duration Tables Sup #1'!I137*(1+'Other Assumptions'!M$56)*(1+'Active Mode Assumptions'!I11)</f>
        <v>13.552100702376169</v>
      </c>
      <c r="J137" s="4">
        <f ca="1">J159*'Total Duration Tables Sup #1'!J137*(1+'Other Assumptions'!N$56)*(1+'Active Mode Assumptions'!J11)</f>
        <v>13.633109439724352</v>
      </c>
      <c r="K137" s="4">
        <f ca="1">K159*'Total Duration Tables Sup #1'!K137*(1+'Other Assumptions'!O$56)*(1+'Active Mode Assumptions'!K11)</f>
        <v>13.685265232026559</v>
      </c>
    </row>
    <row r="138" spans="1:11" x14ac:dyDescent="0.2">
      <c r="A138" t="str">
        <f ca="1">OFFSET(Otago_Reference,7,2)</f>
        <v>Cyclist</v>
      </c>
      <c r="B138" s="4">
        <f ca="1">B160*'Total Duration Tables Sup #1'!B138*(1+'Other Assumptions'!D$56)*(1+'Active Mode Assumptions'!B20)</f>
        <v>1.6089304994</v>
      </c>
      <c r="C138" s="4">
        <f ca="1">C160*'Total Duration Tables Sup #1'!C138*(1+'Other Assumptions'!G$56)*(1+'Active Mode Assumptions'!C20)</f>
        <v>1.7716979557942176</v>
      </c>
      <c r="D138" s="4">
        <f ca="1">D160*'Total Duration Tables Sup #1'!D138*(1+'Other Assumptions'!H$56)*(1+'Active Mode Assumptions'!D20)</f>
        <v>1.8545798668386</v>
      </c>
      <c r="E138" s="4">
        <f ca="1">E160*'Total Duration Tables Sup #1'!E138*(1+'Other Assumptions'!I$56)*(1+'Active Mode Assumptions'!E20)</f>
        <v>1.8859493497385258</v>
      </c>
      <c r="F138" s="4">
        <f ca="1">F160*'Total Duration Tables Sup #1'!F138*(1+'Other Assumptions'!J$56)*(1+'Active Mode Assumptions'!F20)</f>
        <v>1.9297028275889783</v>
      </c>
      <c r="G138" s="4">
        <f ca="1">G160*'Total Duration Tables Sup #1'!G138*(1+'Other Assumptions'!K$56)*(1+'Active Mode Assumptions'!G20)</f>
        <v>1.9915441011683848</v>
      </c>
      <c r="H138" s="4">
        <f ca="1">H160*'Total Duration Tables Sup #1'!H138*(1+'Other Assumptions'!L$56)*(1+'Active Mode Assumptions'!H20)</f>
        <v>2.0504898221492822</v>
      </c>
      <c r="I138" s="4">
        <f ca="1">I160*'Total Duration Tables Sup #1'!I138*(1+'Other Assumptions'!M$56)*(1+'Active Mode Assumptions'!I20)</f>
        <v>2.0791705111955077</v>
      </c>
      <c r="J138" s="4">
        <f ca="1">J160*'Total Duration Tables Sup #1'!J138*(1+'Other Assumptions'!N$56)*(1+'Active Mode Assumptions'!J20)</f>
        <v>2.1016598059543741</v>
      </c>
      <c r="K138" s="4">
        <f ca="1">K160*'Total Duration Tables Sup #1'!K138*(1+'Other Assumptions'!O$56)*(1+'Active Mode Assumptions'!K20)</f>
        <v>2.1199434061541527</v>
      </c>
    </row>
    <row r="139" spans="1:11" x14ac:dyDescent="0.2">
      <c r="A139" t="str">
        <f ca="1">OFFSET(Otago_Reference,14,2)</f>
        <v>Light Vehicle Driver</v>
      </c>
      <c r="B139" s="4">
        <f ca="1">B161*'Total Duration Tables Sup #1'!B139*(1+'Other Assumptions'!D$56)-(B137*'Active Mode Assumptions'!B11*'Active Mode Assumptions'!B14/(1+'Active Mode Assumptions'!B11))-(B138*'Active Mode Assumptions'!B20*'Active Mode Assumptions'!B23/(1+'Active Mode Assumptions'!B20))</f>
        <v>32.522387277</v>
      </c>
      <c r="C139" s="4">
        <f ca="1">C161*'Total Duration Tables Sup #1'!C139*(1+'Other Assumptions'!G$56)-(C137*'Active Mode Assumptions'!C11*'Active Mode Assumptions'!C14/(1+'Active Mode Assumptions'!C11))-(C138*'Active Mode Assumptions'!C20*'Active Mode Assumptions'!C23/(1+'Active Mode Assumptions'!C20))</f>
        <v>36.145947003428468</v>
      </c>
      <c r="D139" s="4">
        <f ca="1">D161*'Total Duration Tables Sup #1'!D139*(1+'Other Assumptions'!H$56)-(D137*'Active Mode Assumptions'!D11*'Active Mode Assumptions'!D14/(1+'Active Mode Assumptions'!D11))-(D138*'Active Mode Assumptions'!D20*'Active Mode Assumptions'!D23/(1+'Active Mode Assumptions'!D20))</f>
        <v>38.231521109431746</v>
      </c>
      <c r="E139" s="4">
        <f ca="1">E161*'Total Duration Tables Sup #1'!E139*(1+'Other Assumptions'!I$56)-(E137*'Active Mode Assumptions'!E11*'Active Mode Assumptions'!E14/(1+'Active Mode Assumptions'!E11))-(E138*'Active Mode Assumptions'!E20*'Active Mode Assumptions'!E23/(1+'Active Mode Assumptions'!E20))</f>
        <v>39.329967731835282</v>
      </c>
      <c r="F139" s="4">
        <f ca="1">F161*'Total Duration Tables Sup #1'!F139*(1+'Other Assumptions'!J$56)-(F137*'Active Mode Assumptions'!F11*'Active Mode Assumptions'!F14/(1+'Active Mode Assumptions'!F11))-(F138*'Active Mode Assumptions'!F20*'Active Mode Assumptions'!F23/(1+'Active Mode Assumptions'!F20))</f>
        <v>40.320106657013277</v>
      </c>
      <c r="G139" s="4">
        <f ca="1">G161*'Total Duration Tables Sup #1'!G139*(1+'Other Assumptions'!K$56)-(G137*'Active Mode Assumptions'!G11*'Active Mode Assumptions'!G14/(1+'Active Mode Assumptions'!G11))-(G138*'Active Mode Assumptions'!G20*'Active Mode Assumptions'!G23/(1+'Active Mode Assumptions'!G20))</f>
        <v>41.00474646561532</v>
      </c>
      <c r="H139" s="4">
        <f ca="1">H161*'Total Duration Tables Sup #1'!H139*(1+'Other Assumptions'!L$56)-(H137*'Active Mode Assumptions'!H11*'Active Mode Assumptions'!H14/(1+'Active Mode Assumptions'!H11))-(H138*'Active Mode Assumptions'!H20*'Active Mode Assumptions'!H23/(1+'Active Mode Assumptions'!H20))</f>
        <v>41.531630923593397</v>
      </c>
      <c r="I139" s="4">
        <f ca="1">I161*'Total Duration Tables Sup #1'!I139*(1+'Other Assumptions'!M$56)-(I137*'Active Mode Assumptions'!I11*'Active Mode Assumptions'!I14/(1+'Active Mode Assumptions'!I11))-(I138*'Active Mode Assumptions'!I20*'Active Mode Assumptions'!I23/(1+'Active Mode Assumptions'!I20))</f>
        <v>41.895713558770879</v>
      </c>
      <c r="J139" s="4">
        <f ca="1">J161*'Total Duration Tables Sup #1'!J139*(1+'Other Assumptions'!N$56)-(J137*'Active Mode Assumptions'!J11*'Active Mode Assumptions'!J14/(1+'Active Mode Assumptions'!J11))-(J138*'Active Mode Assumptions'!J20*'Active Mode Assumptions'!J23/(1+'Active Mode Assumptions'!J20))</f>
        <v>42.128978183633187</v>
      </c>
      <c r="K139" s="4">
        <f ca="1">K161*'Total Duration Tables Sup #1'!K139*(1+'Other Assumptions'!O$56)-(K137*'Active Mode Assumptions'!K11*'Active Mode Assumptions'!K14/(1+'Active Mode Assumptions'!K11))-(K138*'Active Mode Assumptions'!K20*'Active Mode Assumptions'!K23/(1+'Active Mode Assumptions'!K20))</f>
        <v>42.273036961370195</v>
      </c>
    </row>
    <row r="140" spans="1:11" x14ac:dyDescent="0.2">
      <c r="A140" t="str">
        <f ca="1">OFFSET(Otago_Reference,21,2)</f>
        <v>Light Vehicle Passenger</v>
      </c>
      <c r="B140" s="4">
        <f ca="1">B162*'Total Duration Tables Sup #1'!B140*(1+'Other Assumptions'!D$56)-(B137*'Active Mode Assumptions'!B11*'Active Mode Assumptions'!B15/(1+'Active Mode Assumptions'!B11))-(B138*'Active Mode Assumptions'!B20*'Active Mode Assumptions'!B24/(1+'Active Mode Assumptions'!B20))</f>
        <v>19.901766343999999</v>
      </c>
      <c r="C140" s="4">
        <f ca="1">C162*'Total Duration Tables Sup #1'!C140*(1+'Other Assumptions'!G$56)-(C137*'Active Mode Assumptions'!C11*'Active Mode Assumptions'!C15/(1+'Active Mode Assumptions'!C11))-(C138*'Active Mode Assumptions'!C20*'Active Mode Assumptions'!C24/(1+'Active Mode Assumptions'!C20))</f>
        <v>21.14658320878652</v>
      </c>
      <c r="D140" s="4">
        <f ca="1">D162*'Total Duration Tables Sup #1'!D140*(1+'Other Assumptions'!H$56)-(D137*'Active Mode Assumptions'!D11*'Active Mode Assumptions'!D15/(1+'Active Mode Assumptions'!D11))-(D138*'Active Mode Assumptions'!D20*'Active Mode Assumptions'!D24/(1+'Active Mode Assumptions'!D20))</f>
        <v>21.802390854208543</v>
      </c>
      <c r="E140" s="4">
        <f ca="1">E162*'Total Duration Tables Sup #1'!E140*(1+'Other Assumptions'!I$56)-(E137*'Active Mode Assumptions'!E11*'Active Mode Assumptions'!E15/(1+'Active Mode Assumptions'!E11))-(E138*'Active Mode Assumptions'!E20*'Active Mode Assumptions'!E24/(1+'Active Mode Assumptions'!E20))</f>
        <v>22.090348443489329</v>
      </c>
      <c r="F140" s="4">
        <f ca="1">F162*'Total Duration Tables Sup #1'!F140*(1+'Other Assumptions'!J$56)-(F137*'Active Mode Assumptions'!F11*'Active Mode Assumptions'!F15/(1+'Active Mode Assumptions'!F11))-(F138*'Active Mode Assumptions'!F20*'Active Mode Assumptions'!F24/(1+'Active Mode Assumptions'!F20))</f>
        <v>22.277624238073656</v>
      </c>
      <c r="G140" s="4">
        <f ca="1">G162*'Total Duration Tables Sup #1'!G140*(1+'Other Assumptions'!K$56)-(G137*'Active Mode Assumptions'!G11*'Active Mode Assumptions'!G15/(1+'Active Mode Assumptions'!G11))-(G138*'Active Mode Assumptions'!G20*'Active Mode Assumptions'!G24/(1+'Active Mode Assumptions'!G20))</f>
        <v>22.379351841668797</v>
      </c>
      <c r="H140" s="4">
        <f ca="1">H162*'Total Duration Tables Sup #1'!H140*(1+'Other Assumptions'!L$56)-(H137*'Active Mode Assumptions'!H11*'Active Mode Assumptions'!H15/(1+'Active Mode Assumptions'!H11))-(H138*'Active Mode Assumptions'!H20*'Active Mode Assumptions'!H24/(1+'Active Mode Assumptions'!H20))</f>
        <v>22.367456418606167</v>
      </c>
      <c r="I140" s="4">
        <f ca="1">I162*'Total Duration Tables Sup #1'!I140*(1+'Other Assumptions'!M$56)-(I137*'Active Mode Assumptions'!I11*'Active Mode Assumptions'!I15/(1+'Active Mode Assumptions'!I11))-(I138*'Active Mode Assumptions'!I20*'Active Mode Assumptions'!I24/(1+'Active Mode Assumptions'!I20))</f>
        <v>22.585875993001054</v>
      </c>
      <c r="J140" s="4">
        <f ca="1">J162*'Total Duration Tables Sup #1'!J140*(1+'Other Assumptions'!N$56)-(J137*'Active Mode Assumptions'!J11*'Active Mode Assumptions'!J15/(1+'Active Mode Assumptions'!J11))-(J138*'Active Mode Assumptions'!J20*'Active Mode Assumptions'!J24/(1+'Active Mode Assumptions'!J20))</f>
        <v>22.733996963837424</v>
      </c>
      <c r="K140" s="4">
        <f ca="1">K162*'Total Duration Tables Sup #1'!K140*(1+'Other Assumptions'!O$56)-(K137*'Active Mode Assumptions'!K11*'Active Mode Assumptions'!K15/(1+'Active Mode Assumptions'!K11))-(K138*'Active Mode Assumptions'!K20*'Active Mode Assumptions'!K24/(1+'Active Mode Assumptions'!K20))</f>
        <v>22.8340760536658</v>
      </c>
    </row>
    <row r="141" spans="1:11" x14ac:dyDescent="0.2">
      <c r="A141" t="str">
        <f ca="1">OFFSET(Otago_Reference,28,2)</f>
        <v>Taxi/Vehicle Share</v>
      </c>
      <c r="B141" s="4">
        <f ca="1">B163*'Total Duration Tables Sup #1'!B141*(1+'Other Assumptions'!D$56)</f>
        <v>0.23496676969999999</v>
      </c>
      <c r="C141" s="4">
        <f ca="1">C163*'Total Duration Tables Sup #1'!C141*(1+'Other Assumptions'!G$56)</f>
        <v>0.27137240848868277</v>
      </c>
      <c r="D141" s="4">
        <f ca="1">D163*'Total Duration Tables Sup #1'!D141*(1+'Other Assumptions'!H$56)</f>
        <v>0.29909975238977038</v>
      </c>
      <c r="E141" s="4">
        <f ca="1">E163*'Total Duration Tables Sup #1'!E141*(1+'Other Assumptions'!I$56)</f>
        <v>0.32273158158548509</v>
      </c>
      <c r="F141" s="4">
        <f ca="1">F163*'Total Duration Tables Sup #1'!F141*(1+'Other Assumptions'!J$56)</f>
        <v>0.34369581738859672</v>
      </c>
      <c r="G141" s="4">
        <f ca="1">G163*'Total Duration Tables Sup #1'!G141*(1+'Other Assumptions'!K$56)</f>
        <v>0.3596054342305085</v>
      </c>
      <c r="H141" s="4">
        <f ca="1">H163*'Total Duration Tables Sup #1'!H141*(1+'Other Assumptions'!L$56)</f>
        <v>0.37427388358516933</v>
      </c>
      <c r="I141" s="4">
        <f ca="1">I163*'Total Duration Tables Sup #1'!I141*(1+'Other Assumptions'!M$56)</f>
        <v>0.37688429263738188</v>
      </c>
      <c r="J141" s="4">
        <f ca="1">J163*'Total Duration Tables Sup #1'!J141*(1+'Other Assumptions'!N$56)</f>
        <v>0.37830995575701259</v>
      </c>
      <c r="K141" s="4">
        <f ca="1">K163*'Total Duration Tables Sup #1'!K141*(1+'Other Assumptions'!O$56)</f>
        <v>0.37893060344482515</v>
      </c>
    </row>
    <row r="142" spans="1:11" x14ac:dyDescent="0.2">
      <c r="A142" t="str">
        <f ca="1">OFFSET(Otago_Reference,35,2)</f>
        <v>Motorcyclist</v>
      </c>
      <c r="B142" s="4">
        <f ca="1">B164*'Total Duration Tables Sup #1'!B142*(1+'Other Assumptions'!D$56)</f>
        <v>0.42545310469999997</v>
      </c>
      <c r="C142" s="4">
        <f ca="1">C164*'Total Duration Tables Sup #1'!C142*(1+'Other Assumptions'!G$56)</f>
        <v>0.46864639384603907</v>
      </c>
      <c r="D142" s="4">
        <f ca="1">D164*'Total Duration Tables Sup #1'!D142*(1+'Other Assumptions'!H$56)</f>
        <v>0.49257311461009196</v>
      </c>
      <c r="E142" s="4">
        <f ca="1">E164*'Total Duration Tables Sup #1'!E142*(1+'Other Assumptions'!I$56)</f>
        <v>0.50063007141057692</v>
      </c>
      <c r="F142" s="4">
        <f ca="1">F164*'Total Duration Tables Sup #1'!F142*(1+'Other Assumptions'!J$56)</f>
        <v>0.50741173568207676</v>
      </c>
      <c r="G142" s="4">
        <f ca="1">G164*'Total Duration Tables Sup #1'!G142*(1+'Other Assumptions'!K$56)</f>
        <v>0.50748633506013741</v>
      </c>
      <c r="H142" s="4">
        <f ca="1">H164*'Total Duration Tables Sup #1'!H142*(1+'Other Assumptions'!L$56)</f>
        <v>0.50505760219327922</v>
      </c>
      <c r="I142" s="4">
        <f ca="1">I164*'Total Duration Tables Sup #1'!I142*(1+'Other Assumptions'!M$56)</f>
        <v>0.51211373182715991</v>
      </c>
      <c r="J142" s="4">
        <f ca="1">J164*'Total Duration Tables Sup #1'!J142*(1+'Other Assumptions'!N$56)</f>
        <v>0.51761870985642588</v>
      </c>
      <c r="K142" s="4">
        <f ca="1">K164*'Total Duration Tables Sup #1'!K142*(1+'Other Assumptions'!O$56)</f>
        <v>0.52206045189317896</v>
      </c>
    </row>
    <row r="143" spans="1:11" x14ac:dyDescent="0.2">
      <c r="A143" t="str">
        <f ca="1">OFFSET(Canterbury_Reference,42,2)</f>
        <v>Local Train</v>
      </c>
      <c r="B143" s="4">
        <f ca="1">B165*'Total Duration Tables Sup #1'!B143*(1+'Other Assumptions'!D$56)</f>
        <v>0</v>
      </c>
      <c r="C143" s="4">
        <f ca="1">C165*'Total Duration Tables Sup #1'!C143*(1+'Other Assumptions'!G$56)</f>
        <v>0</v>
      </c>
      <c r="D143" s="4">
        <f ca="1">D165*'Total Duration Tables Sup #1'!D143*(1+'Other Assumptions'!H$56)</f>
        <v>0</v>
      </c>
      <c r="E143" s="4">
        <f ca="1">E165*'Total Duration Tables Sup #1'!E143*(1+'Other Assumptions'!I$56)</f>
        <v>0</v>
      </c>
      <c r="F143" s="4">
        <f ca="1">F165*'Total Duration Tables Sup #1'!F143*(1+'Other Assumptions'!J$56)</f>
        <v>0</v>
      </c>
      <c r="G143" s="4">
        <f ca="1">G165*'Total Duration Tables Sup #1'!G143*(1+'Other Assumptions'!K$56)</f>
        <v>0</v>
      </c>
      <c r="H143" s="4">
        <f ca="1">H165*'Total Duration Tables Sup #1'!H143*(1+'Other Assumptions'!L$56)</f>
        <v>0</v>
      </c>
      <c r="I143" s="4">
        <f ca="1">I165*'Total Duration Tables Sup #1'!I143*(1+'Other Assumptions'!M$56)</f>
        <v>0</v>
      </c>
      <c r="J143" s="4">
        <f ca="1">J165*'Total Duration Tables Sup #1'!J143*(1+'Other Assumptions'!N$56)</f>
        <v>0</v>
      </c>
      <c r="K143" s="4">
        <f ca="1">K165*'Total Duration Tables Sup #1'!K143*(1+'Other Assumptions'!O$56)</f>
        <v>0</v>
      </c>
    </row>
    <row r="144" spans="1:11" x14ac:dyDescent="0.2">
      <c r="A144" t="str">
        <f ca="1">OFFSET(Otago_Reference,42,2)</f>
        <v>Local Bus</v>
      </c>
      <c r="B144" s="4">
        <f ca="1">B166*'Total Duration Tables Sup #1'!B144*(1+'Other Assumptions'!D$56)</f>
        <v>1.347401772</v>
      </c>
      <c r="C144" s="4">
        <f ca="1">C166*'Total Duration Tables Sup #1'!C144*(1+'Other Assumptions'!G$56)</f>
        <v>1.3451619819674829</v>
      </c>
      <c r="D144" s="4">
        <f ca="1">D166*'Total Duration Tables Sup #1'!D144*(1+'Other Assumptions'!H$56)</f>
        <v>1.3321842807409618</v>
      </c>
      <c r="E144" s="4">
        <f ca="1">E166*'Total Duration Tables Sup #1'!E144*(1+'Other Assumptions'!I$56)</f>
        <v>1.3174980306935726</v>
      </c>
      <c r="F144" s="4">
        <f ca="1">F166*'Total Duration Tables Sup #1'!F144*(1+'Other Assumptions'!J$56)</f>
        <v>1.2891900574688322</v>
      </c>
      <c r="G144" s="4">
        <f ca="1">G166*'Total Duration Tables Sup #1'!G144*(1+'Other Assumptions'!K$56)</f>
        <v>1.2711728928298591</v>
      </c>
      <c r="H144" s="4">
        <f ca="1">H166*'Total Duration Tables Sup #1'!H144*(1+'Other Assumptions'!L$56)</f>
        <v>1.2474646481458274</v>
      </c>
      <c r="I144" s="4">
        <f ca="1">I166*'Total Duration Tables Sup #1'!I144*(1+'Other Assumptions'!M$56)</f>
        <v>1.261345419756474</v>
      </c>
      <c r="J144" s="4">
        <f ca="1">J166*'Total Duration Tables Sup #1'!J144*(1+'Other Assumptions'!N$56)</f>
        <v>1.2713267171324829</v>
      </c>
      <c r="K144" s="4">
        <f ca="1">K166*'Total Duration Tables Sup #1'!K144*(1+'Other Assumptions'!O$56)</f>
        <v>1.2786388525349965</v>
      </c>
    </row>
    <row r="145" spans="1:11" x14ac:dyDescent="0.2">
      <c r="A145" t="str">
        <f ca="1">OFFSET(Wellington_Reference,56,2)</f>
        <v>Local Ferry</v>
      </c>
      <c r="B145" s="4">
        <f ca="1">B167*'Total Duration Tables Sup #1'!B145*(1+'Other Assumptions'!D$56)</f>
        <v>0</v>
      </c>
      <c r="C145" s="4">
        <f ca="1">C167*'Total Duration Tables Sup #1'!C145*(1+'Other Assumptions'!G$56)</f>
        <v>0</v>
      </c>
      <c r="D145" s="4">
        <f ca="1">D167*'Total Duration Tables Sup #1'!D145*(1+'Other Assumptions'!H$56)</f>
        <v>0</v>
      </c>
      <c r="E145" s="4">
        <f ca="1">E167*'Total Duration Tables Sup #1'!E145*(1+'Other Assumptions'!I$56)</f>
        <v>0</v>
      </c>
      <c r="F145" s="4">
        <f ca="1">F167*'Total Duration Tables Sup #1'!F145*(1+'Other Assumptions'!J$56)</f>
        <v>0</v>
      </c>
      <c r="G145" s="4">
        <f ca="1">G167*'Total Duration Tables Sup #1'!G145*(1+'Other Assumptions'!K$56)</f>
        <v>0</v>
      </c>
      <c r="H145" s="4">
        <f ca="1">H167*'Total Duration Tables Sup #1'!H145*(1+'Other Assumptions'!L$56)</f>
        <v>0</v>
      </c>
      <c r="I145" s="4">
        <f ca="1">I167*'Total Duration Tables Sup #1'!I145*(1+'Other Assumptions'!M$56)</f>
        <v>0</v>
      </c>
      <c r="J145" s="4">
        <f ca="1">J167*'Total Duration Tables Sup #1'!J145*(1+'Other Assumptions'!N$56)</f>
        <v>0</v>
      </c>
      <c r="K145" s="4">
        <f ca="1">K167*'Total Duration Tables Sup #1'!K145*(1+'Other Assumptions'!O$56)</f>
        <v>0</v>
      </c>
    </row>
    <row r="146" spans="1:11" x14ac:dyDescent="0.2">
      <c r="A146" t="str">
        <f ca="1">OFFSET(Otago_Reference,49,2)</f>
        <v>Other Household Travel</v>
      </c>
      <c r="B146" s="4">
        <f ca="1">B168*'Total Duration Tables Sup #1'!B146*(1+'Other Assumptions'!D$56)</f>
        <v>0.25154479130000001</v>
      </c>
      <c r="C146" s="4">
        <f ca="1">C168*'Total Duration Tables Sup #1'!C146*(1+'Other Assumptions'!G$56)</f>
        <v>0.27740377940864136</v>
      </c>
      <c r="D146" s="4">
        <f ca="1">D168*'Total Duration Tables Sup #1'!D146*(1+'Other Assumptions'!H$56)</f>
        <v>0.29433427632037684</v>
      </c>
      <c r="E146" s="4">
        <f ca="1">E168*'Total Duration Tables Sup #1'!E146*(1+'Other Assumptions'!I$56)</f>
        <v>0.30225976967333218</v>
      </c>
      <c r="F146" s="4">
        <f ca="1">F168*'Total Duration Tables Sup #1'!F146*(1+'Other Assumptions'!J$56)</f>
        <v>0.30902110908006897</v>
      </c>
      <c r="G146" s="4">
        <f ca="1">G168*'Total Duration Tables Sup #1'!G146*(1+'Other Assumptions'!K$56)</f>
        <v>0.31832202590722514</v>
      </c>
      <c r="H146" s="4">
        <f ca="1">H168*'Total Duration Tables Sup #1'!H146*(1+'Other Assumptions'!L$56)</f>
        <v>0.32616591141675705</v>
      </c>
      <c r="I146" s="4">
        <f ca="1">I168*'Total Duration Tables Sup #1'!I146*(1+'Other Assumptions'!M$56)</f>
        <v>0.32797167712137604</v>
      </c>
      <c r="J146" s="4">
        <f ca="1">J168*'Total Duration Tables Sup #1'!J146*(1+'Other Assumptions'!N$56)</f>
        <v>0.32875545141804469</v>
      </c>
      <c r="K146" s="4">
        <f ca="1">K168*'Total Duration Tables Sup #1'!K146*(1+'Other Assumptions'!O$56)</f>
        <v>0.32885100631970465</v>
      </c>
    </row>
    <row r="147" spans="1:11" x14ac:dyDescent="0.2">
      <c r="A147" t="str">
        <f ca="1">OFFSET(Southland_Reference,0,0)</f>
        <v>15 SOUTHLAND</v>
      </c>
    </row>
    <row r="148" spans="1:11" x14ac:dyDescent="0.2">
      <c r="A148" t="str">
        <f ca="1">OFFSET(Southland_Reference,0,2)</f>
        <v>Pedestrian</v>
      </c>
      <c r="B148" s="4">
        <f ca="1">B159*'Total Duration Tables Sup #1'!B148*(1+'Other Assumptions'!D$57)*(1+'Active Mode Assumptions'!B11)</f>
        <v>2.2528617661000001</v>
      </c>
      <c r="C148" s="4">
        <f ca="1">C159*'Total Duration Tables Sup #1'!C148*(1+'Other Assumptions'!G$57)*(1+'Active Mode Assumptions'!C11)</f>
        <v>2.3092419241565105</v>
      </c>
      <c r="D148" s="4">
        <f ca="1">D159*'Total Duration Tables Sup #1'!D148*(1+'Other Assumptions'!H$57)*(1+'Active Mode Assumptions'!D11)</f>
        <v>2.3090169174719017</v>
      </c>
      <c r="E148" s="4">
        <f ca="1">E159*'Total Duration Tables Sup #1'!E148*(1+'Other Assumptions'!I$57)*(1+'Active Mode Assumptions'!E11)</f>
        <v>2.2985947366512924</v>
      </c>
      <c r="F148" s="4">
        <f ca="1">F159*'Total Duration Tables Sup #1'!F148*(1+'Other Assumptions'!J$57)*(1+'Active Mode Assumptions'!F11)</f>
        <v>2.2680116311594474</v>
      </c>
      <c r="G148" s="4">
        <f ca="1">G159*'Total Duration Tables Sup #1'!G148*(1+'Other Assumptions'!K$57)*(1+'Active Mode Assumptions'!G11)</f>
        <v>2.2299936071016577</v>
      </c>
      <c r="H148" s="4">
        <f ca="1">H159*'Total Duration Tables Sup #1'!H148*(1+'Other Assumptions'!L$57)*(1+'Active Mode Assumptions'!H11)</f>
        <v>2.1830908075649496</v>
      </c>
      <c r="I148" s="4">
        <f ca="1">I159*'Total Duration Tables Sup #1'!I148*(1+'Other Assumptions'!M$57)*(1+'Active Mode Assumptions'!I11)</f>
        <v>2.1521433053715553</v>
      </c>
      <c r="J148" s="4">
        <f ca="1">J159*'Total Duration Tables Sup #1'!J148*(1+'Other Assumptions'!N$57)*(1+'Active Mode Assumptions'!J11)</f>
        <v>2.1149024746737122</v>
      </c>
      <c r="K148" s="4">
        <f ca="1">K159*'Total Duration Tables Sup #1'!K148*(1+'Other Assumptions'!O$57)*(1+'Active Mode Assumptions'!K11)</f>
        <v>2.0738603156044295</v>
      </c>
    </row>
    <row r="149" spans="1:11" x14ac:dyDescent="0.2">
      <c r="A149" t="str">
        <f ca="1">OFFSET(Southland_Reference,7,2)</f>
        <v>Cyclist</v>
      </c>
      <c r="B149" s="4">
        <f ca="1">B160*'Total Duration Tables Sup #1'!B149*(1+'Other Assumptions'!D$57)*(1+'Active Mode Assumptions'!B20)</f>
        <v>0.50294231479999996</v>
      </c>
      <c r="C149" s="4">
        <f ca="1">C160*'Total Duration Tables Sup #1'!C149*(1+'Other Assumptions'!G$57)*(1+'Active Mode Assumptions'!C20)</f>
        <v>0.5291972416748385</v>
      </c>
      <c r="D149" s="4">
        <f ca="1">D160*'Total Duration Tables Sup #1'!D149*(1+'Other Assumptions'!H$57)*(1+'Active Mode Assumptions'!D20)</f>
        <v>0.53482015869244526</v>
      </c>
      <c r="E149" s="4">
        <f ca="1">E160*'Total Duration Tables Sup #1'!E149*(1+'Other Assumptions'!I$57)*(1+'Active Mode Assumptions'!E20)</f>
        <v>0.53149401995052703</v>
      </c>
      <c r="F149" s="4">
        <f ca="1">F160*'Total Duration Tables Sup #1'!F149*(1+'Other Assumptions'!J$57)*(1+'Active Mode Assumptions'!F20)</f>
        <v>0.53155945514656922</v>
      </c>
      <c r="G149" s="4">
        <f ca="1">G160*'Total Duration Tables Sup #1'!G149*(1+'Other Assumptions'!K$57)*(1+'Active Mode Assumptions'!G20)</f>
        <v>0.53582730300669823</v>
      </c>
      <c r="H149" s="4">
        <f ca="1">H160*'Total Duration Tables Sup #1'!H149*(1+'Other Assumptions'!L$57)*(1+'Active Mode Assumptions'!H20)</f>
        <v>0.53891886604268746</v>
      </c>
      <c r="I149" s="4">
        <f ca="1">I160*'Total Duration Tables Sup #1'!I149*(1+'Other Assumptions'!M$57)*(1+'Active Mode Assumptions'!I20)</f>
        <v>0.53381003572528407</v>
      </c>
      <c r="J149" s="4">
        <f ca="1">J160*'Total Duration Tables Sup #1'!J149*(1+'Other Assumptions'!N$57)*(1+'Active Mode Assumptions'!J20)</f>
        <v>0.52709622263083689</v>
      </c>
      <c r="K149" s="4">
        <f ca="1">K160*'Total Duration Tables Sup #1'!K149*(1+'Other Assumptions'!O$57)*(1+'Active Mode Assumptions'!K20)</f>
        <v>0.51937687703827295</v>
      </c>
    </row>
    <row r="150" spans="1:11" x14ac:dyDescent="0.2">
      <c r="A150" t="str">
        <f ca="1">OFFSET(Southland_Reference,14,2)</f>
        <v>Light Vehicle Driver</v>
      </c>
      <c r="B150" s="4">
        <f ca="1">B161*'Total Duration Tables Sup #1'!B150*(1+'Other Assumptions'!D$57)-(B148*'Active Mode Assumptions'!B11*'Active Mode Assumptions'!B14/(1+'Active Mode Assumptions'!B11))-(B149*'Active Mode Assumptions'!B20*'Active Mode Assumptions'!B23/(1+'Active Mode Assumptions'!B20))</f>
        <v>14.603785903</v>
      </c>
      <c r="C150" s="4">
        <f ca="1">C161*'Total Duration Tables Sup #1'!C150*(1+'Other Assumptions'!G$57)-(C148*'Active Mode Assumptions'!C11*'Active Mode Assumptions'!C14/(1+'Active Mode Assumptions'!C11))-(C149*'Active Mode Assumptions'!C20*'Active Mode Assumptions'!C23/(1+'Active Mode Assumptions'!C20))</f>
        <v>15.509208827103569</v>
      </c>
      <c r="D150" s="4">
        <f ca="1">D161*'Total Duration Tables Sup #1'!D150*(1+'Other Assumptions'!H$57)-(D148*'Active Mode Assumptions'!D11*'Active Mode Assumptions'!D14/(1+'Active Mode Assumptions'!D11))-(D149*'Active Mode Assumptions'!D20*'Active Mode Assumptions'!D23/(1+'Active Mode Assumptions'!D20))</f>
        <v>15.837475412524919</v>
      </c>
      <c r="E150" s="4">
        <f ca="1">E161*'Total Duration Tables Sup #1'!E150*(1+'Other Assumptions'!I$57)-(E148*'Active Mode Assumptions'!E11*'Active Mode Assumptions'!E14/(1+'Active Mode Assumptions'!E11))-(E149*'Active Mode Assumptions'!E20*'Active Mode Assumptions'!E23/(1+'Active Mode Assumptions'!E20))</f>
        <v>15.921870822811956</v>
      </c>
      <c r="F150" s="4">
        <f ca="1">F161*'Total Duration Tables Sup #1'!F150*(1+'Other Assumptions'!J$57)-(F148*'Active Mode Assumptions'!F11*'Active Mode Assumptions'!F14/(1+'Active Mode Assumptions'!F11))-(F149*'Active Mode Assumptions'!F20*'Active Mode Assumptions'!F23/(1+'Active Mode Assumptions'!F20))</f>
        <v>15.954574821221637</v>
      </c>
      <c r="G150" s="4">
        <f ca="1">G161*'Total Duration Tables Sup #1'!G150*(1+'Other Assumptions'!K$57)-(G148*'Active Mode Assumptions'!G11*'Active Mode Assumptions'!G14/(1+'Active Mode Assumptions'!G11))-(G149*'Active Mode Assumptions'!G20*'Active Mode Assumptions'!G23/(1+'Active Mode Assumptions'!G20))</f>
        <v>15.847880605316139</v>
      </c>
      <c r="H150" s="4">
        <f ca="1">H161*'Total Duration Tables Sup #1'!H150*(1+'Other Assumptions'!L$57)-(H148*'Active Mode Assumptions'!H11*'Active Mode Assumptions'!H14/(1+'Active Mode Assumptions'!H11))-(H149*'Active Mode Assumptions'!H20*'Active Mode Assumptions'!H23/(1+'Active Mode Assumptions'!H20))</f>
        <v>15.680030520073014</v>
      </c>
      <c r="I150" s="4">
        <f ca="1">I161*'Total Duration Tables Sup #1'!I150*(1+'Other Assumptions'!M$57)-(I148*'Active Mode Assumptions'!I11*'Active Mode Assumptions'!I14/(1+'Active Mode Assumptions'!I11))-(I149*'Active Mode Assumptions'!I20*'Active Mode Assumptions'!I23/(1+'Active Mode Assumptions'!I20))</f>
        <v>15.451418923524701</v>
      </c>
      <c r="J150" s="4">
        <f ca="1">J161*'Total Duration Tables Sup #1'!J150*(1+'Other Assumptions'!N$57)-(J148*'Active Mode Assumptions'!J11*'Active Mode Assumptions'!J14/(1+'Active Mode Assumptions'!J11))-(J149*'Active Mode Assumptions'!J20*'Active Mode Assumptions'!J23/(1+'Active Mode Assumptions'!J20))</f>
        <v>15.177860590753278</v>
      </c>
      <c r="K150" s="4">
        <f ca="1">K161*'Total Duration Tables Sup #1'!K150*(1+'Other Assumptions'!O$57)-(K148*'Active Mode Assumptions'!K11*'Active Mode Assumptions'!K14/(1+'Active Mode Assumptions'!K11))-(K149*'Active Mode Assumptions'!K20*'Active Mode Assumptions'!K23/(1+'Active Mode Assumptions'!K20))</f>
        <v>14.877293854409155</v>
      </c>
    </row>
    <row r="151" spans="1:11" x14ac:dyDescent="0.2">
      <c r="A151" t="str">
        <f ca="1">OFFSET(Southland_Reference,21,2)</f>
        <v>Light Vehicle Passenger</v>
      </c>
      <c r="B151" s="4">
        <f ca="1">B162*'Total Duration Tables Sup #1'!B151*(1+'Other Assumptions'!D$57)-(B148*'Active Mode Assumptions'!B11*'Active Mode Assumptions'!B15/(1+'Active Mode Assumptions'!B11))-(B149*'Active Mode Assumptions'!B20*'Active Mode Assumptions'!B24/(1+'Active Mode Assumptions'!B20))</f>
        <v>7.5859087797999996</v>
      </c>
      <c r="C151" s="4">
        <f ca="1">C162*'Total Duration Tables Sup #1'!C151*(1+'Other Assumptions'!G$57)-(C148*'Active Mode Assumptions'!C11*'Active Mode Assumptions'!C15/(1+'Active Mode Assumptions'!C11))-(C149*'Active Mode Assumptions'!C20*'Active Mode Assumptions'!C24/(1+'Active Mode Assumptions'!C20))</f>
        <v>7.7019943262616186</v>
      </c>
      <c r="D151" s="4">
        <f ca="1">D162*'Total Duration Tables Sup #1'!D151*(1+'Other Assumptions'!H$57)-(D148*'Active Mode Assumptions'!D11*'Active Mode Assumptions'!D15/(1+'Active Mode Assumptions'!D11))-(D149*'Active Mode Assumptions'!D20*'Active Mode Assumptions'!D24/(1+'Active Mode Assumptions'!D20))</f>
        <v>7.6665760790734314</v>
      </c>
      <c r="E151" s="4">
        <f ca="1">E162*'Total Duration Tables Sup #1'!E151*(1+'Other Assumptions'!I$57)-(E148*'Active Mode Assumptions'!E11*'Active Mode Assumptions'!E15/(1+'Active Mode Assumptions'!E11))-(E149*'Active Mode Assumptions'!E20*'Active Mode Assumptions'!E24/(1+'Active Mode Assumptions'!E20))</f>
        <v>7.5911229383565253</v>
      </c>
      <c r="F151" s="4">
        <f ca="1">F162*'Total Duration Tables Sup #1'!F151*(1+'Other Assumptions'!J$57)-(F148*'Active Mode Assumptions'!F11*'Active Mode Assumptions'!F15/(1+'Active Mode Assumptions'!F11))-(F149*'Active Mode Assumptions'!F20*'Active Mode Assumptions'!F24/(1+'Active Mode Assumptions'!F20))</f>
        <v>7.4828215738322035</v>
      </c>
      <c r="G151" s="4">
        <f ca="1">G162*'Total Duration Tables Sup #1'!G151*(1+'Other Assumptions'!K$57)-(G148*'Active Mode Assumptions'!G11*'Active Mode Assumptions'!G15/(1+'Active Mode Assumptions'!G11))-(G149*'Active Mode Assumptions'!G20*'Active Mode Assumptions'!G24/(1+'Active Mode Assumptions'!G20))</f>
        <v>7.3420530212900381</v>
      </c>
      <c r="H151" s="4">
        <f ca="1">H162*'Total Duration Tables Sup #1'!H151*(1+'Other Assumptions'!L$57)-(H148*'Active Mode Assumptions'!H11*'Active Mode Assumptions'!H15/(1+'Active Mode Assumptions'!H11))-(H149*'Active Mode Assumptions'!H20*'Active Mode Assumptions'!H24/(1+'Active Mode Assumptions'!H20))</f>
        <v>7.1683214160184088</v>
      </c>
      <c r="I151" s="4">
        <f ca="1">I162*'Total Duration Tables Sup #1'!I151*(1+'Other Assumptions'!M$57)-(I148*'Active Mode Assumptions'!I11*'Active Mode Assumptions'!I15/(1+'Active Mode Assumptions'!I11))-(I149*'Active Mode Assumptions'!I20*'Active Mode Assumptions'!I24/(1+'Active Mode Assumptions'!I20))</f>
        <v>7.0708018636109591</v>
      </c>
      <c r="J151" s="4">
        <f ca="1">J162*'Total Duration Tables Sup #1'!J151*(1+'Other Assumptions'!N$57)-(J148*'Active Mode Assumptions'!J11*'Active Mode Assumptions'!J15/(1+'Active Mode Assumptions'!J11))-(J149*'Active Mode Assumptions'!J20*'Active Mode Assumptions'!J24/(1+'Active Mode Assumptions'!J20))</f>
        <v>6.9524581621785781</v>
      </c>
      <c r="K151" s="4">
        <f ca="1">K162*'Total Duration Tables Sup #1'!K151*(1+'Other Assumptions'!O$57)-(K148*'Active Mode Assumptions'!K11*'Active Mode Assumptions'!K15/(1+'Active Mode Assumptions'!K11))-(K149*'Active Mode Assumptions'!K20*'Active Mode Assumptions'!K24/(1+'Active Mode Assumptions'!K20))</f>
        <v>6.8214529455398347</v>
      </c>
    </row>
    <row r="152" spans="1:11" x14ac:dyDescent="0.2">
      <c r="A152" t="str">
        <f ca="1">OFFSET(Southland_Reference,28,2)</f>
        <v>Taxi/Vehicle Share</v>
      </c>
      <c r="B152" s="4">
        <f ca="1">B163*'Total Duration Tables Sup #1'!B152*(1+'Other Assumptions'!D$57)</f>
        <v>6.6688903300000005E-2</v>
      </c>
      <c r="C152" s="4">
        <f ca="1">C163*'Total Duration Tables Sup #1'!C152*(1+'Other Assumptions'!G$57)</f>
        <v>7.3596949573363379E-2</v>
      </c>
      <c r="D152" s="4">
        <f ca="1">D163*'Total Duration Tables Sup #1'!D152*(1+'Other Assumptions'!H$57)</f>
        <v>7.831492178225001E-2</v>
      </c>
      <c r="E152" s="4">
        <f ca="1">E163*'Total Duration Tables Sup #1'!E152*(1+'Other Assumptions'!I$57)</f>
        <v>8.2580224877249669E-2</v>
      </c>
      <c r="F152" s="4">
        <f ca="1">F163*'Total Duration Tables Sup #1'!F152*(1+'Other Assumptions'!J$57)</f>
        <v>8.5961087012661808E-2</v>
      </c>
      <c r="G152" s="4">
        <f ca="1">G163*'Total Duration Tables Sup #1'!G152*(1+'Other Assumptions'!K$57)</f>
        <v>8.7847093004767438E-2</v>
      </c>
      <c r="H152" s="4">
        <f ca="1">H163*'Total Duration Tables Sup #1'!H152*(1+'Other Assumptions'!L$57)</f>
        <v>8.931440928847531E-2</v>
      </c>
      <c r="I152" s="4">
        <f ca="1">I163*'Total Duration Tables Sup #1'!I152*(1+'Other Assumptions'!M$57)</f>
        <v>8.7855894017433434E-2</v>
      </c>
      <c r="J152" s="4">
        <f ca="1">J163*'Total Duration Tables Sup #1'!J152*(1+'Other Assumptions'!N$57)</f>
        <v>8.6147264841647114E-2</v>
      </c>
      <c r="K152" s="4">
        <f ca="1">K163*'Total Duration Tables Sup #1'!K152*(1+'Other Assumptions'!O$57)</f>
        <v>8.4291593143810017E-2</v>
      </c>
    </row>
    <row r="153" spans="1:11" x14ac:dyDescent="0.2">
      <c r="A153" t="str">
        <f ca="1">OFFSET(Southland_Reference,35,2)</f>
        <v>Motorcyclist</v>
      </c>
      <c r="B153" s="4">
        <f ca="1">B164*'Total Duration Tables Sup #1'!B153*(1+'Other Assumptions'!D$57)</f>
        <v>0.2609239458</v>
      </c>
      <c r="C153" s="4">
        <f ca="1">C164*'Total Duration Tables Sup #1'!C153*(1+'Other Assumptions'!G$57)</f>
        <v>0.27463413487747484</v>
      </c>
      <c r="D153" s="4">
        <f ca="1">D164*'Total Duration Tables Sup #1'!D153*(1+'Other Assumptions'!H$57)</f>
        <v>0.27868544018400404</v>
      </c>
      <c r="E153" s="4">
        <f ca="1">E164*'Total Duration Tables Sup #1'!E153*(1+'Other Assumptions'!I$57)</f>
        <v>0.27680035247673312</v>
      </c>
      <c r="F153" s="4">
        <f ca="1">F164*'Total Duration Tables Sup #1'!F153*(1+'Other Assumptions'!J$57)</f>
        <v>0.27422261646981277</v>
      </c>
      <c r="G153" s="4">
        <f ca="1">G164*'Total Duration Tables Sup #1'!G153*(1+'Other Assumptions'!K$57)</f>
        <v>0.26788019860472539</v>
      </c>
      <c r="H153" s="4">
        <f ca="1">H164*'Total Duration Tables Sup #1'!H153*(1+'Other Assumptions'!L$57)</f>
        <v>0.26042821258529708</v>
      </c>
      <c r="I153" s="4">
        <f ca="1">I164*'Total Duration Tables Sup #1'!I153*(1+'Other Assumptions'!M$57)</f>
        <v>0.25795526525142531</v>
      </c>
      <c r="J153" s="4">
        <f ca="1">J164*'Total Duration Tables Sup #1'!J153*(1+'Other Assumptions'!N$57)</f>
        <v>0.25469405021453856</v>
      </c>
      <c r="K153" s="4">
        <f ca="1">K164*'Total Duration Tables Sup #1'!K153*(1+'Other Assumptions'!O$57)</f>
        <v>0.25093456466919989</v>
      </c>
    </row>
    <row r="154" spans="1:11" x14ac:dyDescent="0.2">
      <c r="A154" t="str">
        <f ca="1">OFFSET(Canterbury_Reference,42,2)</f>
        <v>Local Train</v>
      </c>
      <c r="B154" s="4">
        <f ca="1">B165*'Total Duration Tables Sup #1'!B154*(1+'Other Assumptions'!D$57)</f>
        <v>0</v>
      </c>
      <c r="C154" s="4">
        <f ca="1">C165*'Total Duration Tables Sup #1'!C154*(1+'Other Assumptions'!G$57)</f>
        <v>0</v>
      </c>
      <c r="D154" s="4">
        <f ca="1">D165*'Total Duration Tables Sup #1'!D154*(1+'Other Assumptions'!H$57)</f>
        <v>0</v>
      </c>
      <c r="E154" s="4">
        <f ca="1">E165*'Total Duration Tables Sup #1'!E154*(1+'Other Assumptions'!I$57)</f>
        <v>0</v>
      </c>
      <c r="F154" s="4">
        <f ca="1">F165*'Total Duration Tables Sup #1'!F154*(1+'Other Assumptions'!J$57)</f>
        <v>0</v>
      </c>
      <c r="G154" s="4">
        <f ca="1">G165*'Total Duration Tables Sup #1'!G154*(1+'Other Assumptions'!K$57)</f>
        <v>0</v>
      </c>
      <c r="H154" s="4">
        <f ca="1">H165*'Total Duration Tables Sup #1'!H154*(1+'Other Assumptions'!L$57)</f>
        <v>0</v>
      </c>
      <c r="I154" s="4">
        <f ca="1">I165*'Total Duration Tables Sup #1'!I154*(1+'Other Assumptions'!M$57)</f>
        <v>0</v>
      </c>
      <c r="J154" s="4">
        <f ca="1">J165*'Total Duration Tables Sup #1'!J154*(1+'Other Assumptions'!N$57)</f>
        <v>0</v>
      </c>
      <c r="K154" s="4">
        <f ca="1">K165*'Total Duration Tables Sup #1'!K154*(1+'Other Assumptions'!O$57)</f>
        <v>0</v>
      </c>
    </row>
    <row r="155" spans="1:11" x14ac:dyDescent="0.2">
      <c r="A155" t="str">
        <f ca="1">OFFSET(Southland_Reference,42,2)</f>
        <v>Local Bus</v>
      </c>
      <c r="B155" s="4">
        <f ca="1">B166*'Total Duration Tables Sup #1'!B155*(1+'Other Assumptions'!D$57)</f>
        <v>1.2152660816</v>
      </c>
      <c r="C155" s="4">
        <f ca="1">C166*'Total Duration Tables Sup #1'!C155*(1+'Other Assumptions'!G$57)</f>
        <v>1.1593000188530327</v>
      </c>
      <c r="D155" s="4">
        <f ca="1">D166*'Total Duration Tables Sup #1'!D155*(1+'Other Assumptions'!H$57)</f>
        <v>1.1084596874305259</v>
      </c>
      <c r="E155" s="4">
        <f ca="1">E166*'Total Duration Tables Sup #1'!E155*(1+'Other Assumptions'!I$57)</f>
        <v>1.0713014754368022</v>
      </c>
      <c r="F155" s="4">
        <f ca="1">F166*'Total Duration Tables Sup #1'!F155*(1+'Other Assumptions'!J$57)</f>
        <v>1.0246410066201066</v>
      </c>
      <c r="G155" s="4">
        <f ca="1">G166*'Total Duration Tables Sup #1'!G155*(1+'Other Assumptions'!K$57)</f>
        <v>0.98680855336645346</v>
      </c>
      <c r="H155" s="4">
        <f ca="1">H166*'Total Duration Tables Sup #1'!H155*(1+'Other Assumptions'!L$57)</f>
        <v>0.94599183305752077</v>
      </c>
      <c r="I155" s="4">
        <f ca="1">I166*'Total Duration Tables Sup #1'!I155*(1+'Other Assumptions'!M$57)</f>
        <v>0.93438107279548344</v>
      </c>
      <c r="J155" s="4">
        <f ca="1">J166*'Total Duration Tables Sup #1'!J155*(1+'Other Assumptions'!N$57)</f>
        <v>0.91997924575281009</v>
      </c>
      <c r="K155" s="4">
        <f ca="1">K166*'Total Duration Tables Sup #1'!K155*(1+'Other Assumptions'!O$57)</f>
        <v>0.90385676087087052</v>
      </c>
    </row>
    <row r="156" spans="1:11" x14ac:dyDescent="0.2">
      <c r="A156" t="str">
        <f ca="1">OFFSET(Wellington_Reference,56,2)</f>
        <v>Local Ferry</v>
      </c>
      <c r="B156" s="4">
        <f ca="1">B167*'Total Duration Tables Sup #1'!B156*(1+'Other Assumptions'!D$57)</f>
        <v>0</v>
      </c>
      <c r="C156" s="4">
        <f ca="1">C167*'Total Duration Tables Sup #1'!C156*(1+'Other Assumptions'!G$57)</f>
        <v>0</v>
      </c>
      <c r="D156" s="4">
        <f ca="1">D167*'Total Duration Tables Sup #1'!D156*(1+'Other Assumptions'!H$57)</f>
        <v>0</v>
      </c>
      <c r="E156" s="4">
        <f ca="1">E167*'Total Duration Tables Sup #1'!E156*(1+'Other Assumptions'!I$57)</f>
        <v>0</v>
      </c>
      <c r="F156" s="4">
        <f ca="1">F167*'Total Duration Tables Sup #1'!F156*(1+'Other Assumptions'!J$57)</f>
        <v>0</v>
      </c>
      <c r="G156" s="4">
        <f ca="1">G167*'Total Duration Tables Sup #1'!G156*(1+'Other Assumptions'!K$57)</f>
        <v>0</v>
      </c>
      <c r="H156" s="4">
        <f ca="1">H167*'Total Duration Tables Sup #1'!H156*(1+'Other Assumptions'!L$57)</f>
        <v>0</v>
      </c>
      <c r="I156" s="4">
        <f ca="1">I167*'Total Duration Tables Sup #1'!I156*(1+'Other Assumptions'!M$57)</f>
        <v>0</v>
      </c>
      <c r="J156" s="4">
        <f ca="1">J167*'Total Duration Tables Sup #1'!J156*(1+'Other Assumptions'!N$57)</f>
        <v>0</v>
      </c>
      <c r="K156" s="4">
        <f ca="1">K167*'Total Duration Tables Sup #1'!K156*(1+'Other Assumptions'!O$57)</f>
        <v>0</v>
      </c>
    </row>
    <row r="157" spans="1:11" x14ac:dyDescent="0.2">
      <c r="A157" t="str">
        <f ca="1">OFFSET(Southland_Reference,49,2)</f>
        <v>Other Household Travel</v>
      </c>
      <c r="B157" s="4">
        <f ca="1">B168*'Total Duration Tables Sup #1'!B157*(1+'Other Assumptions'!D$57)</f>
        <v>8.5162673699999997E-2</v>
      </c>
      <c r="C157" s="4">
        <f ca="1">C168*'Total Duration Tables Sup #1'!C157*(1+'Other Assumptions'!G$57)</f>
        <v>8.9741500840585603E-2</v>
      </c>
      <c r="D157" s="4">
        <f ca="1">D168*'Total Duration Tables Sup #1'!D157*(1+'Other Assumptions'!H$57)</f>
        <v>9.192976182097036E-2</v>
      </c>
      <c r="E157" s="4">
        <f ca="1">E168*'Total Duration Tables Sup #1'!E157*(1+'Other Assumptions'!I$57)</f>
        <v>9.2257519060081269E-2</v>
      </c>
      <c r="F157" s="4">
        <f ca="1">F168*'Total Duration Tables Sup #1'!F157*(1+'Other Assumptions'!J$57)</f>
        <v>9.2193993669365329E-2</v>
      </c>
      <c r="G157" s="4">
        <f ca="1">G168*'Total Duration Tables Sup #1'!G157*(1+'Other Assumptions'!K$57)</f>
        <v>9.2758703191222952E-2</v>
      </c>
      <c r="H157" s="4">
        <f ca="1">H168*'Total Duration Tables Sup #1'!H157*(1+'Other Assumptions'!L$57)</f>
        <v>9.2844761711190896E-2</v>
      </c>
      <c r="I157" s="4">
        <f ca="1">I168*'Total Duration Tables Sup #1'!I157*(1+'Other Assumptions'!M$57)</f>
        <v>9.1198151355133164E-2</v>
      </c>
      <c r="J157" s="4">
        <f ca="1">J168*'Total Duration Tables Sup #1'!J157*(1+'Other Assumptions'!N$57)</f>
        <v>8.9300422863060377E-2</v>
      </c>
      <c r="K157" s="4">
        <f ca="1">K168*'Total Duration Tables Sup #1'!K157*(1+'Other Assumptions'!O$57)</f>
        <v>8.7259071127937196E-2</v>
      </c>
    </row>
    <row r="158" spans="1:11" x14ac:dyDescent="0.2">
      <c r="A158" t="s">
        <v>18</v>
      </c>
    </row>
    <row r="159" spans="1:11" x14ac:dyDescent="0.2">
      <c r="A159" t="str">
        <f ca="1">'Total Duration Tables'!A16</f>
        <v>Pedestrian</v>
      </c>
      <c r="B159" s="58">
        <f ca="1">('Total Duration Tables Sup #1'!B170*'Updated Population'!B$158)/('Total Duration Tables Sup #1'!B159*1000000)</f>
        <v>1</v>
      </c>
      <c r="C159" s="58">
        <f ca="1">('Total Duration Tables Sup #1'!C170*'Updated Population'!C$158)/('Total Duration Tables Sup #1'!C159*1000000)</f>
        <v>0.99897851590614284</v>
      </c>
      <c r="D159" s="58">
        <f ca="1">('Total Duration Tables Sup #1'!D170*'Updated Population'!D$158)/('Total Duration Tables Sup #1'!D159*1000000)</f>
        <v>0.99789718688732332</v>
      </c>
      <c r="E159" s="58">
        <f ca="1">('Total Duration Tables Sup #1'!E170*'Updated Population'!E$158)/('Total Duration Tables Sup #1'!E159*1000000)</f>
        <v>0.99707506913592681</v>
      </c>
      <c r="F159" s="58">
        <f ca="1">('Total Duration Tables Sup #1'!F170*'Updated Population'!F$158)/('Total Duration Tables Sup #1'!F159*1000000)</f>
        <v>0.99621613471996773</v>
      </c>
      <c r="G159" s="58">
        <f ca="1">('Total Duration Tables Sup #1'!G170*'Updated Population'!G$158)/('Total Duration Tables Sup #1'!G159*1000000)</f>
        <v>0.99536268019601692</v>
      </c>
      <c r="H159" s="58">
        <f ca="1">('Total Duration Tables Sup #1'!H170*'Updated Population'!H$158)/('Total Duration Tables Sup #1'!H159*1000000)</f>
        <v>0.9945650476333453</v>
      </c>
      <c r="I159" s="58">
        <f ca="1">('Total Duration Tables Sup #1'!I170*'Updated Population'!I$158)/('Total Duration Tables Sup #1'!I159*1000000)</f>
        <v>0.99377834737290671</v>
      </c>
      <c r="J159" s="58">
        <f ca="1">('Total Duration Tables Sup #1'!J170*'Updated Population'!J$158)/('Total Duration Tables Sup #1'!J159*1000000)</f>
        <v>0.99300235849569607</v>
      </c>
      <c r="K159" s="58">
        <f ca="1">('Total Duration Tables Sup #1'!K170*'Updated Population'!K$158)/('Total Duration Tables Sup #1'!K159*1000000)</f>
        <v>0.99223686402678946</v>
      </c>
    </row>
    <row r="160" spans="1:11" x14ac:dyDescent="0.2">
      <c r="A160" t="str">
        <f ca="1">'Total Duration Tables'!A17</f>
        <v>Cyclist</v>
      </c>
      <c r="B160" s="58">
        <f ca="1">('Total Duration Tables Sup #1'!B171*'Updated Population'!B$158)/('Total Duration Tables Sup #1'!B160*1000000)</f>
        <v>1</v>
      </c>
      <c r="C160" s="58">
        <f ca="1">('Total Duration Tables Sup #1'!C171*'Updated Population'!C$158)/('Total Duration Tables Sup #1'!C160*1000000)</f>
        <v>1.0063119032162664</v>
      </c>
      <c r="D160" s="58">
        <f ca="1">('Total Duration Tables Sup #1'!D171*'Updated Population'!D$158)/('Total Duration Tables Sup #1'!D160*1000000)</f>
        <v>1.0118861512920154</v>
      </c>
      <c r="E160" s="58">
        <f ca="1">('Total Duration Tables Sup #1'!E171*'Updated Population'!E$158)/('Total Duration Tables Sup #1'!E160*1000000)</f>
        <v>1.0169734054852619</v>
      </c>
      <c r="F160" s="58">
        <f ca="1">('Total Duration Tables Sup #1'!F171*'Updated Population'!F$158)/('Total Duration Tables Sup #1'!F160*1000000)</f>
        <v>1.0215305124123328</v>
      </c>
      <c r="G160" s="58">
        <f ca="1">('Total Duration Tables Sup #1'!G171*'Updated Population'!G$158)/('Total Duration Tables Sup #1'!G160*1000000)</f>
        <v>1.0256587364430527</v>
      </c>
      <c r="H160" s="58">
        <f ca="1">('Total Duration Tables Sup #1'!H171*'Updated Population'!H$158)/('Total Duration Tables Sup #1'!H160*1000000)</f>
        <v>1.0296702178393233</v>
      </c>
      <c r="I160" s="58">
        <f ca="1">('Total Duration Tables Sup #1'!I171*'Updated Population'!I$158)/('Total Duration Tables Sup #1'!I160*1000000)</f>
        <v>1.0337569690830777</v>
      </c>
      <c r="J160" s="58">
        <f ca="1">('Total Duration Tables Sup #1'!J171*'Updated Population'!J$158)/('Total Duration Tables Sup #1'!J160*1000000)</f>
        <v>1.0379183996965478</v>
      </c>
      <c r="K160" s="58">
        <f ca="1">('Total Duration Tables Sup #1'!K171*'Updated Population'!K$158)/('Total Duration Tables Sup #1'!K160*1000000)</f>
        <v>1.0421538565581252</v>
      </c>
    </row>
    <row r="161" spans="1:11" x14ac:dyDescent="0.2">
      <c r="A161" t="str">
        <f ca="1">'Total Duration Tables'!A18</f>
        <v>Light Vehicle Driver</v>
      </c>
      <c r="B161" s="58">
        <f ca="1">('Total Duration Tables Sup #1'!B172*'Updated Population'!B$158)/('Total Duration Tables Sup #1'!B161*1000000)</f>
        <v>1</v>
      </c>
      <c r="C161" s="58">
        <f ca="1">('Total Duration Tables Sup #1'!C172*'Updated Population'!C$158)/('Total Duration Tables Sup #1'!C161*1000000)</f>
        <v>0.99774603662624162</v>
      </c>
      <c r="D161" s="58">
        <f ca="1">('Total Duration Tables Sup #1'!D172*'Updated Population'!D$158)/('Total Duration Tables Sup #1'!D161*1000000)</f>
        <v>0.99604698708786588</v>
      </c>
      <c r="E161" s="58">
        <f ca="1">('Total Duration Tables Sup #1'!E172*'Updated Population'!E$158)/('Total Duration Tables Sup #1'!E161*1000000)</f>
        <v>0.99471168694111523</v>
      </c>
      <c r="F161" s="58">
        <f ca="1">('Total Duration Tables Sup #1'!F172*'Updated Population'!F$158)/('Total Duration Tables Sup #1'!F161*1000000)</f>
        <v>0.99342728744128539</v>
      </c>
      <c r="G161" s="58">
        <f ca="1">('Total Duration Tables Sup #1'!G172*'Updated Population'!G$158)/('Total Duration Tables Sup #1'!G161*1000000)</f>
        <v>0.99219131328991694</v>
      </c>
      <c r="H161" s="58">
        <f ca="1">('Total Duration Tables Sup #1'!H172*'Updated Population'!H$158)/('Total Duration Tables Sup #1'!H161*1000000)</f>
        <v>0.99098853356272776</v>
      </c>
      <c r="I161" s="58">
        <f ca="1">('Total Duration Tables Sup #1'!I172*'Updated Population'!I$158)/('Total Duration Tables Sup #1'!I161*1000000)</f>
        <v>0.98979907835218461</v>
      </c>
      <c r="J161" s="58">
        <f ca="1">('Total Duration Tables Sup #1'!J172*'Updated Population'!J$158)/('Total Duration Tables Sup #1'!J161*1000000)</f>
        <v>0.98862326916807108</v>
      </c>
      <c r="K161" s="58">
        <f ca="1">('Total Duration Tables Sup #1'!K172*'Updated Population'!K$158)/('Total Duration Tables Sup #1'!K161*1000000)</f>
        <v>0.98746140953352979</v>
      </c>
    </row>
    <row r="162" spans="1:11" x14ac:dyDescent="0.2">
      <c r="A162" t="str">
        <f ca="1">'Total Duration Tables'!A19</f>
        <v>Light Vehicle Passenger</v>
      </c>
      <c r="B162" s="58">
        <f ca="1">('Total Duration Tables Sup #1'!B173*'Updated Population'!B$158)/('Total Duration Tables Sup #1'!B162*1000000)</f>
        <v>1</v>
      </c>
      <c r="C162" s="58">
        <f ca="1">('Total Duration Tables Sup #1'!C173*'Updated Population'!C$158)/('Total Duration Tables Sup #1'!C162*1000000)</f>
        <v>0.99967287194978227</v>
      </c>
      <c r="D162" s="58">
        <f ca="1">('Total Duration Tables Sup #1'!D173*'Updated Population'!D$158)/('Total Duration Tables Sup #1'!D162*1000000)</f>
        <v>0.99941206126111892</v>
      </c>
      <c r="E162" s="58">
        <f ca="1">('Total Duration Tables Sup #1'!E173*'Updated Population'!E$158)/('Total Duration Tables Sup #1'!E162*1000000)</f>
        <v>0.9991834824211312</v>
      </c>
      <c r="F162" s="58">
        <f ca="1">('Total Duration Tables Sup #1'!F173*'Updated Population'!F$158)/('Total Duration Tables Sup #1'!F162*1000000)</f>
        <v>0.99896462449318302</v>
      </c>
      <c r="G162" s="58">
        <f ca="1">('Total Duration Tables Sup #1'!G173*'Updated Population'!G$158)/('Total Duration Tables Sup #1'!G162*1000000)</f>
        <v>0.99875059949978295</v>
      </c>
      <c r="H162" s="58">
        <f ca="1">('Total Duration Tables Sup #1'!H173*'Updated Population'!H$158)/('Total Duration Tables Sup #1'!H162*1000000)</f>
        <v>0.99853204802290241</v>
      </c>
      <c r="I162" s="58">
        <f ca="1">('Total Duration Tables Sup #1'!I173*'Updated Population'!I$158)/('Total Duration Tables Sup #1'!I162*1000000)</f>
        <v>0.99832088718575407</v>
      </c>
      <c r="J162" s="58">
        <f ca="1">('Total Duration Tables Sup #1'!J173*'Updated Population'!J$158)/('Total Duration Tables Sup #1'!J162*1000000)</f>
        <v>0.9981170286850507</v>
      </c>
      <c r="K162" s="58">
        <f ca="1">('Total Duration Tables Sup #1'!K173*'Updated Population'!K$158)/('Total Duration Tables Sup #1'!K162*1000000)</f>
        <v>0.99792037738384887</v>
      </c>
    </row>
    <row r="163" spans="1:11" x14ac:dyDescent="0.2">
      <c r="A163" t="str">
        <f ca="1">'Total Duration Tables'!A20</f>
        <v>Taxi/Vehicle Share</v>
      </c>
      <c r="B163" s="58">
        <f ca="1">('Total Duration Tables Sup #1'!B174*'Updated Population'!B$158)/('Total Duration Tables Sup #1'!B163*1000000)</f>
        <v>1</v>
      </c>
      <c r="C163" s="58">
        <f ca="1">('Total Duration Tables Sup #1'!C174*'Updated Population'!C$158)/('Total Duration Tables Sup #1'!C163*1000000)</f>
        <v>0.99525838939732636</v>
      </c>
      <c r="D163" s="58">
        <f ca="1">('Total Duration Tables Sup #1'!D174*'Updated Population'!D$158)/('Total Duration Tables Sup #1'!D163*1000000)</f>
        <v>0.99107759849948407</v>
      </c>
      <c r="E163" s="58">
        <f ca="1">('Total Duration Tables Sup #1'!E174*'Updated Population'!E$158)/('Total Duration Tables Sup #1'!E163*1000000)</f>
        <v>0.9880476898591467</v>
      </c>
      <c r="F163" s="58">
        <f ca="1">('Total Duration Tables Sup #1'!F174*'Updated Population'!F$158)/('Total Duration Tables Sup #1'!F163*1000000)</f>
        <v>0.98498768678081217</v>
      </c>
      <c r="G163" s="58">
        <f ca="1">('Total Duration Tables Sup #1'!G174*'Updated Population'!G$158)/('Total Duration Tables Sup #1'!G163*1000000)</f>
        <v>0.98196373894287914</v>
      </c>
      <c r="H163" s="58">
        <f ca="1">('Total Duration Tables Sup #1'!H174*'Updated Population'!H$158)/('Total Duration Tables Sup #1'!H163*1000000)</f>
        <v>0.97903133263185294</v>
      </c>
      <c r="I163" s="58">
        <f ca="1">('Total Duration Tables Sup #1'!I174*'Updated Population'!I$158)/('Total Duration Tables Sup #1'!I163*1000000)</f>
        <v>0.9761193346842747</v>
      </c>
      <c r="J163" s="58">
        <f ca="1">('Total Duration Tables Sup #1'!J174*'Updated Population'!J$158)/('Total Duration Tables Sup #1'!J163*1000000)</f>
        <v>0.97322912462298961</v>
      </c>
      <c r="K163" s="58">
        <f ca="1">('Total Duration Tables Sup #1'!K174*'Updated Population'!K$158)/('Total Duration Tables Sup #1'!K163*1000000)</f>
        <v>0.97036201646856068</v>
      </c>
    </row>
    <row r="164" spans="1:11" x14ac:dyDescent="0.2">
      <c r="A164" t="str">
        <f ca="1">'Total Duration Tables'!A21</f>
        <v>Motorcyclist</v>
      </c>
      <c r="B164" s="58">
        <f ca="1">('Total Duration Tables Sup #1'!B175*'Updated Population'!B$158)/('Total Duration Tables Sup #1'!B164*1000000)</f>
        <v>1</v>
      </c>
      <c r="C164" s="58">
        <f ca="1">('Total Duration Tables Sup #1'!C175*'Updated Population'!C$158)/('Total Duration Tables Sup #1'!C164*1000000)</f>
        <v>1.0071094695019123</v>
      </c>
      <c r="D164" s="58">
        <f ca="1">('Total Duration Tables Sup #1'!D175*'Updated Population'!D$158)/('Total Duration Tables Sup #1'!D164*1000000)</f>
        <v>1.0127347390684822</v>
      </c>
      <c r="E164" s="58">
        <f ca="1">('Total Duration Tables Sup #1'!E175*'Updated Population'!E$158)/('Total Duration Tables Sup #1'!E164*1000000)</f>
        <v>1.0169788092103433</v>
      </c>
      <c r="F164" s="58">
        <f ca="1">('Total Duration Tables Sup #1'!F175*'Updated Population'!F$158)/('Total Duration Tables Sup #1'!F164*1000000)</f>
        <v>1.0210991913747385</v>
      </c>
      <c r="G164" s="58">
        <f ca="1">('Total Duration Tables Sup #1'!G175*'Updated Population'!G$158)/('Total Duration Tables Sup #1'!G164*1000000)</f>
        <v>1.0251261659055353</v>
      </c>
      <c r="H164" s="58">
        <f ca="1">('Total Duration Tables Sup #1'!H175*'Updated Population'!H$158)/('Total Duration Tables Sup #1'!H164*1000000)</f>
        <v>1.0291694745339466</v>
      </c>
      <c r="I164" s="58">
        <f ca="1">('Total Duration Tables Sup #1'!I175*'Updated Population'!I$158)/('Total Duration Tables Sup #1'!I164*1000000)</f>
        <v>1.0332376310636744</v>
      </c>
      <c r="J164" s="58">
        <f ca="1">('Total Duration Tables Sup #1'!J175*'Updated Population'!J$158)/('Total Duration Tables Sup #1'!J164*1000000)</f>
        <v>1.037328258407278</v>
      </c>
      <c r="K164" s="58">
        <f ca="1">('Total Duration Tables Sup #1'!K175*'Updated Population'!K$158)/('Total Duration Tables Sup #1'!K164*1000000)</f>
        <v>1.0414389544977232</v>
      </c>
    </row>
    <row r="165" spans="1:11" x14ac:dyDescent="0.2">
      <c r="A165" t="str">
        <f ca="1">'Total Duration Tables'!A22</f>
        <v>Local Train</v>
      </c>
      <c r="B165" s="58">
        <f ca="1">('Total Duration Tables Sup #1'!B176*'Updated Population'!B$158)/('Total Duration Tables Sup #1'!B165*1000000)</f>
        <v>1</v>
      </c>
      <c r="C165" s="58">
        <f ca="1">('Total Duration Tables Sup #1'!C176*'Updated Population'!C$158)/('Total Duration Tables Sup #1'!C165*1000000)</f>
        <v>1.0265940606597859</v>
      </c>
      <c r="D165" s="58">
        <f ca="1">('Total Duration Tables Sup #1'!D176*'Updated Population'!D$158)/('Total Duration Tables Sup #1'!D165*1000000)</f>
        <v>1.0422788545098118</v>
      </c>
      <c r="E165" s="58">
        <f ca="1">('Total Duration Tables Sup #1'!E176*'Updated Population'!E$158)/('Total Duration Tables Sup #1'!E165*1000000)</f>
        <v>1.0459194565744785</v>
      </c>
      <c r="F165" s="58">
        <f ca="1">('Total Duration Tables Sup #1'!F176*'Updated Population'!F$158)/('Total Duration Tables Sup #1'!F165*1000000)</f>
        <v>1.0480526049570056</v>
      </c>
      <c r="G165" s="58">
        <f ca="1">('Total Duration Tables Sup #1'!G176*'Updated Population'!G$158)/('Total Duration Tables Sup #1'!G165*1000000)</f>
        <v>1.0492125268250099</v>
      </c>
      <c r="H165" s="58">
        <f ca="1">('Total Duration Tables Sup #1'!H176*'Updated Population'!H$158)/('Total Duration Tables Sup #1'!H165*1000000)</f>
        <v>1.0503121231467687</v>
      </c>
      <c r="I165" s="58">
        <f ca="1">('Total Duration Tables Sup #1'!I176*'Updated Population'!I$158)/('Total Duration Tables Sup #1'!I165*1000000)</f>
        <v>1.0491621880665547</v>
      </c>
      <c r="J165" s="58">
        <f ca="1">('Total Duration Tables Sup #1'!J176*'Updated Population'!J$158)/('Total Duration Tables Sup #1'!J165*1000000)</f>
        <v>1.0480234784349922</v>
      </c>
      <c r="K165" s="58">
        <f ca="1">('Total Duration Tables Sup #1'!K176*'Updated Population'!K$158)/('Total Duration Tables Sup #1'!K165*1000000)</f>
        <v>1.0468934648521544</v>
      </c>
    </row>
    <row r="166" spans="1:11" x14ac:dyDescent="0.2">
      <c r="A166" t="str">
        <f ca="1">'Total Duration Tables'!A23</f>
        <v>Local Bus</v>
      </c>
      <c r="B166" s="58">
        <f ca="1">('Total Duration Tables Sup #1'!B177*'Updated Population'!B$169)/('Total Duration Tables Sup #1'!B166*1000000)</f>
        <v>1</v>
      </c>
      <c r="C166" s="58">
        <f ca="1">('Total Duration Tables Sup #1'!C177*'Updated Population'!C$169)/('Total Duration Tables Sup #1'!C166*1000000)</f>
        <v>1.0013663556812342</v>
      </c>
      <c r="D166" s="58">
        <f ca="1">('Total Duration Tables Sup #1'!D177*'Updated Population'!D$169)/('Total Duration Tables Sup #1'!D166*1000000)</f>
        <v>1.0024964552146409</v>
      </c>
      <c r="E166" s="58">
        <f ca="1">('Total Duration Tables Sup #1'!E177*'Updated Population'!E$169)/('Total Duration Tables Sup #1'!E166*1000000)</f>
        <v>1.0035077236437322</v>
      </c>
      <c r="F166" s="58">
        <f ca="1">('Total Duration Tables Sup #1'!F177*'Updated Population'!F$169)/('Total Duration Tables Sup #1'!F166*1000000)</f>
        <v>1.0045367655876656</v>
      </c>
      <c r="G166" s="58">
        <f ca="1">('Total Duration Tables Sup #1'!G177*'Updated Population'!G$169)/('Total Duration Tables Sup #1'!G166*1000000)</f>
        <v>1.0056289209294778</v>
      </c>
      <c r="H166" s="58">
        <f ca="1">('Total Duration Tables Sup #1'!H177*'Updated Population'!H$169)/('Total Duration Tables Sup #1'!H166*1000000)</f>
        <v>1.0067677243703306</v>
      </c>
      <c r="I166" s="58">
        <f ca="1">('Total Duration Tables Sup #1'!I177*'Updated Population'!I$169)/('Total Duration Tables Sup #1'!I166*1000000)</f>
        <v>1.0079126169049237</v>
      </c>
      <c r="J166" s="58">
        <f ca="1">('Total Duration Tables Sup #1'!J177*'Updated Population'!J$169)/('Total Duration Tables Sup #1'!J166*1000000)</f>
        <v>1.0090634372863332</v>
      </c>
      <c r="K166" s="58">
        <f ca="1">('Total Duration Tables Sup #1'!K177*'Updated Population'!K$169)/('Total Duration Tables Sup #1'!K166*1000000)</f>
        <v>1.0102200255393914</v>
      </c>
    </row>
    <row r="167" spans="1:11" x14ac:dyDescent="0.2">
      <c r="A167" t="str">
        <f ca="1">'Total Duration Tables'!A24</f>
        <v>Local Ferry</v>
      </c>
      <c r="B167" s="58">
        <f ca="1">('Total Duration Tables Sup #1'!B178*'Updated Population'!B$158)/('Total Duration Tables Sup #1'!B167*1000000)</f>
        <v>0.99999999999999978</v>
      </c>
      <c r="C167" s="58">
        <f ca="1">('Total Duration Tables Sup #1'!C178*'Updated Population'!C$158)/('Total Duration Tables Sup #1'!C167*1000000)</f>
        <v>0.96866586945524569</v>
      </c>
      <c r="D167" s="58">
        <f ca="1">('Total Duration Tables Sup #1'!D178*'Updated Population'!D$158)/('Total Duration Tables Sup #1'!D167*1000000)</f>
        <v>0.94442123794926114</v>
      </c>
      <c r="E167" s="58">
        <f ca="1">('Total Duration Tables Sup #1'!E178*'Updated Population'!E$158)/('Total Duration Tables Sup #1'!E167*1000000)</f>
        <v>0.92585551371667885</v>
      </c>
      <c r="F167" s="58">
        <f ca="1">('Total Duration Tables Sup #1'!F178*'Updated Population'!F$158)/('Total Duration Tables Sup #1'!F167*1000000)</f>
        <v>0.90907524476806201</v>
      </c>
      <c r="G167" s="58">
        <f ca="1">('Total Duration Tables Sup #1'!G178*'Updated Population'!G$158)/('Total Duration Tables Sup #1'!G167*1000000)</f>
        <v>0.89384676015670816</v>
      </c>
      <c r="H167" s="58">
        <f ca="1">('Total Duration Tables Sup #1'!H178*'Updated Population'!H$158)/('Total Duration Tables Sup #1'!H167*1000000)</f>
        <v>0.87957812815794489</v>
      </c>
      <c r="I167" s="58">
        <f ca="1">('Total Duration Tables Sup #1'!I178*'Updated Population'!I$158)/('Total Duration Tables Sup #1'!I167*1000000)</f>
        <v>0.86574007800396013</v>
      </c>
      <c r="J167" s="58">
        <f ca="1">('Total Duration Tables Sup #1'!J178*'Updated Population'!J$158)/('Total Duration Tables Sup #1'!J167*1000000)</f>
        <v>0.85231968330405794</v>
      </c>
      <c r="K167" s="58">
        <f ca="1">('Total Duration Tables Sup #1'!K178*'Updated Population'!K$158)/('Total Duration Tables Sup #1'!K167*1000000)</f>
        <v>0.83930434629778161</v>
      </c>
    </row>
    <row r="168" spans="1:11" x14ac:dyDescent="0.2">
      <c r="A168" t="str">
        <f ca="1">'Total Duration Tables'!A25</f>
        <v>Other Household Travel</v>
      </c>
      <c r="B168" s="58">
        <f ca="1">('Total Duration Tables Sup #1'!B179*'Updated Population'!B$158)/('Total Duration Tables Sup #1'!B168*1000000)</f>
        <v>1</v>
      </c>
      <c r="C168" s="58">
        <f ca="1">('Total Duration Tables Sup #1'!C179*'Updated Population'!C$158)/('Total Duration Tables Sup #1'!C168*1000000)</f>
        <v>0.99086367721009272</v>
      </c>
      <c r="D168" s="58">
        <f ca="1">('Total Duration Tables Sup #1'!D179*'Updated Population'!D$158)/('Total Duration Tables Sup #1'!D168*1000000)</f>
        <v>0.98392809128908099</v>
      </c>
      <c r="E168" s="58">
        <f ca="1">('Total Duration Tables Sup #1'!E179*'Updated Population'!E$158)/('Total Duration Tables Sup #1'!E168*1000000)</f>
        <v>0.97876469141228561</v>
      </c>
      <c r="F168" s="58">
        <f ca="1">('Total Duration Tables Sup #1'!F179*'Updated Population'!F$158)/('Total Duration Tables Sup #1'!F168*1000000)</f>
        <v>0.97389628513800808</v>
      </c>
      <c r="G168" s="58">
        <f ca="1">('Total Duration Tables Sup #1'!G179*'Updated Population'!G$158)/('Total Duration Tables Sup #1'!G168*1000000)</f>
        <v>0.96932347982347566</v>
      </c>
      <c r="H168" s="58">
        <f ca="1">('Total Duration Tables Sup #1'!H179*'Updated Population'!H$158)/('Total Duration Tables Sup #1'!H168*1000000)</f>
        <v>0.96500882129265231</v>
      </c>
      <c r="I168" s="58">
        <f ca="1">('Total Duration Tables Sup #1'!I179*'Updated Population'!I$158)/('Total Duration Tables Sup #1'!I168*1000000)</f>
        <v>0.9607643156712119</v>
      </c>
      <c r="J168" s="58">
        <f ca="1">('Total Duration Tables Sup #1'!J179*'Updated Population'!J$158)/('Total Duration Tables Sup #1'!J168*1000000)</f>
        <v>0.95659021853769943</v>
      </c>
      <c r="K168" s="58">
        <f ca="1">('Total Duration Tables Sup #1'!K179*'Updated Population'!K$158)/('Total Duration Tables Sup #1'!K168*1000000)</f>
        <v>0.95248671771368909</v>
      </c>
    </row>
    <row r="169" spans="1:11" x14ac:dyDescent="0.2">
      <c r="A169" t="s">
        <v>67</v>
      </c>
    </row>
    <row r="170" spans="1:11" x14ac:dyDescent="0.2">
      <c r="A170" t="s">
        <v>34</v>
      </c>
      <c r="B170" s="4">
        <f>'[1]Transition '!B$40</f>
        <v>0</v>
      </c>
      <c r="C170" s="4">
        <f>'[1]Transition '!C$40</f>
        <v>5.0749186565425477</v>
      </c>
      <c r="D170" s="4">
        <f>'[1]Transition '!D$40</f>
        <v>16.23381290769316</v>
      </c>
      <c r="E170" s="4">
        <f>'[1]Transition '!E$40</f>
        <v>27.438308738315701</v>
      </c>
      <c r="F170" s="4">
        <f>'[1]Transition '!F$40</f>
        <v>32.940162329693052</v>
      </c>
      <c r="G170" s="4">
        <f>'[1]Transition '!G$40</f>
        <v>38.51776049307044</v>
      </c>
      <c r="H170" s="4">
        <f>'[1]Transition '!H$40</f>
        <v>44.145758385105552</v>
      </c>
      <c r="I170" s="1">
        <f>'[1]Transition '!I$40</f>
        <v>49.727215937492161</v>
      </c>
      <c r="J170" s="1">
        <f>'[1]Transition '!J$40</f>
        <v>55.702384820338949</v>
      </c>
      <c r="K170" s="1">
        <f>'[1]Transition '!K$40</f>
        <v>62.367904211211012</v>
      </c>
    </row>
    <row r="171" spans="1:11" x14ac:dyDescent="0.2">
      <c r="A171" t="s">
        <v>41</v>
      </c>
      <c r="B171" s="4">
        <f>'[2]Transition '!B$40</f>
        <v>0</v>
      </c>
      <c r="C171" s="4">
        <f>'[2]Transition '!C$40</f>
        <v>6.3557504535590503E-2</v>
      </c>
      <c r="D171" s="4">
        <f>'[2]Transition '!D$40</f>
        <v>0.58507581978432821</v>
      </c>
      <c r="E171" s="4">
        <f>'[2]Transition '!E$40</f>
        <v>1.0423738284840027</v>
      </c>
      <c r="F171" s="4">
        <f>'[2]Transition '!F$40</f>
        <v>1.4745261290924159</v>
      </c>
      <c r="G171" s="4">
        <f>'[2]Transition '!G$40</f>
        <v>1.9007844067922921</v>
      </c>
      <c r="H171" s="4">
        <f>'[2]Transition '!H$40</f>
        <v>2.3641732846539263</v>
      </c>
      <c r="I171" s="1">
        <f>'[2]Transition '!I$40</f>
        <v>2.9101782097085138</v>
      </c>
      <c r="J171" s="1">
        <f>'[2]Transition '!J$40</f>
        <v>3.5118924877581694</v>
      </c>
      <c r="K171" s="1">
        <f>'[2]Transition '!K$40</f>
        <v>4.1669990052605765</v>
      </c>
    </row>
    <row r="172" spans="1:11" x14ac:dyDescent="0.2">
      <c r="A172" t="s">
        <v>68</v>
      </c>
      <c r="B172" s="4"/>
      <c r="C172" s="4"/>
      <c r="D172" s="4"/>
      <c r="E172" s="4"/>
      <c r="F172" s="4"/>
      <c r="G172" s="4"/>
      <c r="H172" s="4"/>
      <c r="I172" s="1"/>
      <c r="J172" s="1"/>
      <c r="K172" s="1"/>
    </row>
    <row r="173" spans="1:11" x14ac:dyDescent="0.2">
      <c r="A173" t="s">
        <v>34</v>
      </c>
      <c r="B173" s="4">
        <f>'[1]Transition '!B$43</f>
        <v>0</v>
      </c>
      <c r="C173" s="4">
        <f>'[1]Transition '!C$43</f>
        <v>0.18151910476814237</v>
      </c>
      <c r="D173" s="4">
        <f>'[1]Transition '!D$43</f>
        <v>7.8104173676279487</v>
      </c>
      <c r="E173" s="4">
        <f>'[1]Transition '!E$43</f>
        <v>15.185404176046603</v>
      </c>
      <c r="F173" s="4">
        <f>'[1]Transition '!F$43</f>
        <v>19.593230290737221</v>
      </c>
      <c r="G173" s="4">
        <f>'[1]Transition '!G$43</f>
        <v>24.006309636254777</v>
      </c>
      <c r="H173" s="4">
        <f>'[1]Transition '!H$43</f>
        <v>28.596589241456901</v>
      </c>
      <c r="I173" s="1">
        <f>'[1]Transition '!I$43</f>
        <v>32.745234426743714</v>
      </c>
      <c r="J173" s="1">
        <f>'[1]Transition '!J$43</f>
        <v>37.231685264280401</v>
      </c>
      <c r="K173" s="1">
        <f>'[1]Transition '!K$43</f>
        <v>42.253770569481119</v>
      </c>
    </row>
    <row r="174" spans="1:11" x14ac:dyDescent="0.2">
      <c r="A174" t="s">
        <v>41</v>
      </c>
      <c r="B174" s="4">
        <f>'[2]Transition '!B$43</f>
        <v>0</v>
      </c>
      <c r="C174" s="4">
        <f>'[2]Transition '!C$43</f>
        <v>1.3301984160015934E-2</v>
      </c>
      <c r="D174" s="4">
        <f>'[2]Transition '!D$43</f>
        <v>0.90116684100100208</v>
      </c>
      <c r="E174" s="4">
        <f>'[2]Transition '!E$43</f>
        <v>1.4983319546275489</v>
      </c>
      <c r="F174" s="4">
        <f>'[2]Transition '!F$43</f>
        <v>1.7423870906884495</v>
      </c>
      <c r="G174" s="4">
        <f>'[2]Transition '!G$43</f>
        <v>2.031746403488766</v>
      </c>
      <c r="H174" s="4">
        <f>'[2]Transition '!H$43</f>
        <v>2.3672212982516001</v>
      </c>
      <c r="I174" s="1">
        <f>'[2]Transition '!I$43</f>
        <v>2.5950077802134857</v>
      </c>
      <c r="J174" s="1">
        <f>'[2]Transition '!J$43</f>
        <v>2.8574948872089223</v>
      </c>
      <c r="K174" s="1">
        <f>'[2]Transition '!K$43</f>
        <v>3.1466888765694669</v>
      </c>
    </row>
    <row r="175" spans="1:11" x14ac:dyDescent="0.2">
      <c r="B175" s="4"/>
      <c r="C175" s="4"/>
      <c r="D175" s="4"/>
      <c r="E175" s="4"/>
      <c r="F175" s="4"/>
      <c r="G175" s="4"/>
      <c r="H175" s="4"/>
    </row>
    <row r="176" spans="1:11" x14ac:dyDescent="0.2">
      <c r="B176" s="4"/>
      <c r="C176" s="4"/>
      <c r="D176" s="4"/>
      <c r="E176" s="4"/>
      <c r="F176" s="4"/>
      <c r="G176" s="4"/>
      <c r="H176" s="4"/>
    </row>
    <row r="177" spans="2:8" x14ac:dyDescent="0.2">
      <c r="B177" s="4"/>
      <c r="C177" s="4"/>
      <c r="D177" s="4"/>
      <c r="E177" s="4"/>
      <c r="F177" s="4"/>
      <c r="G177" s="4"/>
      <c r="H177" s="4"/>
    </row>
    <row r="178" spans="2:8" x14ac:dyDescent="0.2">
      <c r="B178" s="4"/>
      <c r="C178" s="4"/>
      <c r="D178" s="4"/>
      <c r="E178" s="4"/>
      <c r="F178" s="4"/>
      <c r="G178" s="4"/>
      <c r="H178" s="4"/>
    </row>
    <row r="179" spans="2:8" x14ac:dyDescent="0.2">
      <c r="B179" s="4"/>
      <c r="C179" s="4"/>
      <c r="D179" s="4"/>
      <c r="E179" s="4"/>
      <c r="F179" s="4"/>
      <c r="G179" s="4"/>
      <c r="H179" s="4"/>
    </row>
    <row r="180" spans="2:8" x14ac:dyDescent="0.2">
      <c r="B180" s="4"/>
      <c r="C180" s="4"/>
      <c r="D180" s="4"/>
      <c r="E180" s="4"/>
      <c r="F180" s="4"/>
      <c r="G180" s="4"/>
      <c r="H180" s="4"/>
    </row>
    <row r="182" spans="2:8" x14ac:dyDescent="0.2">
      <c r="B182" s="4"/>
      <c r="C182" s="4"/>
      <c r="D182" s="4"/>
      <c r="E182" s="4"/>
      <c r="F182" s="4"/>
      <c r="G182" s="4"/>
      <c r="H182" s="4"/>
    </row>
    <row r="183" spans="2:8" x14ac:dyDescent="0.2">
      <c r="B183" s="4"/>
      <c r="C183" s="4"/>
      <c r="D183" s="4"/>
      <c r="E183" s="4"/>
      <c r="F183" s="4"/>
      <c r="G183" s="4"/>
      <c r="H183" s="4"/>
    </row>
    <row r="184" spans="2:8" x14ac:dyDescent="0.2">
      <c r="B184" s="4"/>
      <c r="C184" s="4"/>
      <c r="D184" s="4"/>
      <c r="E184" s="4"/>
      <c r="F184" s="4"/>
      <c r="G184" s="4"/>
      <c r="H184" s="4"/>
    </row>
    <row r="185" spans="2:8" x14ac:dyDescent="0.2">
      <c r="B185" s="4"/>
      <c r="C185" s="4"/>
      <c r="D185" s="4"/>
      <c r="E185" s="4"/>
      <c r="F185" s="4"/>
      <c r="G185" s="4"/>
      <c r="H185" s="4"/>
    </row>
    <row r="186" spans="2:8" x14ac:dyDescent="0.2">
      <c r="B186" s="4"/>
      <c r="C186" s="4"/>
      <c r="D186" s="4"/>
      <c r="E186" s="4"/>
      <c r="F186" s="4"/>
      <c r="G186" s="4"/>
      <c r="H186" s="4"/>
    </row>
    <row r="187" spans="2:8" x14ac:dyDescent="0.2">
      <c r="B187" s="4"/>
      <c r="C187" s="4"/>
      <c r="D187" s="4"/>
      <c r="E187" s="4"/>
      <c r="F187" s="4"/>
      <c r="G187" s="4"/>
      <c r="H187" s="4"/>
    </row>
    <row r="188" spans="2:8" x14ac:dyDescent="0.2">
      <c r="B188" s="4"/>
      <c r="C188" s="4"/>
      <c r="D188" s="4"/>
      <c r="E188" s="4"/>
      <c r="F188" s="4"/>
      <c r="G188" s="4"/>
      <c r="H188" s="4"/>
    </row>
    <row r="189" spans="2:8" x14ac:dyDescent="0.2">
      <c r="B189" s="4"/>
      <c r="C189" s="4"/>
      <c r="D189" s="4"/>
      <c r="E189" s="4"/>
      <c r="F189" s="4"/>
      <c r="G189" s="4"/>
      <c r="H189" s="4"/>
    </row>
    <row r="190" spans="2:8" x14ac:dyDescent="0.2">
      <c r="B190" s="4"/>
      <c r="C190" s="4"/>
      <c r="D190" s="4"/>
      <c r="E190" s="4"/>
      <c r="F190" s="4"/>
      <c r="G190" s="4"/>
      <c r="H190" s="4"/>
    </row>
    <row r="191" spans="2:8" x14ac:dyDescent="0.2">
      <c r="B191" s="4"/>
      <c r="C191" s="4"/>
      <c r="D191" s="4"/>
      <c r="E191" s="4"/>
      <c r="F191" s="4"/>
      <c r="G191" s="4"/>
      <c r="H191" s="4"/>
    </row>
    <row r="193" spans="2:8" x14ac:dyDescent="0.2">
      <c r="B193" s="4"/>
      <c r="C193" s="4"/>
      <c r="D193" s="4"/>
      <c r="E193" s="4"/>
      <c r="F193" s="4"/>
      <c r="G193" s="4"/>
      <c r="H193" s="4"/>
    </row>
    <row r="194" spans="2:8" x14ac:dyDescent="0.2">
      <c r="B194" s="4"/>
      <c r="C194" s="4"/>
      <c r="D194" s="4"/>
      <c r="E194" s="4"/>
      <c r="F194" s="4"/>
      <c r="G194" s="4"/>
      <c r="H194" s="4"/>
    </row>
    <row r="195" spans="2:8" x14ac:dyDescent="0.2">
      <c r="B195" s="4"/>
      <c r="C195" s="4"/>
      <c r="D195" s="4"/>
      <c r="E195" s="4"/>
      <c r="F195" s="4"/>
      <c r="G195" s="4"/>
      <c r="H195" s="4"/>
    </row>
    <row r="196" spans="2:8" x14ac:dyDescent="0.2">
      <c r="B196" s="4"/>
      <c r="C196" s="4"/>
      <c r="D196" s="4"/>
      <c r="E196" s="4"/>
      <c r="F196" s="4"/>
      <c r="G196" s="4"/>
      <c r="H196" s="4"/>
    </row>
    <row r="197" spans="2:8" x14ac:dyDescent="0.2">
      <c r="B197" s="4"/>
      <c r="C197" s="4"/>
      <c r="D197" s="4"/>
      <c r="E197" s="4"/>
      <c r="F197" s="4"/>
      <c r="G197" s="4"/>
      <c r="H197" s="4"/>
    </row>
    <row r="198" spans="2:8" x14ac:dyDescent="0.2">
      <c r="B198" s="4"/>
      <c r="C198" s="4"/>
      <c r="D198" s="4"/>
      <c r="E198" s="4"/>
      <c r="F198" s="4"/>
      <c r="G198" s="4"/>
      <c r="H198" s="4"/>
    </row>
    <row r="199" spans="2:8" x14ac:dyDescent="0.2">
      <c r="B199" s="4"/>
      <c r="C199" s="4"/>
      <c r="D199" s="4"/>
      <c r="E199" s="4"/>
      <c r="F199" s="4"/>
      <c r="G199" s="4"/>
      <c r="H199" s="4"/>
    </row>
    <row r="200" spans="2:8" x14ac:dyDescent="0.2">
      <c r="B200" s="4"/>
      <c r="C200" s="4"/>
      <c r="D200" s="4"/>
      <c r="E200" s="4"/>
      <c r="F200" s="4"/>
      <c r="G200" s="4"/>
      <c r="H200" s="4"/>
    </row>
    <row r="201" spans="2:8" x14ac:dyDescent="0.2">
      <c r="B201" s="4"/>
      <c r="C201" s="4"/>
      <c r="D201" s="4"/>
      <c r="E201" s="4"/>
      <c r="F201" s="4"/>
      <c r="G201" s="4"/>
      <c r="H201" s="4"/>
    </row>
    <row r="202" spans="2:8" x14ac:dyDescent="0.2">
      <c r="B202" s="4"/>
      <c r="C202" s="4"/>
      <c r="D202" s="4"/>
      <c r="E202" s="4"/>
      <c r="F202" s="4"/>
      <c r="G202" s="4"/>
      <c r="H202" s="4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2:T19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24" sqref="G24"/>
    </sheetView>
  </sheetViews>
  <sheetFormatPr defaultRowHeight="12.75" x14ac:dyDescent="0.2"/>
  <cols>
    <col min="1" max="1" width="26.140625" customWidth="1"/>
  </cols>
  <sheetData>
    <row r="2" spans="1:11" x14ac:dyDescent="0.2">
      <c r="A2" s="3" t="s">
        <v>59</v>
      </c>
    </row>
    <row r="3" spans="1:11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">
      <c r="A4" t="str">
        <f ca="1">OFFSET(Northland_Reference,0,0)</f>
        <v>01 NORTHLAND</v>
      </c>
    </row>
    <row r="5" spans="1:11" x14ac:dyDescent="0.2">
      <c r="A5" t="str">
        <f ca="1">OFFSET(Northland_Reference,0,2)</f>
        <v>Pedestrian</v>
      </c>
      <c r="B5" s="4">
        <f ca="1">OFFSET(Northland_Reference,0,7)</f>
        <v>5.0772161771000004</v>
      </c>
      <c r="C5" s="4">
        <f ca="1">$B5*('Updated Population'!C$4/'Updated Population'!$B$4)*('Total Duration Tables Sup #1'!C170/'Total Duration Tables Sup #1'!$B170)</f>
        <v>5.3905082293646167</v>
      </c>
      <c r="D5" s="4">
        <f ca="1">$B5*('Updated Population'!D$4/'Updated Population'!$B$4)*('Total Duration Tables Sup #1'!D170/'Total Duration Tables Sup #1'!$B170)</f>
        <v>5.5659390782202811</v>
      </c>
      <c r="E5" s="4">
        <f ca="1">$B5*('Updated Population'!E$4/'Updated Population'!$B$4)*('Total Duration Tables Sup #1'!E170/'Total Duration Tables Sup #1'!$B170)</f>
        <v>5.6773674402295233</v>
      </c>
      <c r="F5" s="4">
        <f ca="1">$B5*('Updated Population'!F$4/'Updated Population'!$B$4)*('Total Duration Tables Sup #1'!F170/'Total Duration Tables Sup #1'!$B170)</f>
        <v>5.7225975385835106</v>
      </c>
      <c r="G5" s="4">
        <f ca="1">$B5*('Updated Population'!G$4/'Updated Population'!$B$4)*('Total Duration Tables Sup #1'!G170/'Total Duration Tables Sup #1'!$B170)</f>
        <v>5.7418028754590491</v>
      </c>
      <c r="H5" s="4">
        <f ca="1">$B5*('Updated Population'!H$4/'Updated Population'!$B$4)*('Total Duration Tables Sup #1'!H170/'Total Duration Tables Sup #1'!$B170)</f>
        <v>5.7289696051074523</v>
      </c>
      <c r="I5" s="1">
        <f ca="1">$B5*('Updated Population'!I$4/'Updated Population'!$B$4)*('Total Duration Tables Sup #1'!I170/'Total Duration Tables Sup #1'!$B170)</f>
        <v>5.7561415093402362</v>
      </c>
      <c r="J5" s="1">
        <f ca="1">$B5*('Updated Population'!J$4/'Updated Population'!$B$4)*('Total Duration Tables Sup #1'!J170/'Total Duration Tables Sup #1'!$B170)</f>
        <v>5.76503259376359</v>
      </c>
      <c r="K5" s="1">
        <f ca="1">$B5*('Updated Population'!K$4/'Updated Population'!$B$4)*('Total Duration Tables Sup #1'!K170/'Total Duration Tables Sup #1'!$B170)</f>
        <v>5.7615288471847075</v>
      </c>
    </row>
    <row r="6" spans="1:11" x14ac:dyDescent="0.2">
      <c r="A6" t="str">
        <f ca="1">OFFSET(Northland_Reference,7,2)</f>
        <v>Cyclist</v>
      </c>
      <c r="B6" s="4">
        <f ca="1">OFFSET(Northland_Reference,7,7)</f>
        <v>0.15772883609999999</v>
      </c>
      <c r="C6" s="4">
        <f ca="1">$B6*('Updated Population'!C$4/'Updated Population'!$B$4)*('Total Duration Tables Sup #1'!C171/'Total Duration Tables Sup #1'!$B171)</f>
        <v>0.17064878561154087</v>
      </c>
      <c r="D6" s="4">
        <f ca="1">$B6*('Updated Population'!D$4/'Updated Population'!$B$4)*('Total Duration Tables Sup #1'!D171/'Total Duration Tables Sup #1'!$B171)</f>
        <v>0.17691923793505737</v>
      </c>
      <c r="E6" s="4">
        <f ca="1">$B6*('Updated Population'!E$4/'Updated Population'!$B$4)*('Total Duration Tables Sup #1'!E171/'Total Duration Tables Sup #1'!$B171)</f>
        <v>0.1791030783312437</v>
      </c>
      <c r="F6" s="4">
        <f ca="1">$B6*('Updated Population'!F$4/'Updated Population'!$B$4)*('Total Duration Tables Sup #1'!F171/'Total Duration Tables Sup #1'!$B171)</f>
        <v>0.18201358915169241</v>
      </c>
      <c r="G6" s="4">
        <f ca="1">$B6*('Updated Population'!G$4/'Updated Population'!$B$4)*('Total Duration Tables Sup #1'!G171/'Total Duration Tables Sup #1'!$B171)</f>
        <v>0.18631584100077608</v>
      </c>
      <c r="H6" s="4">
        <f ca="1">$B6*('Updated Population'!H$4/'Updated Population'!$B$4)*('Total Duration Tables Sup #1'!H171/'Total Duration Tables Sup #1'!$B171)</f>
        <v>0.19009248908392942</v>
      </c>
      <c r="I6" s="1">
        <f ca="1">$B6*('Updated Population'!I$4/'Updated Population'!$B$4)*('Total Duration Tables Sup #1'!I171/'Total Duration Tables Sup #1'!$B171)</f>
        <v>0.19099407789741435</v>
      </c>
      <c r="J6" s="1">
        <f ca="1">$B6*('Updated Population'!J$4/'Updated Population'!$B$4)*('Total Duration Tables Sup #1'!J171/'Total Duration Tables Sup #1'!$B171)</f>
        <v>0.19128909226914081</v>
      </c>
      <c r="K6" s="1">
        <f ca="1">$B6*('Updated Population'!K$4/'Updated Population'!$B$4)*('Total Duration Tables Sup #1'!K171/'Total Duration Tables Sup #1'!$B171)</f>
        <v>0.19117283472996563</v>
      </c>
    </row>
    <row r="7" spans="1:11" x14ac:dyDescent="0.2">
      <c r="A7" t="str">
        <f ca="1">OFFSET(Northland_Reference,14,2)</f>
        <v>Light Vehicle Driver</v>
      </c>
      <c r="B7" s="4">
        <f ca="1">OFFSET(Northland_Reference,14,7)</f>
        <v>23.421840091</v>
      </c>
      <c r="C7" s="4">
        <f ca="1">$B7*('Updated Population'!C$4/'Updated Population'!$B$4)*('Total Duration Tables Sup #1'!C172/'Total Duration Tables Sup #1'!$B172)</f>
        <v>25.795889280657772</v>
      </c>
      <c r="D7" s="4">
        <f ca="1">$B7*('Updated Population'!D$4/'Updated Population'!$B$4)*('Total Duration Tables Sup #1'!D172/'Total Duration Tables Sup #1'!$B172)</f>
        <v>27.218720315514954</v>
      </c>
      <c r="E7" s="4">
        <f ca="1">$B7*('Updated Population'!E$4/'Updated Population'!$B$4)*('Total Duration Tables Sup #1'!E172/'Total Duration Tables Sup #1'!$B172)</f>
        <v>28.052642120576532</v>
      </c>
      <c r="F7" s="4">
        <f ca="1">$B7*('Updated Population'!F$4/'Updated Population'!$B$4)*('Total Duration Tables Sup #1'!F172/'Total Duration Tables Sup #1'!$B172)</f>
        <v>28.728641586694891</v>
      </c>
      <c r="G7" s="4">
        <f ca="1">$B7*('Updated Population'!G$4/'Updated Population'!$B$4)*('Total Duration Tables Sup #1'!G172/'Total Duration Tables Sup #1'!$B172)</f>
        <v>29.131726746761359</v>
      </c>
      <c r="H7" s="4">
        <f ca="1">$B7*('Updated Population'!H$4/'Updated Population'!$B$4)*('Total Duration Tables Sup #1'!H172/'Total Duration Tables Sup #1'!$B172)</f>
        <v>29.388717052582244</v>
      </c>
      <c r="I7" s="1">
        <f ca="1">$B7*('Updated Population'!I$4/'Updated Population'!$B$4)*('Total Duration Tables Sup #1'!I172/'Total Duration Tables Sup #1'!$B172)</f>
        <v>29.528104666816617</v>
      </c>
      <c r="J7" s="1">
        <f ca="1">$B7*('Updated Population'!J$4/'Updated Population'!$B$4)*('Total Duration Tables Sup #1'!J172/'Total Duration Tables Sup #1'!$B172)</f>
        <v>29.573714537774144</v>
      </c>
      <c r="K7" s="1">
        <f ca="1">$B7*('Updated Population'!K$4/'Updated Population'!$B$4)*('Total Duration Tables Sup #1'!K172/'Total Duration Tables Sup #1'!$B172)</f>
        <v>29.555740866428614</v>
      </c>
    </row>
    <row r="8" spans="1:11" x14ac:dyDescent="0.2">
      <c r="A8" t="str">
        <f ca="1">OFFSET(Northland_Reference,21,2)</f>
        <v>Light Vehicle Passenger</v>
      </c>
      <c r="B8" s="4">
        <f ca="1">OFFSET(Northland_Reference,21,7)</f>
        <v>15.174949781</v>
      </c>
      <c r="C8" s="4">
        <f ca="1">$B8*('Updated Population'!C$4/'Updated Population'!$B$4)*('Total Duration Tables Sup #1'!C173/'Total Duration Tables Sup #1'!$B173)</f>
        <v>15.947413371732919</v>
      </c>
      <c r="D8" s="4">
        <f ca="1">$B8*('Updated Population'!D$4/'Updated Population'!$B$4)*('Total Duration Tables Sup #1'!D173/'Total Duration Tables Sup #1'!$B173)</f>
        <v>16.378817024650164</v>
      </c>
      <c r="E8" s="4">
        <f ca="1">$B8*('Updated Population'!E$4/'Updated Population'!$B$4)*('Total Duration Tables Sup #1'!E173/'Total Duration Tables Sup #1'!$B173)</f>
        <v>16.607404619801827</v>
      </c>
      <c r="F8" s="4">
        <f ca="1">$B8*('Updated Population'!F$4/'Updated Population'!$B$4)*('Total Duration Tables Sup #1'!F173/'Total Duration Tables Sup #1'!$B173)</f>
        <v>16.712649838897566</v>
      </c>
      <c r="G8" s="4">
        <f ca="1">$B8*('Updated Population'!G$4/'Updated Population'!$B$4)*('Total Duration Tables Sup #1'!G173/'Total Duration Tables Sup #1'!$B173)</f>
        <v>16.723031708473073</v>
      </c>
      <c r="H8" s="4">
        <f ca="1">$B8*('Updated Population'!H$4/'Updated Population'!$B$4)*('Total Duration Tables Sup #1'!H173/'Total Duration Tables Sup #1'!$B173)</f>
        <v>16.631135720033196</v>
      </c>
      <c r="I8" s="1">
        <f ca="1">$B8*('Updated Population'!I$4/'Updated Population'!$B$4)*('Total Duration Tables Sup #1'!I173/'Total Duration Tables Sup #1'!$B173)</f>
        <v>16.710015459011789</v>
      </c>
      <c r="J8" s="1">
        <f ca="1">$B8*('Updated Population'!J$4/'Updated Population'!$B$4)*('Total Duration Tables Sup #1'!J173/'Total Duration Tables Sup #1'!$B173)</f>
        <v>16.735826179252172</v>
      </c>
      <c r="K8" s="1">
        <f ca="1">$B8*('Updated Population'!K$4/'Updated Population'!$B$4)*('Total Duration Tables Sup #1'!K173/'Total Duration Tables Sup #1'!$B173)</f>
        <v>16.72565484149013</v>
      </c>
    </row>
    <row r="9" spans="1:11" x14ac:dyDescent="0.2">
      <c r="A9" t="str">
        <f ca="1">OFFSET(Northland_Reference,28,2)</f>
        <v>Taxi/Vehicle Share</v>
      </c>
      <c r="B9" s="4">
        <f ca="1">OFFSET(Northland_Reference,28,7)</f>
        <v>2.5131369800000001E-2</v>
      </c>
      <c r="C9" s="4">
        <f ca="1">$B9*('Updated Population'!C$4/'Updated Population'!$B$4)*('Total Duration Tables Sup #1'!C174/'Total Duration Tables Sup #1'!$B174)</f>
        <v>2.8834463150669325E-2</v>
      </c>
      <c r="D9" s="4">
        <f ca="1">$B9*('Updated Population'!D$4/'Updated Population'!$B$4)*('Total Duration Tables Sup #1'!D174/'Total Duration Tables Sup #1'!$B174)</f>
        <v>3.1783774093425962E-2</v>
      </c>
      <c r="E9" s="4">
        <f ca="1">$B9*('Updated Population'!E$4/'Updated Population'!$B$4)*('Total Duration Tables Sup #1'!E174/'Total Duration Tables Sup #1'!$B174)</f>
        <v>3.4417718711284788E-2</v>
      </c>
      <c r="F9" s="4">
        <f ca="1">$B9*('Updated Population'!F$4/'Updated Population'!$B$4)*('Total Duration Tables Sup #1'!F174/'Total Duration Tables Sup #1'!$B174)</f>
        <v>3.6681245149242453E-2</v>
      </c>
      <c r="G9" s="4">
        <f ca="1">$B9*('Updated Population'!G$4/'Updated Population'!$B$4)*('Total Duration Tables Sup #1'!G174/'Total Duration Tables Sup #1'!$B174)</f>
        <v>3.8337998161474374E-2</v>
      </c>
      <c r="H9" s="4">
        <f ca="1">$B9*('Updated Population'!H$4/'Updated Population'!$B$4)*('Total Duration Tables Sup #1'!H174/'Total Duration Tables Sup #1'!$B174)</f>
        <v>3.9813863537172527E-2</v>
      </c>
      <c r="I9" s="1">
        <f ca="1">$B9*('Updated Population'!I$4/'Updated Population'!$B$4)*('Total Duration Tables Sup #1'!I174/'Total Duration Tables Sup #1'!$B174)</f>
        <v>4.0002696531888489E-2</v>
      </c>
      <c r="J9" s="1">
        <f ca="1">$B9*('Updated Population'!J$4/'Updated Population'!$B$4)*('Total Duration Tables Sup #1'!J174/'Total Duration Tables Sup #1'!$B174)</f>
        <v>4.0064485727211378E-2</v>
      </c>
      <c r="K9" s="1">
        <f ca="1">$B9*('Updated Population'!K$4/'Updated Population'!$B$4)*('Total Duration Tables Sup #1'!K174/'Total Duration Tables Sup #1'!$B174)</f>
        <v>4.0040136202292256E-2</v>
      </c>
    </row>
    <row r="10" spans="1:11" x14ac:dyDescent="0.2">
      <c r="A10" t="str">
        <f ca="1">OFFSET(Northland_Reference,35,2)</f>
        <v>Motorcyclist</v>
      </c>
      <c r="B10" s="4">
        <f ca="1">OFFSET(Northland_Reference,35,7)</f>
        <v>0.28382488960000002</v>
      </c>
      <c r="C10" s="4">
        <f ca="1">$B10*('Updated Population'!C$4/'Updated Population'!$B$4)*('Total Duration Tables Sup #1'!C175/'Total Duration Tables Sup #1'!$B175)</f>
        <v>0.30693025058848644</v>
      </c>
      <c r="D10" s="4">
        <f ca="1">$B10*('Updated Population'!D$4/'Updated Population'!$B$4)*('Total Duration Tables Sup #1'!D175/'Total Duration Tables Sup #1'!$B175)</f>
        <v>0.31949284285170387</v>
      </c>
      <c r="E10" s="4">
        <f ca="1">$B10*('Updated Population'!E$4/'Updated Population'!$B$4)*('Total Duration Tables Sup #1'!E175/'Total Duration Tables Sup #1'!$B175)</f>
        <v>0.32352855413321696</v>
      </c>
      <c r="F10" s="4">
        <f ca="1">$B10*('Updated Population'!F$4/'Updated Population'!$B$4)*('Total Duration Tables Sup #1'!F175/'Total Duration Tables Sup #1'!$B175)</f>
        <v>0.32582339540387217</v>
      </c>
      <c r="G10" s="4">
        <f ca="1">$B10*('Updated Population'!G$4/'Updated Population'!$B$4)*('Total Duration Tables Sup #1'!G175/'Total Duration Tables Sup #1'!$B175)</f>
        <v>0.32324717404035519</v>
      </c>
      <c r="H10" s="4">
        <f ca="1">$B10*('Updated Population'!H$4/'Updated Population'!$B$4)*('Total Duration Tables Sup #1'!H175/'Total Duration Tables Sup #1'!$B175)</f>
        <v>0.31877516051914606</v>
      </c>
      <c r="I10" s="1">
        <f ca="1">$B10*('Updated Population'!I$4/'Updated Population'!$B$4)*('Total Duration Tables Sup #1'!I175/'Total Duration Tables Sup #1'!$B175)</f>
        <v>0.32028707779755056</v>
      </c>
      <c r="J10" s="1">
        <f ca="1">$B10*('Updated Population'!J$4/'Updated Population'!$B$4)*('Total Duration Tables Sup #1'!J175/'Total Duration Tables Sup #1'!$B175)</f>
        <v>0.32078180146683266</v>
      </c>
      <c r="K10" s="1">
        <f ca="1">$B10*('Updated Population'!K$4/'Updated Population'!$B$4)*('Total Duration Tables Sup #1'!K175/'Total Duration Tables Sup #1'!$B175)</f>
        <v>0.32058684365502893</v>
      </c>
    </row>
    <row r="11" spans="1:11" x14ac:dyDescent="0.2">
      <c r="A11" t="str">
        <f ca="1">OFFSET(Auckland_Reference,42,2)</f>
        <v>Local Train</v>
      </c>
      <c r="B11" s="4">
        <v>0</v>
      </c>
      <c r="C11" s="4">
        <f ca="1">$B11*('Updated Population'!C$4/'Updated Population'!$B$4)*('Total Duration Tables Sup #1'!C176/'Total Duration Tables Sup #1'!$B176)</f>
        <v>0</v>
      </c>
      <c r="D11" s="4">
        <f ca="1">$B11*('Updated Population'!D$4/'Updated Population'!$B$4)*('Total Duration Tables Sup #1'!D176/'Total Duration Tables Sup #1'!$B176)</f>
        <v>0</v>
      </c>
      <c r="E11" s="4">
        <f ca="1">$B11*('Updated Population'!E$4/'Updated Population'!$B$4)*('Total Duration Tables Sup #1'!E176/'Total Duration Tables Sup #1'!$B176)</f>
        <v>0</v>
      </c>
      <c r="F11" s="4">
        <f ca="1">$B11*('Updated Population'!F$4/'Updated Population'!$B$4)*('Total Duration Tables Sup #1'!F176/'Total Duration Tables Sup #1'!$B176)</f>
        <v>0</v>
      </c>
      <c r="G11" s="4">
        <f ca="1">$B11*('Updated Population'!G$4/'Updated Population'!$B$4)*('Total Duration Tables Sup #1'!G176/'Total Duration Tables Sup #1'!$B176)</f>
        <v>0</v>
      </c>
      <c r="H11" s="4">
        <f ca="1">$B11*('Updated Population'!H$4/'Updated Population'!$B$4)*('Total Duration Tables Sup #1'!H176/'Total Duration Tables Sup #1'!$B176)</f>
        <v>0</v>
      </c>
      <c r="I11" s="1">
        <f ca="1">$B11*('Updated Population'!I$4/'Updated Population'!$B$4)*('Total Duration Tables Sup #1'!I176/'Total Duration Tables Sup #1'!$B176)</f>
        <v>0</v>
      </c>
      <c r="J11" s="1">
        <f ca="1">$B11*('Updated Population'!J$4/'Updated Population'!$B$4)*('Total Duration Tables Sup #1'!J176/'Total Duration Tables Sup #1'!$B176)</f>
        <v>0</v>
      </c>
      <c r="K11" s="1">
        <f ca="1">$B11*('Updated Population'!K$4/'Updated Population'!$B$4)*('Total Duration Tables Sup #1'!K176/'Total Duration Tables Sup #1'!$B176)</f>
        <v>0</v>
      </c>
    </row>
    <row r="12" spans="1:11" x14ac:dyDescent="0.2">
      <c r="A12" t="str">
        <f ca="1">OFFSET(Northland_Reference,42,2)</f>
        <v>Local Bus</v>
      </c>
      <c r="B12" s="4">
        <f ca="1">OFFSET(Northland_Reference,42,7)</f>
        <v>1.5691203781</v>
      </c>
      <c r="C12" s="4">
        <f ca="1">$B12*('Updated Population'!C$4/'Updated Population'!$B$4)*('Total Duration Tables Sup #1'!C177/'Total Duration Tables Sup #1'!$B177)</f>
        <v>1.546724806066315</v>
      </c>
      <c r="D12" s="4">
        <f ca="1">$B12*('Updated Population'!D$4/'Updated Population'!$B$4)*('Total Duration Tables Sup #1'!D177/'Total Duration Tables Sup #1'!$B177)</f>
        <v>1.5237999843822221</v>
      </c>
      <c r="E12" s="4">
        <f ca="1">$B12*('Updated Population'!E$4/'Updated Population'!$B$4)*('Total Duration Tables Sup #1'!E177/'Total Duration Tables Sup #1'!$B177)</f>
        <v>1.5062505238187678</v>
      </c>
      <c r="F12" s="4">
        <f ca="1">$B12*('Updated Population'!F$4/'Updated Population'!$B$4)*('Total Duration Tables Sup #1'!F177/'Total Duration Tables Sup #1'!$B177)</f>
        <v>1.4689302316108819</v>
      </c>
      <c r="G12" s="4">
        <f ca="1">$B12*('Updated Population'!G$4/'Updated Population'!$B$4)*('Total Duration Tables Sup #1'!G177/'Total Duration Tables Sup #1'!$B177)</f>
        <v>1.4408372888402374</v>
      </c>
      <c r="H12" s="4">
        <f ca="1">$B12*('Updated Population'!H$4/'Updated Population'!$B$4)*('Total Duration Tables Sup #1'!H177/'Total Duration Tables Sup #1'!$B177)</f>
        <v>1.4050435572762596</v>
      </c>
      <c r="I12" s="1">
        <f ca="1">$B12*('Updated Population'!I$4/'Updated Population'!$B$4)*('Total Duration Tables Sup #1'!I177/'Total Duration Tables Sup #1'!$B177)</f>
        <v>1.4117075320592929</v>
      </c>
      <c r="J12" s="1">
        <f ca="1">$B12*('Updated Population'!J$4/'Updated Population'!$B$4)*('Total Duration Tables Sup #1'!J177/'Total Duration Tables Sup #1'!$B177)</f>
        <v>1.4138880918714964</v>
      </c>
      <c r="K12" s="1">
        <f ca="1">$B12*('Updated Population'!K$4/'Updated Population'!$B$4)*('Total Duration Tables Sup #1'!K177/'Total Duration Tables Sup #1'!$B177)</f>
        <v>1.4130287896066356</v>
      </c>
    </row>
    <row r="13" spans="1:11" x14ac:dyDescent="0.2">
      <c r="A13" t="str">
        <f ca="1">OFFSET(Northland_Reference,49,2)</f>
        <v>Local Ferry</v>
      </c>
      <c r="B13" s="4">
        <f ca="1">OFFSET(Northland_Reference,49,7)</f>
        <v>1.43058123E-2</v>
      </c>
      <c r="C13" s="4">
        <f ca="1">$B13*('Updated Population'!C$4/'Updated Population'!$B$4)*('Total Duration Tables Sup #1'!C178/'Total Duration Tables Sup #1'!$B178)</f>
        <v>1.651925575795728E-2</v>
      </c>
      <c r="D13" s="4">
        <f ca="1">$B13*('Updated Population'!D$4/'Updated Population'!$B$4)*('Total Duration Tables Sup #1'!D178/'Total Duration Tables Sup #1'!$B178)</f>
        <v>1.8098632491427884E-2</v>
      </c>
      <c r="E13" s="4">
        <f ca="1">$B13*('Updated Population'!E$4/'Updated Population'!$B$4)*('Total Duration Tables Sup #1'!E178/'Total Duration Tables Sup #1'!$B178)</f>
        <v>1.9254411304795049E-2</v>
      </c>
      <c r="F13" s="4">
        <f ca="1">$B13*('Updated Population'!F$4/'Updated Population'!$B$4)*('Total Duration Tables Sup #1'!F178/'Total Duration Tables Sup #1'!$B178)</f>
        <v>2.0214892996017097E-2</v>
      </c>
      <c r="G13" s="4">
        <f ca="1">$B13*('Updated Population'!G$4/'Updated Population'!$B$4)*('Total Duration Tables Sup #1'!G178/'Total Duration Tables Sup #1'!$B178)</f>
        <v>2.1524177419075242E-2</v>
      </c>
      <c r="H13" s="4">
        <f ca="1">$B13*('Updated Population'!H$4/'Updated Population'!$B$4)*('Total Duration Tables Sup #1'!H178/'Total Duration Tables Sup #1'!$B178)</f>
        <v>2.2701606606862174E-2</v>
      </c>
      <c r="I13" s="1">
        <f ca="1">$B13*('Updated Population'!I$4/'Updated Population'!$B$4)*('Total Duration Tables Sup #1'!I178/'Total Duration Tables Sup #1'!$B178)</f>
        <v>2.2809277954970227E-2</v>
      </c>
      <c r="J13" s="1">
        <f ca="1">$B13*('Updated Population'!J$4/'Updated Population'!$B$4)*('Total Duration Tables Sup #1'!J178/'Total Duration Tables Sup #1'!$B178)</f>
        <v>2.2844509753146891E-2</v>
      </c>
      <c r="K13" s="1">
        <f ca="1">$B13*('Updated Population'!K$4/'Updated Population'!$B$4)*('Total Duration Tables Sup #1'!K178/'Total Duration Tables Sup #1'!$B178)</f>
        <v>2.2830625812060346E-2</v>
      </c>
    </row>
    <row r="14" spans="1:11" x14ac:dyDescent="0.2">
      <c r="A14" t="str">
        <f ca="1">OFFSET(Northland_Reference,56,2)</f>
        <v>Other Household Travel</v>
      </c>
      <c r="B14" s="4">
        <f ca="1">OFFSET(Northland_Reference,56,7)</f>
        <v>0</v>
      </c>
      <c r="C14" s="4">
        <f ca="1">$B14*('Updated Population'!C$4/'Updated Population'!$B$4)*('Total Duration Tables Sup #1'!C179/'Total Duration Tables Sup #1'!$B179)</f>
        <v>0</v>
      </c>
      <c r="D14" s="4">
        <f ca="1">$B14*('Updated Population'!D$4/'Updated Population'!$B$4)*('Total Duration Tables Sup #1'!D179/'Total Duration Tables Sup #1'!$B179)</f>
        <v>0</v>
      </c>
      <c r="E14" s="4">
        <f ca="1">$B14*('Updated Population'!E$4/'Updated Population'!$B$4)*('Total Duration Tables Sup #1'!E179/'Total Duration Tables Sup #1'!$B179)</f>
        <v>0</v>
      </c>
      <c r="F14" s="4">
        <f ca="1">$B14*('Updated Population'!F$4/'Updated Population'!$B$4)*('Total Duration Tables Sup #1'!F179/'Total Duration Tables Sup #1'!$B179)</f>
        <v>0</v>
      </c>
      <c r="G14" s="4">
        <f ca="1">$B14*('Updated Population'!G$4/'Updated Population'!$B$4)*('Total Duration Tables Sup #1'!G179/'Total Duration Tables Sup #1'!$B179)</f>
        <v>0</v>
      </c>
      <c r="H14" s="4">
        <f ca="1">$B14*('Updated Population'!H$4/'Updated Population'!$B$4)*('Total Duration Tables Sup #1'!H179/'Total Duration Tables Sup #1'!$B179)</f>
        <v>0</v>
      </c>
      <c r="I14" s="1">
        <f ca="1">$B14*('Updated Population'!I$4/'Updated Population'!$B$4)*('Total Duration Tables Sup #1'!I179/'Total Duration Tables Sup #1'!$B179)</f>
        <v>0</v>
      </c>
      <c r="J14" s="1">
        <f ca="1">$B14*('Updated Population'!J$4/'Updated Population'!$B$4)*('Total Duration Tables Sup #1'!J179/'Total Duration Tables Sup #1'!$B179)</f>
        <v>0</v>
      </c>
      <c r="K14" s="1">
        <f ca="1">$B14*('Updated Population'!K$4/'Updated Population'!$B$4)*('Total Duration Tables Sup #1'!K179/'Total Duration Tables Sup #1'!$B179)</f>
        <v>0</v>
      </c>
    </row>
    <row r="15" spans="1:11" x14ac:dyDescent="0.2">
      <c r="A15" t="str">
        <f ca="1">OFFSET(Auckland_Reference,0,0)</f>
        <v>02 AUCKLAND</v>
      </c>
      <c r="I15" s="1"/>
      <c r="J15" s="1"/>
      <c r="K15" s="1"/>
    </row>
    <row r="16" spans="1:11" x14ac:dyDescent="0.2">
      <c r="A16" t="str">
        <f ca="1">OFFSET(Auckland_Reference,0,2)</f>
        <v>Pedestrian</v>
      </c>
      <c r="B16" s="4">
        <f ca="1">OFFSET(Auckland_Reference,0,7)</f>
        <v>73.381071999</v>
      </c>
      <c r="C16" s="4">
        <f ca="1">$B16*('Updated Population'!C$15/'Updated Population'!$B$15)*('Total Duration Tables Sup #1'!C170/'Total Duration Tables Sup #1'!$B170)</f>
        <v>82.952168952520964</v>
      </c>
      <c r="D16" s="4">
        <f ca="1">$B16*('Updated Population'!D$15/'Updated Population'!$B$15)*('Total Duration Tables Sup #1'!D170/'Total Duration Tables Sup #1'!$B170)</f>
        <v>90.003514334117995</v>
      </c>
      <c r="E16" s="4">
        <f ca="1">$B16*('Updated Population'!E$15/'Updated Population'!$B$15)*('Total Duration Tables Sup #1'!E170/'Total Duration Tables Sup #1'!$B170)</f>
        <v>95.502387488841308</v>
      </c>
      <c r="F16" s="4">
        <f ca="1">$B16*('Updated Population'!F$15/'Updated Population'!$B$15)*('Total Duration Tables Sup #1'!F170/'Total Duration Tables Sup #1'!$B170)</f>
        <v>100.08993297983017</v>
      </c>
      <c r="G16" s="4">
        <f ca="1">$B16*('Updated Population'!G$15/'Updated Population'!$B$15)*('Total Duration Tables Sup #1'!G170/'Total Duration Tables Sup #1'!$B170)</f>
        <v>104.28116474078567</v>
      </c>
      <c r="H16" s="4">
        <f ca="1">$B16*('Updated Population'!H$15/'Updated Population'!$B$15)*('Total Duration Tables Sup #1'!H170/'Total Duration Tables Sup #1'!$B170)</f>
        <v>108.00732852784239</v>
      </c>
      <c r="I16" s="1">
        <f ca="1">$B16*('Updated Population'!I$15/'Updated Population'!$B$15)*('Total Duration Tables Sup #1'!I170/'Total Duration Tables Sup #1'!$B170)</f>
        <v>112.64898414412279</v>
      </c>
      <c r="J16" s="1">
        <f ca="1">$B16*('Updated Population'!J$15/'Updated Population'!$B$15)*('Total Duration Tables Sup #1'!J170/'Total Duration Tables Sup #1'!$B170)</f>
        <v>117.1161253730583</v>
      </c>
      <c r="K16" s="1">
        <f ca="1">$B16*('Updated Population'!K$15/'Updated Population'!$B$15)*('Total Duration Tables Sup #1'!K170/'Total Duration Tables Sup #1'!$B170)</f>
        <v>121.49874191109068</v>
      </c>
    </row>
    <row r="17" spans="1:11" x14ac:dyDescent="0.2">
      <c r="A17" t="str">
        <f ca="1">OFFSET(Auckland_Reference,7,2)</f>
        <v>Cyclist</v>
      </c>
      <c r="B17" s="4">
        <f ca="1">OFFSET(Auckland_Reference,7,7)</f>
        <v>4.3659429593999999</v>
      </c>
      <c r="C17" s="4">
        <f ca="1">$B17*('Updated Population'!C$15/'Updated Population'!$B$15)*('Total Duration Tables Sup #1'!C171/'Total Duration Tables Sup #1'!$B171)</f>
        <v>5.0293261071225421</v>
      </c>
      <c r="D17" s="4">
        <f ca="1">$B17*('Updated Population'!D$15/'Updated Population'!$B$15)*('Total Duration Tables Sup #1'!D171/'Total Duration Tables Sup #1'!$B171)</f>
        <v>5.4790421447829374</v>
      </c>
      <c r="E17" s="4">
        <f ca="1">$B17*('Updated Population'!E$15/'Updated Population'!$B$15)*('Total Duration Tables Sup #1'!E171/'Total Duration Tables Sup #1'!$B171)</f>
        <v>5.7700401924740223</v>
      </c>
      <c r="F17" s="4">
        <f ca="1">$B17*('Updated Population'!F$15/'Updated Population'!$B$15)*('Total Duration Tables Sup #1'!F171/'Total Duration Tables Sup #1'!$B171)</f>
        <v>6.096906998182166</v>
      </c>
      <c r="G17" s="4">
        <f ca="1">$B17*('Updated Population'!G$15/'Updated Population'!$B$15)*('Total Duration Tables Sup #1'!G171/'Total Duration Tables Sup #1'!$B171)</f>
        <v>6.4806107666312416</v>
      </c>
      <c r="H17" s="4">
        <f ca="1">$B17*('Updated Population'!H$15/'Updated Population'!$B$15)*('Total Duration Tables Sup #1'!H171/'Total Duration Tables Sup #1'!$B171)</f>
        <v>6.8635725010663808</v>
      </c>
      <c r="I17" s="1">
        <f ca="1">$B17*('Updated Population'!I$15/'Updated Population'!$B$15)*('Total Duration Tables Sup #1'!I171/'Total Duration Tables Sup #1'!$B171)</f>
        <v>7.1585371139454974</v>
      </c>
      <c r="J17" s="1">
        <f ca="1">$B17*('Updated Population'!J$15/'Updated Population'!$B$15)*('Total Duration Tables Sup #1'!J171/'Total Duration Tables Sup #1'!$B171)</f>
        <v>7.4424118112943702</v>
      </c>
      <c r="K17" s="1">
        <f ca="1">$B17*('Updated Population'!K$15/'Updated Population'!$B$15)*('Total Duration Tables Sup #1'!K171/'Total Duration Tables Sup #1'!$B171)</f>
        <v>7.7209151940106979</v>
      </c>
    </row>
    <row r="18" spans="1:11" x14ac:dyDescent="0.2">
      <c r="A18" t="str">
        <f ca="1">OFFSET(Auckland_Reference,14,2)</f>
        <v>Light Vehicle Driver</v>
      </c>
      <c r="B18" s="4">
        <f ca="1">OFFSET(Auckland_Reference,14,7)</f>
        <v>295.36669345000001</v>
      </c>
      <c r="C18" s="4">
        <f ca="1">$B18*('Updated Population'!C$15/'Updated Population'!$B$15)*('Total Duration Tables Sup #1'!C172/'Total Duration Tables Sup #1'!$B172)</f>
        <v>346.3623277680374</v>
      </c>
      <c r="D18" s="4">
        <f ca="1">$B18*('Updated Population'!D$15/'Updated Population'!$B$15)*('Total Duration Tables Sup #1'!D172/'Total Duration Tables Sup #1'!$B172)</f>
        <v>384.0350249793554</v>
      </c>
      <c r="E18" s="4">
        <f ca="1">$B18*('Updated Population'!E$15/'Updated Population'!$B$15)*('Total Duration Tables Sup #1'!E172/'Total Duration Tables Sup #1'!$B172)</f>
        <v>411.74004735855419</v>
      </c>
      <c r="F18" s="4">
        <f ca="1">$B18*('Updated Population'!F$15/'Updated Population'!$B$15)*('Total Duration Tables Sup #1'!F172/'Total Duration Tables Sup #1'!$B172)</f>
        <v>438.42407942906272</v>
      </c>
      <c r="G18" s="4">
        <f ca="1">$B18*('Updated Population'!G$15/'Updated Population'!$B$15)*('Total Duration Tables Sup #1'!G172/'Total Duration Tables Sup #1'!$B172)</f>
        <v>461.64266057706573</v>
      </c>
      <c r="H18" s="4">
        <f ca="1">$B18*('Updated Population'!H$15/'Updated Population'!$B$15)*('Total Duration Tables Sup #1'!H172/'Total Duration Tables Sup #1'!$B172)</f>
        <v>483.43651070154391</v>
      </c>
      <c r="I18" s="1">
        <f ca="1">$B18*('Updated Population'!I$15/'Updated Population'!$B$15)*('Total Duration Tables Sup #1'!I172/'Total Duration Tables Sup #1'!$B172)</f>
        <v>504.21237679876316</v>
      </c>
      <c r="J18" s="1">
        <f ca="1">$B18*('Updated Population'!J$15/'Updated Population'!$B$15)*('Total Duration Tables Sup #1'!J172/'Total Duration Tables Sup #1'!$B172)</f>
        <v>524.20712343274636</v>
      </c>
      <c r="K18" s="1">
        <f ca="1">$B18*('Updated Population'!K$15/'Updated Population'!$B$15)*('Total Duration Tables Sup #1'!K172/'Total Duration Tables Sup #1'!$B172)</f>
        <v>543.82354090892795</v>
      </c>
    </row>
    <row r="19" spans="1:11" x14ac:dyDescent="0.2">
      <c r="A19" t="str">
        <f ca="1">OFFSET(Auckland_Reference,21,2)</f>
        <v>Light Vehicle Passenger</v>
      </c>
      <c r="B19" s="4">
        <f ca="1">OFFSET(Auckland_Reference,21,7)</f>
        <v>145.42645436999999</v>
      </c>
      <c r="C19" s="4">
        <f ca="1">$B19*('Updated Population'!C$15/'Updated Population'!$B$15)*('Total Duration Tables Sup #1'!C173/'Total Duration Tables Sup #1'!$B173)</f>
        <v>162.72191280280759</v>
      </c>
      <c r="D19" s="4">
        <f ca="1">$B19*('Updated Population'!D$15/'Updated Population'!$B$15)*('Total Duration Tables Sup #1'!D173/'Total Duration Tables Sup #1'!$B173)</f>
        <v>175.61487815386073</v>
      </c>
      <c r="E19" s="4">
        <f ca="1">$B19*('Updated Population'!E$15/'Updated Population'!$B$15)*('Total Duration Tables Sup #1'!E173/'Total Duration Tables Sup #1'!$B173)</f>
        <v>185.23657797092048</v>
      </c>
      <c r="F19" s="4">
        <f ca="1">$B19*('Updated Population'!F$15/'Updated Population'!$B$15)*('Total Duration Tables Sup #1'!F173/'Total Duration Tables Sup #1'!$B173)</f>
        <v>193.8207479446109</v>
      </c>
      <c r="G19" s="4">
        <f ca="1">$B19*('Updated Population'!G$15/'Updated Population'!$B$15)*('Total Duration Tables Sup #1'!G173/'Total Duration Tables Sup #1'!$B173)</f>
        <v>201.3865047939519</v>
      </c>
      <c r="H19" s="4">
        <f ca="1">$B19*('Updated Population'!H$15/'Updated Population'!$B$15)*('Total Duration Tables Sup #1'!H173/'Total Duration Tables Sup #1'!$B173)</f>
        <v>207.90090043059016</v>
      </c>
      <c r="I19" s="1">
        <f ca="1">$B19*('Updated Population'!I$15/'Updated Population'!$B$15)*('Total Duration Tables Sup #1'!I173/'Total Duration Tables Sup #1'!$B173)</f>
        <v>216.83551991675441</v>
      </c>
      <c r="J19" s="1">
        <f ca="1">$B19*('Updated Population'!J$15/'Updated Population'!$B$15)*('Total Duration Tables Sup #1'!J173/'Total Duration Tables Sup #1'!$B173)</f>
        <v>225.43422054665561</v>
      </c>
      <c r="K19" s="1">
        <f ca="1">$B19*('Updated Population'!K$15/'Updated Population'!$B$15)*('Total Duration Tables Sup #1'!K173/'Total Duration Tables Sup #1'!$B173)</f>
        <v>233.87022148212964</v>
      </c>
    </row>
    <row r="20" spans="1:11" x14ac:dyDescent="0.2">
      <c r="A20" t="str">
        <f ca="1">OFFSET(Auckland_Reference,28,2)</f>
        <v>Taxi/Vehicle Share</v>
      </c>
      <c r="B20" s="4">
        <f ca="1">OFFSET(Auckland_Reference,28,7)</f>
        <v>1.9131795197999999</v>
      </c>
      <c r="C20" s="4">
        <f ca="1">$B20*('Updated Population'!C$15/'Updated Population'!$B$15)*('Total Duration Tables Sup #1'!C174/'Total Duration Tables Sup #1'!$B174)</f>
        <v>2.337174118233289</v>
      </c>
      <c r="D20" s="4">
        <f ca="1">$B20*('Updated Population'!D$15/'Updated Population'!$B$15)*('Total Duration Tables Sup #1'!D174/'Total Duration Tables Sup #1'!$B174)</f>
        <v>2.7071208887649383</v>
      </c>
      <c r="E20" s="4">
        <f ca="1">$B20*('Updated Population'!E$15/'Updated Population'!$B$15)*('Total Duration Tables Sup #1'!E174/'Total Duration Tables Sup #1'!$B174)</f>
        <v>3.049512884005821</v>
      </c>
      <c r="F20" s="4">
        <f ca="1">$B20*('Updated Population'!F$15/'Updated Population'!$B$15)*('Total Duration Tables Sup #1'!F174/'Total Duration Tables Sup #1'!$B174)</f>
        <v>3.3792663975171036</v>
      </c>
      <c r="G20" s="4">
        <f ca="1">$B20*('Updated Population'!G$15/'Updated Population'!$B$15)*('Total Duration Tables Sup #1'!G174/'Total Duration Tables Sup #1'!$B174)</f>
        <v>3.6674837034562038</v>
      </c>
      <c r="H20" s="4">
        <f ca="1">$B20*('Updated Population'!H$15/'Updated Population'!$B$15)*('Total Duration Tables Sup #1'!H174/'Total Duration Tables Sup #1'!$B174)</f>
        <v>3.9535951512135581</v>
      </c>
      <c r="I20" s="1">
        <f ca="1">$B20*('Updated Population'!I$15/'Updated Population'!$B$15)*('Total Duration Tables Sup #1'!I174/'Total Duration Tables Sup #1'!$B174)</f>
        <v>4.1235023916597351</v>
      </c>
      <c r="J20" s="1">
        <f ca="1">$B20*('Updated Population'!J$15/'Updated Population'!$B$15)*('Total Duration Tables Sup #1'!J174/'Total Duration Tables Sup #1'!$B174)</f>
        <v>4.287021554139093</v>
      </c>
      <c r="K20" s="1">
        <f ca="1">$B20*('Updated Population'!K$15/'Updated Population'!$B$15)*('Total Duration Tables Sup #1'!K174/'Total Duration Tables Sup #1'!$B174)</f>
        <v>4.4474467005672507</v>
      </c>
    </row>
    <row r="21" spans="1:11" x14ac:dyDescent="0.2">
      <c r="A21" t="str">
        <f ca="1">OFFSET(Auckland_Reference,35,2)</f>
        <v>Motorcyclist</v>
      </c>
      <c r="B21" s="4">
        <f ca="1">OFFSET(Auckland_Reference,35,7)</f>
        <v>1.5334409518000001</v>
      </c>
      <c r="C21" s="4">
        <f ca="1">$B21*('Updated Population'!C$15/'Updated Population'!$B$15)*('Total Duration Tables Sup #1'!C175/'Total Duration Tables Sup #1'!$B175)</f>
        <v>1.7656145922170261</v>
      </c>
      <c r="D21" s="4">
        <f ca="1">$B21*('Updated Population'!D$15/'Updated Population'!$B$15)*('Total Duration Tables Sup #1'!D175/'Total Duration Tables Sup #1'!$B175)</f>
        <v>1.9312581771968185</v>
      </c>
      <c r="E21" s="4">
        <f ca="1">$B21*('Updated Population'!E$15/'Updated Population'!$B$15)*('Total Duration Tables Sup #1'!E175/'Total Duration Tables Sup #1'!$B175)</f>
        <v>2.0344078631182194</v>
      </c>
      <c r="F21" s="4">
        <f ca="1">$B21*('Updated Population'!F$15/'Updated Population'!$B$15)*('Total Duration Tables Sup #1'!F175/'Total Duration Tables Sup #1'!$B175)</f>
        <v>2.13028467317841</v>
      </c>
      <c r="G21" s="4">
        <f ca="1">$B21*('Updated Population'!G$15/'Updated Population'!$B$15)*('Total Duration Tables Sup #1'!G175/'Total Duration Tables Sup #1'!$B175)</f>
        <v>2.1945754393846788</v>
      </c>
      <c r="H21" s="4">
        <f ca="1">$B21*('Updated Population'!H$15/'Updated Population'!$B$15)*('Total Duration Tables Sup #1'!H175/'Total Duration Tables Sup #1'!$B175)</f>
        <v>2.2465669325139674</v>
      </c>
      <c r="I21" s="1">
        <f ca="1">$B21*('Updated Population'!I$15/'Updated Population'!$B$15)*('Total Duration Tables Sup #1'!I175/'Total Duration Tables Sup #1'!$B175)</f>
        <v>2.3431139924383801</v>
      </c>
      <c r="J21" s="1">
        <f ca="1">$B21*('Updated Population'!J$15/'Updated Population'!$B$15)*('Total Duration Tables Sup #1'!J175/'Total Duration Tables Sup #1'!$B175)</f>
        <v>2.4360311296788337</v>
      </c>
      <c r="K21" s="1">
        <f ca="1">$B21*('Updated Population'!K$15/'Updated Population'!$B$15)*('Total Duration Tables Sup #1'!K175/'Total Duration Tables Sup #1'!$B175)</f>
        <v>2.5271901420017273</v>
      </c>
    </row>
    <row r="22" spans="1:11" x14ac:dyDescent="0.2">
      <c r="A22" t="str">
        <f ca="1">OFFSET(Auckland_Reference,42,2)</f>
        <v>Local Train</v>
      </c>
      <c r="B22" s="4">
        <f ca="1">OFFSET(Auckland_Reference,42,7)</f>
        <v>4.2843438359999997</v>
      </c>
      <c r="C22" s="4">
        <f ca="1">OFFSET(Auckland_Reference,43,7)</f>
        <v>4.8988979616000004</v>
      </c>
      <c r="D22" s="4">
        <f ca="1">OFFSET(Auckland_Reference,44,7)</f>
        <v>5.3217289628</v>
      </c>
      <c r="E22" s="4">
        <f ca="1">OFFSET(Auckland_Reference,45,7)</f>
        <v>5.7082717365000004</v>
      </c>
      <c r="F22" s="4">
        <f ca="1">OFFSET(Auckland_Reference,46,7)</f>
        <v>6.0546913252000003</v>
      </c>
      <c r="G22" s="4">
        <f ca="1">OFFSET(Auckland_Reference,47,7)</f>
        <v>6.3408358907000002</v>
      </c>
      <c r="H22" s="4">
        <f ca="1">OFFSET(Auckland_Reference,48,7)</f>
        <v>6.5868740203999998</v>
      </c>
      <c r="I22" s="1">
        <f ca="1">OFFSET(Auckland_Reference,48,7)*('Updated Population'!I15/'Updated Population'!H15)</f>
        <v>6.8699474118749091</v>
      </c>
      <c r="J22" s="1">
        <f ca="1">OFFSET(Auckland_Reference,48,7)*('Updated Population'!J15/'Updated Population'!H15)</f>
        <v>7.1423779673510399</v>
      </c>
      <c r="K22" s="1">
        <f ca="1">OFFSET(Auckland_Reference,48,7)*('Updated Population'!K15/'Updated Population'!H15)</f>
        <v>7.4096537477005144</v>
      </c>
    </row>
    <row r="23" spans="1:11" x14ac:dyDescent="0.2">
      <c r="A23" t="str">
        <f ca="1">OFFSET(Auckland_Reference,49,2)</f>
        <v>Local Bus</v>
      </c>
      <c r="B23" s="4">
        <f ca="1">OFFSET(Auckland_Reference,49,7)</f>
        <v>22.622672496</v>
      </c>
      <c r="C23" s="4">
        <f ca="1">OFFSET(Auckland_Reference,50,7)</f>
        <v>24.897863955999998</v>
      </c>
      <c r="D23" s="4">
        <f ca="1">OFFSET(Auckland_Reference,51,7)</f>
        <v>26.164405055</v>
      </c>
      <c r="E23" s="4">
        <f ca="1">OFFSET(Auckland_Reference,52,7)</f>
        <v>27.685138536</v>
      </c>
      <c r="F23" s="4">
        <f ca="1">OFFSET(Auckland_Reference,53,7)</f>
        <v>28.743872939999999</v>
      </c>
      <c r="G23" s="4">
        <f ca="1">OFFSET(Auckland_Reference,54,7)</f>
        <v>29.797348301</v>
      </c>
      <c r="H23" s="4">
        <f ca="1">OFFSET(Auckland_Reference,55,7)</f>
        <v>30.673427348000001</v>
      </c>
      <c r="I23" s="1">
        <f ca="1">OFFSET(Auckland_Reference,55,7)*('Updated Population'!I15/'Updated Population'!H15)</f>
        <v>31.991629439108205</v>
      </c>
      <c r="J23" s="1">
        <f ca="1">OFFSET(Auckland_Reference,55,7)*('Updated Population'!J15/'Updated Population'!H15)</f>
        <v>33.260270500845856</v>
      </c>
      <c r="K23" s="1">
        <f ca="1">OFFSET(Auckland_Reference,55,7)*('Updated Population'!K15/'Updated Population'!H15)</f>
        <v>34.504907062140184</v>
      </c>
    </row>
    <row r="24" spans="1:11" x14ac:dyDescent="0.2">
      <c r="A24" t="str">
        <f ca="1">OFFSET(Auckland_Reference,56,2)</f>
        <v>Local Ferry</v>
      </c>
      <c r="B24" s="4">
        <f ca="1">OFFSET(Auckland_Reference,56,7)</f>
        <v>1.2124045342000001</v>
      </c>
      <c r="C24" s="4">
        <f ca="1">$B24*('Updated Population'!C$15/'Updated Population'!$B$15)*('Total Duration Tables Sup #1'!C178/'Total Duration Tables Sup #1'!$B178)</f>
        <v>1.4906138162647247</v>
      </c>
      <c r="D24" s="4">
        <f ca="1">$B24*('Updated Population'!D$15/'Updated Population'!$B$15)*('Total Duration Tables Sup #1'!D178/'Total Duration Tables Sup #1'!$B178)</f>
        <v>1.7161032467500426</v>
      </c>
      <c r="E24" s="4">
        <f ca="1">$B24*('Updated Population'!E$15/'Updated Population'!$B$15)*('Total Duration Tables Sup #1'!E178/'Total Duration Tables Sup #1'!$B178)</f>
        <v>1.899214876060211</v>
      </c>
      <c r="F24" s="4">
        <f ca="1">$B24*('Updated Population'!F$15/'Updated Population'!$B$15)*('Total Duration Tables Sup #1'!F178/'Total Duration Tables Sup #1'!$B178)</f>
        <v>2.0732194477622379</v>
      </c>
      <c r="G24" s="4">
        <f ca="1">$B24*('Updated Population'!G$15/'Updated Population'!$B$15)*('Total Duration Tables Sup #1'!G178/'Total Duration Tables Sup #1'!$B178)</f>
        <v>2.2922437144692021</v>
      </c>
      <c r="H24" s="4">
        <f ca="1">$B24*('Updated Population'!H$15/'Updated Population'!$B$15)*('Total Duration Tables Sup #1'!H178/'Total Duration Tables Sup #1'!$B178)</f>
        <v>2.5096313581313678</v>
      </c>
      <c r="I24" s="1">
        <f ca="1">$B24*('Updated Population'!I$15/'Updated Population'!$B$15)*('Total Duration Tables Sup #1'!I178/'Total Duration Tables Sup #1'!$B178)</f>
        <v>2.6174837108100197</v>
      </c>
      <c r="J24" s="1">
        <f ca="1">$B24*('Updated Population'!J$15/'Updated Population'!$B$15)*('Total Duration Tables Sup #1'!J178/'Total Duration Tables Sup #1'!$B178)</f>
        <v>2.7212810906928864</v>
      </c>
      <c r="K24" s="1">
        <f ca="1">$B24*('Updated Population'!K$15/'Updated Population'!$B$15)*('Total Duration Tables Sup #1'!K178/'Total Duration Tables Sup #1'!$B178)</f>
        <v>2.823114475930963</v>
      </c>
    </row>
    <row r="25" spans="1:11" x14ac:dyDescent="0.2">
      <c r="A25" t="str">
        <f ca="1">OFFSET(Auckland_Reference,63,2)</f>
        <v>Other Household Travel</v>
      </c>
      <c r="B25" s="4">
        <f ca="1">OFFSET(Auckland_Reference,63,7)</f>
        <v>2.4325058500000001</v>
      </c>
      <c r="C25" s="4">
        <f ca="1">$B25*('Updated Population'!C$15/'Updated Population'!$B$15)*('Total Duration Tables Sup #1'!C179/'Total Duration Tables Sup #1'!$B179)</f>
        <v>2.8500270312450304</v>
      </c>
      <c r="D25" s="4">
        <f ca="1">$B25*('Updated Population'!D$15/'Updated Population'!$B$15)*('Total Duration Tables Sup #1'!D179/'Total Duration Tables Sup #1'!$B179)</f>
        <v>3.186882300828016</v>
      </c>
      <c r="E25" s="4">
        <f ca="1">$B25*('Updated Population'!E$15/'Updated Population'!$B$15)*('Total Duration Tables Sup #1'!E179/'Total Duration Tables Sup #1'!$B179)</f>
        <v>3.4241931495463609</v>
      </c>
      <c r="F25" s="4">
        <f ca="1">$B25*('Updated Population'!F$15/'Updated Population'!$B$15)*('Total Duration Tables Sup #1'!F179/'Total Duration Tables Sup #1'!$B179)</f>
        <v>3.6495869038633169</v>
      </c>
      <c r="G25" s="4">
        <f ca="1">$B25*('Updated Population'!G$15/'Updated Population'!$B$15)*('Total Duration Tables Sup #1'!G179/'Total Duration Tables Sup #1'!$B179)</f>
        <v>3.9059316795003545</v>
      </c>
      <c r="H25" s="4">
        <f ca="1">$B25*('Updated Population'!H$15/'Updated Population'!$B$15)*('Total Duration Tables Sup #1'!H179/'Total Duration Tables Sup #1'!$B179)</f>
        <v>4.1514120046334639</v>
      </c>
      <c r="I25" s="1">
        <f ca="1">$B25*('Updated Population'!I$15/'Updated Population'!$B$15)*('Total Duration Tables Sup #1'!I179/'Total Duration Tables Sup #1'!$B179)</f>
        <v>4.329820498848127</v>
      </c>
      <c r="J25" s="1">
        <f ca="1">$B25*('Updated Population'!J$15/'Updated Population'!$B$15)*('Total Duration Tables Sup #1'!J179/'Total Duration Tables Sup #1'!$B179)</f>
        <v>4.5015212896830326</v>
      </c>
      <c r="K25" s="1">
        <f ca="1">$B25*('Updated Population'!K$15/'Updated Population'!$B$15)*('Total Duration Tables Sup #1'!K179/'Total Duration Tables Sup #1'!$B179)</f>
        <v>4.6699732563752994</v>
      </c>
    </row>
    <row r="26" spans="1:11" x14ac:dyDescent="0.2">
      <c r="A26" t="str">
        <f ca="1">OFFSET(Waikato_Reference,0,0)</f>
        <v>03 WAIKATO</v>
      </c>
      <c r="I26" s="1"/>
      <c r="J26" s="1"/>
      <c r="K26" s="1"/>
    </row>
    <row r="27" spans="1:11" x14ac:dyDescent="0.2">
      <c r="A27" t="str">
        <f ca="1">OFFSET(Waikato_Reference,0,2)</f>
        <v>Pedestrian</v>
      </c>
      <c r="B27" s="4">
        <f ca="1">OFFSET(Waikato_Reference,0,7)</f>
        <v>13.69170819</v>
      </c>
      <c r="C27" s="4">
        <f ca="1">$B27*('Updated Population'!C$26/'Updated Population'!$B$26)*('Total Duration Tables Sup #1'!C170/'Total Duration Tables Sup #1'!$B170)</f>
        <v>14.959558630592175</v>
      </c>
      <c r="D27" s="4">
        <f ca="1">$B27*('Updated Population'!D$26/'Updated Population'!$B$26)*('Total Duration Tables Sup #1'!D170/'Total Duration Tables Sup #1'!$B170)</f>
        <v>15.675042579128229</v>
      </c>
      <c r="E27" s="4">
        <f ca="1">$B27*('Updated Population'!E$26/'Updated Population'!$B$26)*('Total Duration Tables Sup #1'!E170/'Total Duration Tables Sup #1'!$B170)</f>
        <v>16.203942183049882</v>
      </c>
      <c r="F27" s="4">
        <f ca="1">$B27*('Updated Population'!F$26/'Updated Population'!$B$26)*('Total Duration Tables Sup #1'!F170/'Total Duration Tables Sup #1'!$B170)</f>
        <v>16.574302753713521</v>
      </c>
      <c r="G27" s="4">
        <f ca="1">$B27*('Updated Population'!G$26/'Updated Population'!$B$26)*('Total Duration Tables Sup #1'!G170/'Total Duration Tables Sup #1'!$B170)</f>
        <v>16.885472959257019</v>
      </c>
      <c r="H27" s="4">
        <f ca="1">$B27*('Updated Population'!H$26/'Updated Population'!$B$26)*('Total Duration Tables Sup #1'!H170/'Total Duration Tables Sup #1'!$B170)</f>
        <v>17.125029653520848</v>
      </c>
      <c r="I27" s="1">
        <f ca="1">$B27*('Updated Population'!I$26/'Updated Population'!$B$26)*('Total Duration Tables Sup #1'!I170/'Total Duration Tables Sup #1'!$B170)</f>
        <v>17.489449469939828</v>
      </c>
      <c r="J27" s="1">
        <f ca="1">$B27*('Updated Population'!J$26/'Updated Population'!$B$26)*('Total Duration Tables Sup #1'!J170/'Total Duration Tables Sup #1'!$B170)</f>
        <v>17.804767495499043</v>
      </c>
      <c r="K27" s="1">
        <f ca="1">$B27*('Updated Population'!K$26/'Updated Population'!$B$26)*('Total Duration Tables Sup #1'!K170/'Total Duration Tables Sup #1'!$B170)</f>
        <v>18.08681695187466</v>
      </c>
    </row>
    <row r="28" spans="1:11" x14ac:dyDescent="0.2">
      <c r="A28" t="str">
        <f ca="1">OFFSET(Waikato_Reference,7,2)</f>
        <v>Cyclist</v>
      </c>
      <c r="B28" s="4">
        <f ca="1">OFFSET(Waikato_Reference,7,7)</f>
        <v>1.7805943500000001</v>
      </c>
      <c r="C28" s="4">
        <f ca="1">$B28*('Updated Population'!C$26/'Updated Population'!$B$26)*('Total Duration Tables Sup #1'!C171/'Total Duration Tables Sup #1'!$B171)</f>
        <v>1.982504500542813</v>
      </c>
      <c r="D28" s="4">
        <f ca="1">$B28*('Updated Population'!D$26/'Updated Population'!$B$26)*('Total Duration Tables Sup #1'!D171/'Total Duration Tables Sup #1'!$B171)</f>
        <v>2.0857740204542403</v>
      </c>
      <c r="E28" s="4">
        <f ca="1">$B28*('Updated Population'!E$26/'Updated Population'!$B$26)*('Total Duration Tables Sup #1'!E171/'Total Duration Tables Sup #1'!$B171)</f>
        <v>2.1399254584323208</v>
      </c>
      <c r="F28" s="4">
        <f ca="1">$B28*('Updated Population'!F$26/'Updated Population'!$B$26)*('Total Duration Tables Sup #1'!F171/'Total Duration Tables Sup #1'!$B171)</f>
        <v>2.2068244681463032</v>
      </c>
      <c r="G28" s="4">
        <f ca="1">$B28*('Updated Population'!G$26/'Updated Population'!$B$26)*('Total Duration Tables Sup #1'!G171/'Total Duration Tables Sup #1'!$B171)</f>
        <v>2.2937001627605338</v>
      </c>
      <c r="H28" s="4">
        <f ca="1">$B28*('Updated Population'!H$26/'Updated Population'!$B$26)*('Total Duration Tables Sup #1'!H171/'Total Duration Tables Sup #1'!$B171)</f>
        <v>2.3787110195737151</v>
      </c>
      <c r="I28" s="1">
        <f ca="1">$B28*('Updated Population'!I$26/'Updated Population'!$B$26)*('Total Duration Tables Sup #1'!I171/'Total Duration Tables Sup #1'!$B171)</f>
        <v>2.4293298769190885</v>
      </c>
      <c r="J28" s="1">
        <f ca="1">$B28*('Updated Population'!J$26/'Updated Population'!$B$26)*('Total Duration Tables Sup #1'!J171/'Total Duration Tables Sup #1'!$B171)</f>
        <v>2.4731283682060057</v>
      </c>
      <c r="K28" s="1">
        <f ca="1">$B28*('Updated Population'!K$26/'Updated Population'!$B$26)*('Total Duration Tables Sup #1'!K171/'Total Duration Tables Sup #1'!$B171)</f>
        <v>2.5123057689766672</v>
      </c>
    </row>
    <row r="29" spans="1:11" x14ac:dyDescent="0.2">
      <c r="A29" t="str">
        <f ca="1">OFFSET(Waikato_Reference,14,2)</f>
        <v>Light Vehicle Driver</v>
      </c>
      <c r="B29" s="4">
        <f ca="1">OFFSET(Waikato_Reference,14,7)</f>
        <v>82.274552721999996</v>
      </c>
      <c r="C29" s="4">
        <f ca="1">$B29*('Updated Population'!C$26/'Updated Population'!$B$26)*('Total Duration Tables Sup #1'!C172/'Total Duration Tables Sup #1'!$B172)</f>
        <v>93.250702041569582</v>
      </c>
      <c r="D29" s="4">
        <f ca="1">$B29*('Updated Population'!D$26/'Updated Population'!$B$26)*('Total Duration Tables Sup #1'!D172/'Total Duration Tables Sup #1'!$B172)</f>
        <v>99.850564122361533</v>
      </c>
      <c r="E29" s="4">
        <f ca="1">$B29*('Updated Population'!E$26/'Updated Population'!$B$26)*('Total Duration Tables Sup #1'!E172/'Total Duration Tables Sup #1'!$B172)</f>
        <v>104.29416045600408</v>
      </c>
      <c r="F29" s="4">
        <f ca="1">$B29*('Updated Population'!F$26/'Updated Population'!$B$26)*('Total Duration Tables Sup #1'!F172/'Total Duration Tables Sup #1'!$B172)</f>
        <v>108.38512781500846</v>
      </c>
      <c r="G29" s="4">
        <f ca="1">$B29*('Updated Population'!G$26/'Updated Population'!$B$26)*('Total Duration Tables Sup #1'!G172/'Total Duration Tables Sup #1'!$B172)</f>
        <v>111.59473825917</v>
      </c>
      <c r="H29" s="4">
        <f ca="1">$B29*('Updated Population'!H$26/'Updated Population'!$B$26)*('Total Duration Tables Sup #1'!H172/'Total Duration Tables Sup #1'!$B172)</f>
        <v>114.43212971086594</v>
      </c>
      <c r="I29" s="1">
        <f ca="1">$B29*('Updated Population'!I$26/'Updated Population'!$B$26)*('Total Duration Tables Sup #1'!I172/'Total Duration Tables Sup #1'!$B172)</f>
        <v>116.86723998777533</v>
      </c>
      <c r="J29" s="1">
        <f ca="1">$B29*('Updated Population'!J$26/'Updated Population'!$B$26)*('Total Duration Tables Sup #1'!J172/'Total Duration Tables Sup #1'!$B172)</f>
        <v>118.97424440943179</v>
      </c>
      <c r="K29" s="1">
        <f ca="1">$B29*('Updated Population'!K$26/'Updated Population'!$B$26)*('Total Duration Tables Sup #1'!K172/'Total Duration Tables Sup #1'!$B172)</f>
        <v>120.85894304236045</v>
      </c>
    </row>
    <row r="30" spans="1:11" x14ac:dyDescent="0.2">
      <c r="A30" t="str">
        <f ca="1">OFFSET(Waikato_Reference,21,2)</f>
        <v>Light Vehicle Passenger</v>
      </c>
      <c r="B30" s="4">
        <f ca="1">OFFSET(Waikato_Reference,21,7)</f>
        <v>42.037273755000001</v>
      </c>
      <c r="C30" s="4">
        <f ca="1">$B30*('Updated Population'!C$26/'Updated Population'!$B$26)*('Total Duration Tables Sup #1'!C173/'Total Duration Tables Sup #1'!$B173)</f>
        <v>45.462636664920225</v>
      </c>
      <c r="D30" s="4">
        <f ca="1">$B30*('Updated Population'!D$26/'Updated Population'!$B$26)*('Total Duration Tables Sup #1'!D173/'Total Duration Tables Sup #1'!$B173)</f>
        <v>47.383606502305057</v>
      </c>
      <c r="E30" s="4">
        <f ca="1">$B30*('Updated Population'!E$26/'Updated Population'!$B$26)*('Total Duration Tables Sup #1'!E173/'Total Duration Tables Sup #1'!$B173)</f>
        <v>48.69123051724435</v>
      </c>
      <c r="F30" s="4">
        <f ca="1">$B30*('Updated Population'!F$26/'Updated Population'!$B$26)*('Total Duration Tables Sup #1'!F173/'Total Duration Tables Sup #1'!$B173)</f>
        <v>49.723613146053822</v>
      </c>
      <c r="G30" s="4">
        <f ca="1">$B30*('Updated Population'!G$26/'Updated Population'!$B$26)*('Total Duration Tables Sup #1'!G173/'Total Duration Tables Sup #1'!$B173)</f>
        <v>50.519060512096381</v>
      </c>
      <c r="H30" s="4">
        <f ca="1">$B30*('Updated Population'!H$26/'Updated Population'!$B$26)*('Total Duration Tables Sup #1'!H173/'Total Duration Tables Sup #1'!$B173)</f>
        <v>51.068373121833616</v>
      </c>
      <c r="I30" s="1">
        <f ca="1">$B30*('Updated Population'!I$26/'Updated Population'!$B$26)*('Total Duration Tables Sup #1'!I173/'Total Duration Tables Sup #1'!$B173)</f>
        <v>52.155105672632345</v>
      </c>
      <c r="J30" s="1">
        <f ca="1">$B30*('Updated Population'!J$26/'Updated Population'!$B$26)*('Total Duration Tables Sup #1'!J173/'Total Duration Tables Sup #1'!$B173)</f>
        <v>53.095412282728482</v>
      </c>
      <c r="K30" s="1">
        <f ca="1">$B30*('Updated Population'!K$26/'Updated Population'!$B$26)*('Total Duration Tables Sup #1'!K173/'Total Duration Tables Sup #1'!$B173)</f>
        <v>53.936509038087316</v>
      </c>
    </row>
    <row r="31" spans="1:11" x14ac:dyDescent="0.2">
      <c r="A31" t="str">
        <f ca="1">OFFSET(Waikato_Reference,28,2)</f>
        <v>Taxi/Vehicle Share</v>
      </c>
      <c r="B31" s="4">
        <f ca="1">OFFSET(Waikato_Reference,28,7)</f>
        <v>0.1633822556</v>
      </c>
      <c r="C31" s="4">
        <f ca="1">$B31*('Updated Population'!C$26/'Updated Population'!$B$26)*('Total Duration Tables Sup #1'!C174/'Total Duration Tables Sup #1'!$B174)</f>
        <v>0.19291130735340645</v>
      </c>
      <c r="D31" s="4">
        <f ca="1">$B31*('Updated Population'!D$26/'Updated Population'!$B$26)*('Total Duration Tables Sup #1'!D174/'Total Duration Tables Sup #1'!$B174)</f>
        <v>0.21579058551887936</v>
      </c>
      <c r="E31" s="4">
        <f ca="1">$B31*('Updated Population'!E$26/'Updated Population'!$B$26)*('Total Duration Tables Sup #1'!E174/'Total Duration Tables Sup #1'!$B174)</f>
        <v>0.23681680112630601</v>
      </c>
      <c r="F31" s="4">
        <f ca="1">$B31*('Updated Population'!F$26/'Updated Population'!$B$26)*('Total Duration Tables Sup #1'!F174/'Total Duration Tables Sup #1'!$B174)</f>
        <v>0.25611963882748556</v>
      </c>
      <c r="G31" s="4">
        <f ca="1">$B31*('Updated Population'!G$26/'Updated Population'!$B$26)*('Total Duration Tables Sup #1'!G174/'Total Duration Tables Sup #1'!$B174)</f>
        <v>0.27180105045146813</v>
      </c>
      <c r="H31" s="4">
        <f ca="1">$B31*('Updated Population'!H$26/'Updated Population'!$B$26)*('Total Duration Tables Sup #1'!H174/'Total Duration Tables Sup #1'!$B174)</f>
        <v>0.28691013185206765</v>
      </c>
      <c r="I31" s="1">
        <f ca="1">$B31*('Updated Population'!I$26/'Updated Population'!$B$26)*('Total Duration Tables Sup #1'!I174/'Total Duration Tables Sup #1'!$B174)</f>
        <v>0.29301556581006255</v>
      </c>
      <c r="J31" s="1">
        <f ca="1">$B31*('Updated Population'!J$26/'Updated Population'!$B$26)*('Total Duration Tables Sup #1'!J174/'Total Duration Tables Sup #1'!$B174)</f>
        <v>0.29829835586175329</v>
      </c>
      <c r="K31" s="1">
        <f ca="1">$B31*('Updated Population'!K$26/'Updated Population'!$B$26)*('Total Duration Tables Sup #1'!K174/'Total Duration Tables Sup #1'!$B174)</f>
        <v>0.3030237693853961</v>
      </c>
    </row>
    <row r="32" spans="1:11" x14ac:dyDescent="0.2">
      <c r="A32" t="str">
        <f ca="1">OFFSET(Waikato_Reference,35,2)</f>
        <v>Motorcyclist</v>
      </c>
      <c r="B32" s="4">
        <f ca="1">OFFSET(Waikato_Reference,35,7)</f>
        <v>0.60639269429999998</v>
      </c>
      <c r="C32" s="4">
        <f ca="1">$B32*('Updated Population'!C$26/'Updated Population'!$B$26)*('Total Duration Tables Sup #1'!C175/'Total Duration Tables Sup #1'!$B175)</f>
        <v>0.67483914140247736</v>
      </c>
      <c r="D32" s="4">
        <f ca="1">$B32*('Updated Population'!D$26/'Updated Population'!$B$26)*('Total Duration Tables Sup #1'!D175/'Total Duration Tables Sup #1'!$B175)</f>
        <v>0.71285781953528937</v>
      </c>
      <c r="E32" s="4">
        <f ca="1">$B32*('Updated Population'!E$26/'Updated Population'!$B$26)*('Total Duration Tables Sup #1'!E175/'Total Duration Tables Sup #1'!$B175)</f>
        <v>0.73157322529418056</v>
      </c>
      <c r="F32" s="4">
        <f ca="1">$B32*('Updated Population'!F$26/'Updated Population'!$B$26)*('Total Duration Tables Sup #1'!F175/'Total Duration Tables Sup #1'!$B175)</f>
        <v>0.74764568721467239</v>
      </c>
      <c r="G32" s="4">
        <f ca="1">$B32*('Updated Population'!G$26/'Updated Population'!$B$26)*('Total Duration Tables Sup #1'!G175/'Total Duration Tables Sup #1'!$B175)</f>
        <v>0.75313215707100789</v>
      </c>
      <c r="H32" s="4">
        <f ca="1">$B32*('Updated Population'!H$26/'Updated Population'!$B$26)*('Total Duration Tables Sup #1'!H175/'Total Duration Tables Sup #1'!$B175)</f>
        <v>0.75493713838521537</v>
      </c>
      <c r="I32" s="1">
        <f ca="1">$B32*('Updated Population'!I$26/'Updated Population'!$B$26)*('Total Duration Tables Sup #1'!I175/'Total Duration Tables Sup #1'!$B175)</f>
        <v>0.77100216477900319</v>
      </c>
      <c r="J32" s="1">
        <f ca="1">$B32*('Updated Population'!J$26/'Updated Population'!$B$26)*('Total Duration Tables Sup #1'!J175/'Total Duration Tables Sup #1'!$B175)</f>
        <v>0.78490259547682728</v>
      </c>
      <c r="K32" s="1">
        <f ca="1">$B32*('Updated Population'!K$26/'Updated Population'!$B$26)*('Total Duration Tables Sup #1'!K175/'Total Duration Tables Sup #1'!$B175)</f>
        <v>0.79733641975552194</v>
      </c>
    </row>
    <row r="33" spans="1:11" x14ac:dyDescent="0.2">
      <c r="A33" t="str">
        <f ca="1">OFFSET(Waikato_Reference,42,2)</f>
        <v>Local Train</v>
      </c>
      <c r="B33" s="4">
        <v>0</v>
      </c>
      <c r="C33" s="4">
        <f ca="1">$B33*('Updated Population'!C$26/'Updated Population'!$B$26)*('Total Duration Tables Sup #1'!C176/'Total Duration Tables Sup #1'!$B176)</f>
        <v>0</v>
      </c>
      <c r="D33" s="4">
        <f ca="1">$B33*('Updated Population'!D$26/'Updated Population'!$B$26)*('Total Duration Tables Sup #1'!D176/'Total Duration Tables Sup #1'!$B176)</f>
        <v>0</v>
      </c>
      <c r="E33" s="4">
        <f ca="1">$B33*('Updated Population'!E$26/'Updated Population'!$B$26)*('Total Duration Tables Sup #1'!E176/'Total Duration Tables Sup #1'!$B176)</f>
        <v>0</v>
      </c>
      <c r="F33" s="4">
        <f ca="1">$B33*('Updated Population'!F$26/'Updated Population'!$B$26)*('Total Duration Tables Sup #1'!F176/'Total Duration Tables Sup #1'!$B176)</f>
        <v>0</v>
      </c>
      <c r="G33" s="4">
        <f ca="1">$B33*('Updated Population'!G$26/'Updated Population'!$B$26)*('Total Duration Tables Sup #1'!G176/'Total Duration Tables Sup #1'!$B176)</f>
        <v>0</v>
      </c>
      <c r="H33" s="4">
        <f ca="1">$B33*('Updated Population'!H$26/'Updated Population'!$B$26)*('Total Duration Tables Sup #1'!H176/'Total Duration Tables Sup #1'!$B176)</f>
        <v>0</v>
      </c>
      <c r="I33" s="1">
        <f ca="1">$B33*('Updated Population'!I$26/'Updated Population'!$B$26)*('Total Duration Tables Sup #1'!I176/'Total Duration Tables Sup #1'!$B176)</f>
        <v>0</v>
      </c>
      <c r="J33" s="1">
        <f ca="1">$B33*('Updated Population'!J$26/'Updated Population'!$B$26)*('Total Duration Tables Sup #1'!J176/'Total Duration Tables Sup #1'!$B176)</f>
        <v>0</v>
      </c>
      <c r="K33" s="1">
        <f ca="1">$B33*('Updated Population'!K$26/'Updated Population'!$B$26)*('Total Duration Tables Sup #1'!K176/'Total Duration Tables Sup #1'!$B176)</f>
        <v>0</v>
      </c>
    </row>
    <row r="34" spans="1:11" x14ac:dyDescent="0.2">
      <c r="A34" t="str">
        <f ca="1">OFFSET(Waikato_Reference,49,2)</f>
        <v>Local Bus</v>
      </c>
      <c r="B34" s="4">
        <f ca="1">OFFSET(Waikato_Reference,49,7)</f>
        <v>2.2088814398999999</v>
      </c>
      <c r="C34" s="4">
        <f ca="1">$B34*('Updated Population'!C$26/'Updated Population'!$B$26)*('Total Duration Tables Sup #1'!C177/'Total Duration Tables Sup #1'!$B177)</f>
        <v>2.240713246727875</v>
      </c>
      <c r="D34" s="4">
        <f ca="1">$B34*('Updated Population'!D$26/'Updated Population'!$B$26)*('Total Duration Tables Sup #1'!D177/'Total Duration Tables Sup #1'!$B177)</f>
        <v>2.2401773900830206</v>
      </c>
      <c r="E34" s="4">
        <f ca="1">$B34*('Updated Population'!E$26/'Updated Population'!$B$26)*('Total Duration Tables Sup #1'!E177/'Total Duration Tables Sup #1'!$B177)</f>
        <v>2.2441664075336587</v>
      </c>
      <c r="F34" s="4">
        <f ca="1">$B34*('Updated Population'!F$26/'Updated Population'!$B$26)*('Total Duration Tables Sup #1'!F177/'Total Duration Tables Sup #1'!$B177)</f>
        <v>2.2208917814999345</v>
      </c>
      <c r="G34" s="4">
        <f ca="1">$B34*('Updated Population'!G$26/'Updated Population'!$B$26)*('Total Duration Tables Sup #1'!G177/'Total Duration Tables Sup #1'!$B177)</f>
        <v>2.2118926974164945</v>
      </c>
      <c r="H34" s="4">
        <f ca="1">$B34*('Updated Population'!H$26/'Updated Population'!$B$26)*('Total Duration Tables Sup #1'!H177/'Total Duration Tables Sup #1'!$B177)</f>
        <v>2.1924452959908729</v>
      </c>
      <c r="I34" s="1">
        <f ca="1">$B34*('Updated Population'!I$26/'Updated Population'!$B$26)*('Total Duration Tables Sup #1'!I177/'Total Duration Tables Sup #1'!$B177)</f>
        <v>2.2391004275987409</v>
      </c>
      <c r="J34" s="1">
        <f ca="1">$B34*('Updated Population'!J$26/'Updated Population'!$B$26)*('Total Duration Tables Sup #1'!J177/'Total Duration Tables Sup #1'!$B177)</f>
        <v>2.27946926408343</v>
      </c>
      <c r="K34" s="1">
        <f ca="1">$B34*('Updated Population'!K$26/'Updated Population'!$B$26)*('Total Duration Tables Sup #1'!K177/'Total Duration Tables Sup #1'!$B177)</f>
        <v>2.3155788660157315</v>
      </c>
    </row>
    <row r="35" spans="1:11" x14ac:dyDescent="0.2">
      <c r="A35" t="str">
        <f ca="1">OFFSET(Waikato_Reference,56,2)</f>
        <v>Local Ferry</v>
      </c>
      <c r="B35" s="4">
        <f ca="1">OFFSET(Waikato_Reference,56,7)</f>
        <v>9.3342661800000004E-2</v>
      </c>
      <c r="C35" s="4">
        <f ca="1">$B35*('Updated Population'!C$26/'Updated Population'!$B$26)*('Total Duration Tables Sup #1'!C178/'Total Duration Tables Sup #1'!$B178)</f>
        <v>0.11092136958410448</v>
      </c>
      <c r="D35" s="4">
        <f ca="1">$B35*('Updated Population'!D$26/'Updated Population'!$B$26)*('Total Duration Tables Sup #1'!D178/'Total Duration Tables Sup #1'!$B178)</f>
        <v>0.12332516962292797</v>
      </c>
      <c r="E35" s="4">
        <f ca="1">$B35*('Updated Population'!E$26/'Updated Population'!$B$26)*('Total Duration Tables Sup #1'!E178/'Total Duration Tables Sup #1'!$B178)</f>
        <v>0.13296569450090687</v>
      </c>
      <c r="F35" s="4">
        <f ca="1">$B35*('Updated Population'!F$26/'Updated Population'!$B$26)*('Total Duration Tables Sup #1'!F178/'Total Duration Tables Sup #1'!$B178)</f>
        <v>0.14166063689661329</v>
      </c>
      <c r="G35" s="4">
        <f ca="1">$B35*('Updated Population'!G$26/'Updated Population'!$B$26)*('Total Duration Tables Sup #1'!G178/'Total Duration Tables Sup #1'!$B178)</f>
        <v>0.15315359436494538</v>
      </c>
      <c r="H35" s="4">
        <f ca="1">$B35*('Updated Population'!H$26/'Updated Population'!$B$26)*('Total Duration Tables Sup #1'!H178/'Total Duration Tables Sup #1'!$B178)</f>
        <v>0.16419014521821815</v>
      </c>
      <c r="I35" s="1">
        <f ca="1">$B35*('Updated Population'!I$26/'Updated Population'!$B$26)*('Total Duration Tables Sup #1'!I178/'Total Duration Tables Sup #1'!$B178)</f>
        <v>0.16768410369822156</v>
      </c>
      <c r="J35" s="1">
        <f ca="1">$B35*('Updated Population'!J$26/'Updated Population'!$B$26)*('Total Duration Tables Sup #1'!J178/'Total Duration Tables Sup #1'!$B178)</f>
        <v>0.17070728750893371</v>
      </c>
      <c r="K35" s="1">
        <f ca="1">$B35*('Updated Population'!K$26/'Updated Population'!$B$26)*('Total Duration Tables Sup #1'!K178/'Total Duration Tables Sup #1'!$B178)</f>
        <v>0.17341150129063135</v>
      </c>
    </row>
    <row r="36" spans="1:11" x14ac:dyDescent="0.2">
      <c r="A36" t="str">
        <f ca="1">OFFSET(Waikato_Reference,63,2)</f>
        <v>Other Household Travel</v>
      </c>
      <c r="B36" s="4">
        <f ca="1">OFFSET(Waikato_Reference,63,7)</f>
        <v>0.63404452519999999</v>
      </c>
      <c r="C36" s="4">
        <f ca="1">$B36*('Updated Population'!C$26/'Updated Population'!$B$26)*('Total Duration Tables Sup #1'!C179/'Total Duration Tables Sup #1'!$B179)</f>
        <v>0.71801297819729604</v>
      </c>
      <c r="D36" s="4">
        <f ca="1">$B36*('Updated Population'!D$26/'Updated Population'!$B$26)*('Total Duration Tables Sup #1'!D179/'Total Duration Tables Sup #1'!$B179)</f>
        <v>0.77536745275378249</v>
      </c>
      <c r="E36" s="4">
        <f ca="1">$B36*('Updated Population'!E$26/'Updated Population'!$B$26)*('Total Duration Tables Sup #1'!E179/'Total Duration Tables Sup #1'!$B179)</f>
        <v>0.81162794397201754</v>
      </c>
      <c r="F36" s="4">
        <f ca="1">$B36*('Updated Population'!F$26/'Updated Population'!$B$26)*('Total Duration Tables Sup #1'!F179/'Total Duration Tables Sup #1'!$B179)</f>
        <v>0.84426903213887183</v>
      </c>
      <c r="G36" s="4">
        <f ca="1">$B36*('Updated Population'!G$26/'Updated Population'!$B$26)*('Total Duration Tables Sup #1'!G179/'Total Duration Tables Sup #1'!$B179)</f>
        <v>0.88353606145573582</v>
      </c>
      <c r="H36" s="4">
        <f ca="1">$B36*('Updated Population'!H$26/'Updated Population'!$B$26)*('Total Duration Tables Sup #1'!H179/'Total Duration Tables Sup #1'!$B179)</f>
        <v>0.91953068355458001</v>
      </c>
      <c r="I36" s="1">
        <f ca="1">$B36*('Updated Population'!I$26/'Updated Population'!$B$26)*('Total Duration Tables Sup #1'!I179/'Total Duration Tables Sup #1'!$B179)</f>
        <v>0.93909825276014258</v>
      </c>
      <c r="J36" s="1">
        <f ca="1">$B36*('Updated Population'!J$26/'Updated Population'!$B$26)*('Total Duration Tables Sup #1'!J179/'Total Duration Tables Sup #1'!$B179)</f>
        <v>0.95602929495077227</v>
      </c>
      <c r="K36" s="1">
        <f ca="1">$B36*('Updated Population'!K$26/'Updated Population'!$B$26)*('Total Duration Tables Sup #1'!K179/'Total Duration Tables Sup #1'!$B179)</f>
        <v>0.97117397701349462</v>
      </c>
    </row>
    <row r="37" spans="1:11" x14ac:dyDescent="0.2">
      <c r="A37" t="str">
        <f ca="1">OFFSET(BOP_Reference,0,0)</f>
        <v>04 BAY OF PLENTY</v>
      </c>
      <c r="I37" s="1"/>
      <c r="J37" s="1"/>
      <c r="K37" s="1"/>
    </row>
    <row r="38" spans="1:11" x14ac:dyDescent="0.2">
      <c r="A38" t="str">
        <f ca="1">OFFSET(BOP_Reference,0,2)</f>
        <v>Pedestrian</v>
      </c>
      <c r="B38" s="4">
        <f ca="1">OFFSET(BOP_Reference,0,7)</f>
        <v>9.1706746114000008</v>
      </c>
      <c r="C38" s="4">
        <f ca="1">$B38*('Updated Population'!C$37/'Updated Population'!$B$37)*('Total Duration Tables Sup #1'!C170/'Total Duration Tables Sup #1'!$B170)</f>
        <v>9.8811118380241236</v>
      </c>
      <c r="D38" s="4">
        <f ca="1">$B38*('Updated Population'!D$37/'Updated Population'!$B$37)*('Total Duration Tables Sup #1'!D170/'Total Duration Tables Sup #1'!$B170)</f>
        <v>10.283141326245653</v>
      </c>
      <c r="E38" s="4">
        <f ca="1">$B38*('Updated Population'!E$37/'Updated Population'!$B$37)*('Total Duration Tables Sup #1'!E170/'Total Duration Tables Sup #1'!$B170)</f>
        <v>10.559241619803036</v>
      </c>
      <c r="F38" s="4">
        <f ca="1">$B38*('Updated Population'!F$37/'Updated Population'!$B$37)*('Total Duration Tables Sup #1'!F170/'Total Duration Tables Sup #1'!$B170)</f>
        <v>10.731268713857522</v>
      </c>
      <c r="G38" s="4">
        <f ca="1">$B38*('Updated Population'!G$37/'Updated Population'!$B$37)*('Total Duration Tables Sup #1'!G170/'Total Duration Tables Sup #1'!$B170)</f>
        <v>10.85855588612988</v>
      </c>
      <c r="H38" s="4">
        <f ca="1">$B38*('Updated Population'!H$37/'Updated Population'!$B$37)*('Total Duration Tables Sup #1'!H170/'Total Duration Tables Sup #1'!$B170)</f>
        <v>10.938219588988455</v>
      </c>
      <c r="I38" s="1">
        <f ca="1">$B38*('Updated Population'!I$37/'Updated Population'!$B$37)*('Total Duration Tables Sup #1'!I170/'Total Duration Tables Sup #1'!$B170)</f>
        <v>11.095526345334413</v>
      </c>
      <c r="J38" s="1">
        <f ca="1">$B38*('Updated Population'!J$37/'Updated Population'!$B$37)*('Total Duration Tables Sup #1'!J170/'Total Duration Tables Sup #1'!$B170)</f>
        <v>11.219268482908051</v>
      </c>
      <c r="K38" s="1">
        <f ca="1">$B38*('Updated Population'!K$37/'Updated Population'!$B$37)*('Total Duration Tables Sup #1'!K170/'Total Duration Tables Sup #1'!$B170)</f>
        <v>11.320010818477995</v>
      </c>
    </row>
    <row r="39" spans="1:11" x14ac:dyDescent="0.2">
      <c r="A39" t="str">
        <f ca="1">OFFSET(BOP_Reference,7,2)</f>
        <v>Cyclist</v>
      </c>
      <c r="B39" s="4">
        <f ca="1">OFFSET(BOP_Reference,7,7)</f>
        <v>0.91801276549999999</v>
      </c>
      <c r="C39" s="4">
        <f ca="1">$B39*('Updated Population'!C$37/'Updated Population'!$B$37)*('Total Duration Tables Sup #1'!C171/'Total Duration Tables Sup #1'!$B171)</f>
        <v>1.0079553539546047</v>
      </c>
      <c r="D39" s="4">
        <f ca="1">$B39*('Updated Population'!D$37/'Updated Population'!$B$37)*('Total Duration Tables Sup #1'!D171/'Total Duration Tables Sup #1'!$B171)</f>
        <v>1.0532328803229729</v>
      </c>
      <c r="E39" s="4">
        <f ca="1">$B39*('Updated Population'!E$37/'Updated Population'!$B$37)*('Total Duration Tables Sup #1'!E171/'Total Duration Tables Sup #1'!$B171)</f>
        <v>1.0733732498611608</v>
      </c>
      <c r="F39" s="4">
        <f ca="1">$B39*('Updated Population'!F$37/'Updated Population'!$B$37)*('Total Duration Tables Sup #1'!F171/'Total Duration Tables Sup #1'!$B171)</f>
        <v>1.0998252152088845</v>
      </c>
      <c r="G39" s="4">
        <f ca="1">$B39*('Updated Population'!G$37/'Updated Population'!$B$37)*('Total Duration Tables Sup #1'!G171/'Total Duration Tables Sup #1'!$B171)</f>
        <v>1.1353651675925294</v>
      </c>
      <c r="H39" s="4">
        <f ca="1">$B39*('Updated Population'!H$37/'Updated Population'!$B$37)*('Total Duration Tables Sup #1'!H171/'Total Duration Tables Sup #1'!$B171)</f>
        <v>1.1694914998158699</v>
      </c>
      <c r="I39" s="1">
        <f ca="1">$B39*('Updated Population'!I$37/'Updated Population'!$B$37)*('Total Duration Tables Sup #1'!I171/'Total Duration Tables Sup #1'!$B171)</f>
        <v>1.1863104083149647</v>
      </c>
      <c r="J39" s="1">
        <f ca="1">$B39*('Updated Population'!J$37/'Updated Population'!$B$37)*('Total Duration Tables Sup #1'!J171/'Total Duration Tables Sup #1'!$B171)</f>
        <v>1.1995406581635877</v>
      </c>
      <c r="K39" s="1">
        <f ca="1">$B39*('Updated Population'!K$37/'Updated Population'!$B$37)*('Total Duration Tables Sup #1'!K171/'Total Duration Tables Sup #1'!$B171)</f>
        <v>1.2103118174150669</v>
      </c>
    </row>
    <row r="40" spans="1:11" x14ac:dyDescent="0.2">
      <c r="A40" t="str">
        <f ca="1">OFFSET(BOP_Reference,14,2)</f>
        <v>Light Vehicle Driver</v>
      </c>
      <c r="B40" s="4">
        <f ca="1">OFFSET(BOP_Reference,14,7)</f>
        <v>45.59682093</v>
      </c>
      <c r="C40" s="4">
        <f ca="1">$B40*('Updated Population'!C$37/'Updated Population'!$B$37)*('Total Duration Tables Sup #1'!C172/'Total Duration Tables Sup #1'!$B172)</f>
        <v>50.9641199299097</v>
      </c>
      <c r="D40" s="4">
        <f ca="1">$B40*('Updated Population'!D$37/'Updated Population'!$B$37)*('Total Duration Tables Sup #1'!D172/'Total Duration Tables Sup #1'!$B172)</f>
        <v>54.199213263572155</v>
      </c>
      <c r="E40" s="4">
        <f ca="1">$B40*('Updated Population'!E$37/'Updated Population'!$B$37)*('Total Duration Tables Sup #1'!E172/'Total Duration Tables Sup #1'!$B172)</f>
        <v>56.233798392958391</v>
      </c>
      <c r="F40" s="4">
        <f ca="1">$B40*('Updated Population'!F$37/'Updated Population'!$B$37)*('Total Duration Tables Sup #1'!F172/'Total Duration Tables Sup #1'!$B172)</f>
        <v>58.064525408734042</v>
      </c>
      <c r="G40" s="4">
        <f ca="1">$B40*('Updated Population'!G$37/'Updated Population'!$B$37)*('Total Duration Tables Sup #1'!G172/'Total Duration Tables Sup #1'!$B172)</f>
        <v>59.378325140204964</v>
      </c>
      <c r="H40" s="4">
        <f ca="1">$B40*('Updated Population'!H$37/'Updated Population'!$B$37)*('Total Duration Tables Sup #1'!H172/'Total Duration Tables Sup #1'!$B172)</f>
        <v>60.476781518567158</v>
      </c>
      <c r="I40" s="1">
        <f ca="1">$B40*('Updated Population'!I$37/'Updated Population'!$B$37)*('Total Duration Tables Sup #1'!I172/'Total Duration Tables Sup #1'!$B172)</f>
        <v>61.346521448135427</v>
      </c>
      <c r="J40" s="1">
        <f ca="1">$B40*('Updated Population'!J$37/'Updated Population'!$B$37)*('Total Duration Tables Sup #1'!J172/'Total Duration Tables Sup #1'!$B172)</f>
        <v>62.030684547787871</v>
      </c>
      <c r="K40" s="1">
        <f ca="1">$B40*('Updated Population'!K$37/'Updated Population'!$B$37)*('Total Duration Tables Sup #1'!K172/'Total Duration Tables Sup #1'!$B172)</f>
        <v>62.587683076512498</v>
      </c>
    </row>
    <row r="41" spans="1:11" x14ac:dyDescent="0.2">
      <c r="A41" t="str">
        <f ca="1">OFFSET(BOP_Reference,21,2)</f>
        <v>Light Vehicle Passenger</v>
      </c>
      <c r="B41" s="4">
        <f ca="1">OFFSET(BOP_Reference,21,7)</f>
        <v>28.895615969000001</v>
      </c>
      <c r="C41" s="4">
        <f ca="1">$B41*('Updated Population'!C$37/'Updated Population'!$B$37)*('Total Duration Tables Sup #1'!C173/'Total Duration Tables Sup #1'!$B173)</f>
        <v>30.817359040441875</v>
      </c>
      <c r="D41" s="4">
        <f ca="1">$B41*('Updated Population'!D$37/'Updated Population'!$B$37)*('Total Duration Tables Sup #1'!D173/'Total Duration Tables Sup #1'!$B173)</f>
        <v>31.900607408271494</v>
      </c>
      <c r="E41" s="4">
        <f ca="1">$B41*('Updated Population'!E$37/'Updated Population'!$B$37)*('Total Duration Tables Sup #1'!E173/'Total Duration Tables Sup #1'!$B173)</f>
        <v>32.562411239634123</v>
      </c>
      <c r="F41" s="4">
        <f ca="1">$B41*('Updated Population'!F$37/'Updated Population'!$B$37)*('Total Duration Tables Sup #1'!F173/'Total Duration Tables Sup #1'!$B173)</f>
        <v>33.039407098643046</v>
      </c>
      <c r="G41" s="4">
        <f ca="1">$B41*('Updated Population'!G$37/'Updated Population'!$B$37)*('Total Duration Tables Sup #1'!G173/'Total Duration Tables Sup #1'!$B173)</f>
        <v>33.340174665976676</v>
      </c>
      <c r="H41" s="4">
        <f ca="1">$B41*('Updated Population'!H$37/'Updated Population'!$B$37)*('Total Duration Tables Sup #1'!H173/'Total Duration Tables Sup #1'!$B173)</f>
        <v>33.475039054624297</v>
      </c>
      <c r="I41" s="1">
        <f ca="1">$B41*('Updated Population'!I$37/'Updated Population'!$B$37)*('Total Duration Tables Sup #1'!I173/'Total Duration Tables Sup #1'!$B173)</f>
        <v>33.956456507382178</v>
      </c>
      <c r="J41" s="1">
        <f ca="1">$B41*('Updated Population'!J$37/'Updated Population'!$B$37)*('Total Duration Tables Sup #1'!J173/'Total Duration Tables Sup #1'!$B173)</f>
        <v>34.33515368513406</v>
      </c>
      <c r="K41" s="1">
        <f ca="1">$B41*('Updated Population'!K$37/'Updated Population'!$B$37)*('Total Duration Tables Sup #1'!K173/'Total Duration Tables Sup #1'!$B173)</f>
        <v>34.643462874780688</v>
      </c>
    </row>
    <row r="42" spans="1:11" x14ac:dyDescent="0.2">
      <c r="A42" t="str">
        <f ca="1">OFFSET(BOP_Reference,28,2)</f>
        <v>Taxi/Vehicle Share</v>
      </c>
      <c r="B42" s="4">
        <f ca="1">OFFSET(BOP_Reference,28,7)</f>
        <v>7.3048454499999999E-2</v>
      </c>
      <c r="C42" s="4">
        <f ca="1">$B42*('Updated Population'!C$37/'Updated Population'!$B$37)*('Total Duration Tables Sup #1'!C174/'Total Duration Tables Sup #1'!$B174)</f>
        <v>8.5056442326889165E-2</v>
      </c>
      <c r="D42" s="4">
        <f ca="1">$B42*('Updated Population'!D$37/'Updated Population'!$B$37)*('Total Duration Tables Sup #1'!D174/'Total Duration Tables Sup #1'!$B174)</f>
        <v>9.4495703668076983E-2</v>
      </c>
      <c r="E42" s="4">
        <f ca="1">$B42*('Updated Population'!E$37/'Updated Population'!$B$37)*('Total Duration Tables Sup #1'!E174/'Total Duration Tables Sup #1'!$B174)</f>
        <v>0.10301181703000711</v>
      </c>
      <c r="F42" s="4">
        <f ca="1">$B42*('Updated Population'!F$37/'Updated Population'!$B$37)*('Total Duration Tables Sup #1'!F174/'Total Duration Tables Sup #1'!$B174)</f>
        <v>0.11069325990609398</v>
      </c>
      <c r="G42" s="4">
        <f ca="1">$B42*('Updated Population'!G$37/'Updated Population'!$B$37)*('Total Duration Tables Sup #1'!G174/'Total Duration Tables Sup #1'!$B174)</f>
        <v>0.11667356462072949</v>
      </c>
      <c r="H42" s="4">
        <f ca="1">$B42*('Updated Population'!H$37/'Updated Population'!$B$37)*('Total Duration Tables Sup #1'!H174/'Total Duration Tables Sup #1'!$B174)</f>
        <v>0.12232738311758558</v>
      </c>
      <c r="I42" s="1">
        <f ca="1">$B42*('Updated Population'!I$37/'Updated Population'!$B$37)*('Total Duration Tables Sup #1'!I174/'Total Duration Tables Sup #1'!$B174)</f>
        <v>0.12408662041337808</v>
      </c>
      <c r="J42" s="1">
        <f ca="1">$B42*('Updated Population'!J$37/'Updated Population'!$B$37)*('Total Duration Tables Sup #1'!J174/'Total Duration Tables Sup #1'!$B174)</f>
        <v>0.12547048839551275</v>
      </c>
      <c r="K42" s="1">
        <f ca="1">$B42*('Updated Population'!K$37/'Updated Population'!$B$37)*('Total Duration Tables Sup #1'!K174/'Total Duration Tables Sup #1'!$B174)</f>
        <v>0.12659713850334484</v>
      </c>
    </row>
    <row r="43" spans="1:11" x14ac:dyDescent="0.2">
      <c r="A43" t="str">
        <f ca="1">OFFSET(BOP_Reference,35,2)</f>
        <v>Motorcyclist</v>
      </c>
      <c r="B43" s="4">
        <f ca="1">OFFSET(BOP_Reference,35,7)</f>
        <v>0.60409197079999999</v>
      </c>
      <c r="C43" s="4">
        <f ca="1">$B43*('Updated Population'!C$37/'Updated Population'!$B$37)*('Total Duration Tables Sup #1'!C175/'Total Duration Tables Sup #1'!$B175)</f>
        <v>0.66296828322459478</v>
      </c>
      <c r="D43" s="4">
        <f ca="1">$B43*('Updated Population'!D$37/'Updated Population'!$B$37)*('Total Duration Tables Sup #1'!D175/'Total Duration Tables Sup #1'!$B175)</f>
        <v>0.6955453418283486</v>
      </c>
      <c r="E43" s="4">
        <f ca="1">$B43*('Updated Population'!E$37/'Updated Population'!$B$37)*('Total Duration Tables Sup #1'!E175/'Total Duration Tables Sup #1'!$B175)</f>
        <v>0.70904744820121401</v>
      </c>
      <c r="F43" s="4">
        <f ca="1">$B43*('Updated Population'!F$37/'Updated Population'!$B$37)*('Total Duration Tables Sup #1'!F175/'Total Duration Tables Sup #1'!$B175)</f>
        <v>0.71997445523176573</v>
      </c>
      <c r="G43" s="4">
        <f ca="1">$B43*('Updated Population'!G$37/'Updated Population'!$B$37)*('Total Duration Tables Sup #1'!G175/'Total Duration Tables Sup #1'!$B175)</f>
        <v>0.72033660694149471</v>
      </c>
      <c r="H43" s="4">
        <f ca="1">$B43*('Updated Population'!H$37/'Updated Population'!$B$37)*('Total Duration Tables Sup #1'!H175/'Total Duration Tables Sup #1'!$B175)</f>
        <v>0.71718558077042804</v>
      </c>
      <c r="I43" s="1">
        <f ca="1">$B43*('Updated Population'!I$37/'Updated Population'!$B$37)*('Total Duration Tables Sup #1'!I175/'Total Duration Tables Sup #1'!$B175)</f>
        <v>0.72749970332860581</v>
      </c>
      <c r="J43" s="1">
        <f ca="1">$B43*('Updated Population'!J$37/'Updated Population'!$B$37)*('Total Duration Tables Sup #1'!J175/'Total Duration Tables Sup #1'!$B175)</f>
        <v>0.73561309656226015</v>
      </c>
      <c r="K43" s="1">
        <f ca="1">$B43*('Updated Population'!K$37/'Updated Population'!$B$37)*('Total Duration Tables Sup #1'!K175/'Total Duration Tables Sup #1'!$B175)</f>
        <v>0.7422184631720723</v>
      </c>
    </row>
    <row r="44" spans="1:11" x14ac:dyDescent="0.2">
      <c r="A44" t="str">
        <f ca="1">OFFSET(Auckland_Reference,42,2)</f>
        <v>Local Train</v>
      </c>
      <c r="B44" s="4">
        <v>0</v>
      </c>
      <c r="C44" s="4">
        <f ca="1">$B44*('Updated Population'!C$37/'Updated Population'!$B$37)*('Total Duration Tables Sup #1'!C176/'Total Duration Tables Sup #1'!$B176)</f>
        <v>0</v>
      </c>
      <c r="D44" s="4">
        <f ca="1">$B44*('Updated Population'!D$37/'Updated Population'!$B$37)*('Total Duration Tables Sup #1'!D176/'Total Duration Tables Sup #1'!$B176)</f>
        <v>0</v>
      </c>
      <c r="E44" s="4">
        <f ca="1">$B44*('Updated Population'!E$37/'Updated Population'!$B$37)*('Total Duration Tables Sup #1'!E176/'Total Duration Tables Sup #1'!$B176)</f>
        <v>0</v>
      </c>
      <c r="F44" s="4">
        <f ca="1">$B44*('Updated Population'!F$37/'Updated Population'!$B$37)*('Total Duration Tables Sup #1'!F176/'Total Duration Tables Sup #1'!$B176)</f>
        <v>0</v>
      </c>
      <c r="G44" s="4">
        <f ca="1">$B44*('Updated Population'!G$37/'Updated Population'!$B$37)*('Total Duration Tables Sup #1'!G176/'Total Duration Tables Sup #1'!$B176)</f>
        <v>0</v>
      </c>
      <c r="H44" s="4">
        <f ca="1">$B44*('Updated Population'!H$37/'Updated Population'!$B$37)*('Total Duration Tables Sup #1'!H176/'Total Duration Tables Sup #1'!$B176)</f>
        <v>0</v>
      </c>
      <c r="I44" s="1">
        <f ca="1">$B44*('Updated Population'!I$37/'Updated Population'!$B$37)*('Total Duration Tables Sup #1'!I176/'Total Duration Tables Sup #1'!$B176)</f>
        <v>0</v>
      </c>
      <c r="J44" s="1">
        <f ca="1">$B44*('Updated Population'!J$37/'Updated Population'!$B$37)*('Total Duration Tables Sup #1'!J176/'Total Duration Tables Sup #1'!$B176)</f>
        <v>0</v>
      </c>
      <c r="K44" s="1">
        <f ca="1">$B44*('Updated Population'!K$37/'Updated Population'!$B$37)*('Total Duration Tables Sup #1'!K176/'Total Duration Tables Sup #1'!$B176)</f>
        <v>0</v>
      </c>
    </row>
    <row r="45" spans="1:11" x14ac:dyDescent="0.2">
      <c r="A45" t="str">
        <f ca="1">OFFSET(BOP_Reference,42,2)</f>
        <v>Local Bus</v>
      </c>
      <c r="B45" s="4">
        <f ca="1">OFFSET(BOP_Reference,42,7)</f>
        <v>2.9412276716000001</v>
      </c>
      <c r="C45" s="4">
        <f ca="1">$B45*('Updated Population'!C$37/'Updated Population'!$B$37)*('Total Duration Tables Sup #1'!C177/'Total Duration Tables Sup #1'!$B177)</f>
        <v>2.9422928986989296</v>
      </c>
      <c r="D45" s="4">
        <f ca="1">$B45*('Updated Population'!D$37/'Updated Population'!$B$37)*('Total Duration Tables Sup #1'!D177/'Total Duration Tables Sup #1'!$B177)</f>
        <v>2.9215415844446446</v>
      </c>
      <c r="E45" s="4">
        <f ca="1">$B45*('Updated Population'!E$37/'Updated Population'!$B$37)*('Total Duration Tables Sup #1'!E177/'Total Duration Tables Sup #1'!$B177)</f>
        <v>2.9072319799625426</v>
      </c>
      <c r="F45" s="4">
        <f ca="1">$B45*('Updated Population'!F$37/'Updated Population'!$B$37)*('Total Duration Tables Sup #1'!F177/'Total Duration Tables Sup #1'!$B177)</f>
        <v>2.8586157788310183</v>
      </c>
      <c r="G45" s="4">
        <f ca="1">$B45*('Updated Population'!G$37/'Updated Population'!$B$37)*('Total Duration Tables Sup #1'!G177/'Total Duration Tables Sup #1'!$B177)</f>
        <v>2.8277140087032717</v>
      </c>
      <c r="H45" s="4">
        <f ca="1">$B45*('Updated Population'!H$37/'Updated Population'!$B$37)*('Total Duration Tables Sup #1'!H177/'Total Duration Tables Sup #1'!$B177)</f>
        <v>2.7839194096772095</v>
      </c>
      <c r="I45" s="1">
        <f ca="1">$B45*('Updated Population'!I$37/'Updated Population'!$B$37)*('Total Duration Tables Sup #1'!I177/'Total Duration Tables Sup #1'!$B177)</f>
        <v>2.8239560288639138</v>
      </c>
      <c r="J45" s="1">
        <f ca="1">$B45*('Updated Population'!J$37/'Updated Population'!$B$37)*('Total Duration Tables Sup #1'!J177/'Total Duration Tables Sup #1'!$B177)</f>
        <v>2.855450015228294</v>
      </c>
      <c r="K45" s="1">
        <f ca="1">$B45*('Updated Population'!K$37/'Updated Population'!$B$37)*('Total Duration Tables Sup #1'!K177/'Total Duration Tables Sup #1'!$B177)</f>
        <v>2.8810902522968309</v>
      </c>
    </row>
    <row r="46" spans="1:11" x14ac:dyDescent="0.2">
      <c r="A46" t="str">
        <f ca="1">OFFSET(Waikato_Reference,56,2)</f>
        <v>Local Ferry</v>
      </c>
      <c r="B46" s="4">
        <v>0</v>
      </c>
      <c r="C46" s="4">
        <f ca="1">$B46*('Updated Population'!C$37/'Updated Population'!$B$37)*('Total Duration Tables Sup #1'!C178/'Total Duration Tables Sup #1'!$B178)</f>
        <v>0</v>
      </c>
      <c r="D46" s="4">
        <f ca="1">$B46*('Updated Population'!D$37/'Updated Population'!$B$37)*('Total Duration Tables Sup #1'!D178/'Total Duration Tables Sup #1'!$B178)</f>
        <v>0</v>
      </c>
      <c r="E46" s="4">
        <f ca="1">$B46*('Updated Population'!E$37/'Updated Population'!$B$37)*('Total Duration Tables Sup #1'!E178/'Total Duration Tables Sup #1'!$B178)</f>
        <v>0</v>
      </c>
      <c r="F46" s="4">
        <f ca="1">$B46*('Updated Population'!F$37/'Updated Population'!$B$37)*('Total Duration Tables Sup #1'!F178/'Total Duration Tables Sup #1'!$B178)</f>
        <v>0</v>
      </c>
      <c r="G46" s="4">
        <f ca="1">$B46*('Updated Population'!G$37/'Updated Population'!$B$37)*('Total Duration Tables Sup #1'!G178/'Total Duration Tables Sup #1'!$B178)</f>
        <v>0</v>
      </c>
      <c r="H46" s="4">
        <f ca="1">$B46*('Updated Population'!H$37/'Updated Population'!$B$37)*('Total Duration Tables Sup #1'!H178/'Total Duration Tables Sup #1'!$B178)</f>
        <v>0</v>
      </c>
      <c r="I46" s="1">
        <f ca="1">$B46*('Updated Population'!I$37/'Updated Population'!$B$37)*('Total Duration Tables Sup #1'!I178/'Total Duration Tables Sup #1'!$B178)</f>
        <v>0</v>
      </c>
      <c r="J46" s="1">
        <f ca="1">$B46*('Updated Population'!J$37/'Updated Population'!$B$37)*('Total Duration Tables Sup #1'!J178/'Total Duration Tables Sup #1'!$B178)</f>
        <v>0</v>
      </c>
      <c r="K46" s="1">
        <f ca="1">$B46*('Updated Population'!K$37/'Updated Population'!$B$37)*('Total Duration Tables Sup #1'!K178/'Total Duration Tables Sup #1'!$B178)</f>
        <v>0</v>
      </c>
    </row>
    <row r="47" spans="1:11" x14ac:dyDescent="0.2">
      <c r="A47" t="str">
        <f ca="1">OFFSET(BOP_Reference,49,2)</f>
        <v>Other Household Travel</v>
      </c>
      <c r="B47" s="4">
        <f ca="1">OFFSET(BOP_Reference,49,7)</f>
        <v>0.21279540499999999</v>
      </c>
      <c r="C47" s="4">
        <f ca="1">$B47*('Updated Population'!C$37/'Updated Population'!$B$37)*('Total Duration Tables Sup #1'!C179/'Total Duration Tables Sup #1'!$B179)</f>
        <v>0.23763924718706328</v>
      </c>
      <c r="D47" s="4">
        <f ca="1">$B47*('Updated Population'!D$37/'Updated Population'!$B$37)*('Total Duration Tables Sup #1'!D179/'Total Duration Tables Sup #1'!$B179)</f>
        <v>0.25487279483938063</v>
      </c>
      <c r="E47" s="4">
        <f ca="1">$B47*('Updated Population'!E$37/'Updated Population'!$B$37)*('Total Duration Tables Sup #1'!E179/'Total Duration Tables Sup #1'!$B179)</f>
        <v>0.26501342381621446</v>
      </c>
      <c r="F47" s="4">
        <f ca="1">$B47*('Updated Population'!F$37/'Updated Population'!$B$37)*('Total Duration Tables Sup #1'!F179/'Total Duration Tables Sup #1'!$B179)</f>
        <v>0.27390218761626933</v>
      </c>
      <c r="G47" s="4">
        <f ca="1">$B47*('Updated Population'!G$37/'Updated Population'!$B$37)*('Total Duration Tables Sup #1'!G179/'Total Duration Tables Sup #1'!$B179)</f>
        <v>0.28469638995531249</v>
      </c>
      <c r="H47" s="4">
        <f ca="1">$B47*('Updated Population'!H$37/'Updated Population'!$B$37)*('Total Duration Tables Sup #1'!H179/'Total Duration Tables Sup #1'!$B179)</f>
        <v>0.29429329688091854</v>
      </c>
      <c r="I47" s="1">
        <f ca="1">$B47*('Updated Population'!I$37/'Updated Population'!$B$37)*('Total Duration Tables Sup #1'!I179/'Total Duration Tables Sup #1'!$B179)</f>
        <v>0.29852564233440537</v>
      </c>
      <c r="J47" s="1">
        <f ca="1">$B47*('Updated Population'!J$37/'Updated Population'!$B$37)*('Total Duration Tables Sup #1'!J179/'Total Duration Tables Sup #1'!$B179)</f>
        <v>0.30185493018910331</v>
      </c>
      <c r="K47" s="1">
        <f ca="1">$B47*('Updated Population'!K$37/'Updated Population'!$B$37)*('Total Duration Tables Sup #1'!K179/'Total Duration Tables Sup #1'!$B179)</f>
        <v>0.30456540732198223</v>
      </c>
    </row>
    <row r="48" spans="1:11" x14ac:dyDescent="0.2">
      <c r="A48" t="str">
        <f ca="1">OFFSET(Gisborne_Reference,0,0)</f>
        <v>05 GISBORNE</v>
      </c>
      <c r="I48" s="1"/>
      <c r="J48" s="1"/>
      <c r="K48" s="1"/>
    </row>
    <row r="49" spans="1:11" x14ac:dyDescent="0.2">
      <c r="A49" t="str">
        <f ca="1">OFFSET(Gisborne_Reference,0,2)</f>
        <v>Pedestrian</v>
      </c>
      <c r="B49" s="4">
        <f ca="1">OFFSET(Gisborne_Reference,0,7)</f>
        <v>2.2694063563000002</v>
      </c>
      <c r="C49" s="4">
        <f ca="1">$B49*('Updated Population'!C$48/'Updated Population'!$B$48)*('Total Duration Tables Sup #1'!C170/'Total Duration Tables Sup #1'!$B170)</f>
        <v>2.3253827637160698</v>
      </c>
      <c r="D49" s="4">
        <f ca="1">$B49*('Updated Population'!D$48/'Updated Population'!$B$48)*('Total Duration Tables Sup #1'!D170/'Total Duration Tables Sup #1'!$B170)</f>
        <v>2.3495532131441439</v>
      </c>
      <c r="E49" s="4">
        <f ca="1">$B49*('Updated Population'!E$48/'Updated Population'!$B$48)*('Total Duration Tables Sup #1'!E170/'Total Duration Tables Sup #1'!$B170)</f>
        <v>2.3575324090802634</v>
      </c>
      <c r="F49" s="4">
        <f ca="1">$B49*('Updated Population'!F$48/'Updated Population'!$B$48)*('Total Duration Tables Sup #1'!F170/'Total Duration Tables Sup #1'!$B170)</f>
        <v>2.3421397668080393</v>
      </c>
      <c r="G49" s="4">
        <f ca="1">$B49*('Updated Population'!G$48/'Updated Population'!$B$48)*('Total Duration Tables Sup #1'!G170/'Total Duration Tables Sup #1'!$B170)</f>
        <v>2.3140731283670073</v>
      </c>
      <c r="H49" s="4">
        <f ca="1">$B49*('Updated Population'!H$48/'Updated Population'!$B$48)*('Total Duration Tables Sup #1'!H170/'Total Duration Tables Sup #1'!$B170)</f>
        <v>2.2764339653903645</v>
      </c>
      <c r="I49" s="1">
        <f ca="1">$B49*('Updated Population'!I$48/'Updated Population'!$B$48)*('Total Duration Tables Sup #1'!I170/'Total Duration Tables Sup #1'!$B170)</f>
        <v>2.2550685013026159</v>
      </c>
      <c r="J49" s="1">
        <f ca="1">$B49*('Updated Population'!J$48/'Updated Population'!$B$48)*('Total Duration Tables Sup #1'!J170/'Total Duration Tables Sup #1'!$B170)</f>
        <v>2.2267926627619126</v>
      </c>
      <c r="K49" s="1">
        <f ca="1">$B49*('Updated Population'!K$48/'Updated Population'!$B$48)*('Total Duration Tables Sup #1'!K170/'Total Duration Tables Sup #1'!$B170)</f>
        <v>2.1941458525414679</v>
      </c>
    </row>
    <row r="50" spans="1:11" x14ac:dyDescent="0.2">
      <c r="A50" t="str">
        <f ca="1">OFFSET(Gisborne_Reference,7,2)</f>
        <v>Cyclist</v>
      </c>
      <c r="B50" s="4">
        <f ca="1">OFFSET(Gisborne_Reference,7,7)</f>
        <v>0.28046850410000002</v>
      </c>
      <c r="C50" s="4">
        <f ca="1">$B50*('Updated Population'!C$48/'Updated Population'!$B$48)*('Total Duration Tables Sup #1'!C171/'Total Duration Tables Sup #1'!$B171)</f>
        <v>0.2928561343514014</v>
      </c>
      <c r="D50" s="4">
        <f ca="1">$B50*('Updated Population'!D$48/'Updated Population'!$B$48)*('Total Duration Tables Sup #1'!D171/'Total Duration Tables Sup #1'!$B171)</f>
        <v>0.2971038535155972</v>
      </c>
      <c r="E50" s="4">
        <f ca="1">$B50*('Updated Population'!E$48/'Updated Population'!$B$48)*('Total Duration Tables Sup #1'!E171/'Total Duration Tables Sup #1'!$B171)</f>
        <v>0.29586943818498934</v>
      </c>
      <c r="F50" s="4">
        <f ca="1">$B50*('Updated Population'!F$48/'Updated Population'!$B$48)*('Total Duration Tables Sup #1'!F171/'Total Duration Tables Sup #1'!$B171)</f>
        <v>0.29635332594843716</v>
      </c>
      <c r="G50" s="4">
        <f ca="1">$B50*('Updated Population'!G$48/'Updated Population'!$B$48)*('Total Duration Tables Sup #1'!G171/'Total Duration Tables Sup #1'!$B171)</f>
        <v>0.29872046022962728</v>
      </c>
      <c r="H50" s="4">
        <f ca="1">$B50*('Updated Population'!H$48/'Updated Population'!$B$48)*('Total Duration Tables Sup #1'!H171/'Total Duration Tables Sup #1'!$B171)</f>
        <v>0.30048990326008113</v>
      </c>
      <c r="I50" s="1">
        <f ca="1">$B50*('Updated Population'!I$48/'Updated Population'!$B$48)*('Total Duration Tables Sup #1'!I171/'Total Duration Tables Sup #1'!$B171)</f>
        <v>0.29766965618309932</v>
      </c>
      <c r="J50" s="1">
        <f ca="1">$B50*('Updated Population'!J$48/'Updated Population'!$B$48)*('Total Duration Tables Sup #1'!J171/'Total Duration Tables Sup #1'!$B171)</f>
        <v>0.29393723779676734</v>
      </c>
      <c r="K50" s="1">
        <f ca="1">$B50*('Updated Population'!K$48/'Updated Population'!$B$48)*('Total Duration Tables Sup #1'!K171/'Total Duration Tables Sup #1'!$B171)</f>
        <v>0.28962784995857921</v>
      </c>
    </row>
    <row r="51" spans="1:11" x14ac:dyDescent="0.2">
      <c r="A51" t="str">
        <f ca="1">OFFSET(Gisborne_Reference,14,2)</f>
        <v>Light Vehicle Driver</v>
      </c>
      <c r="B51" s="4">
        <f ca="1">OFFSET(Gisborne_Reference,14,7)</f>
        <v>6.0182660548999998</v>
      </c>
      <c r="C51" s="4">
        <f ca="1">$B51*('Updated Population'!C$48/'Updated Population'!$B$48)*('Total Duration Tables Sup #1'!C172/'Total Duration Tables Sup #1'!$B172)</f>
        <v>6.3970390170838973</v>
      </c>
      <c r="D51" s="4">
        <f ca="1">$B51*('Updated Population'!D$48/'Updated Population'!$B$48)*('Total Duration Tables Sup #1'!D172/'Total Duration Tables Sup #1'!$B172)</f>
        <v>6.6050833100307473</v>
      </c>
      <c r="E51" s="4">
        <f ca="1">$B51*('Updated Population'!E$48/'Updated Population'!$B$48)*('Total Duration Tables Sup #1'!E172/'Total Duration Tables Sup #1'!$B172)</f>
        <v>6.6965050386085432</v>
      </c>
      <c r="F51" s="4">
        <f ca="1">$B51*('Updated Population'!F$48/'Updated Population'!$B$48)*('Total Duration Tables Sup #1'!F172/'Total Duration Tables Sup #1'!$B172)</f>
        <v>6.759249150410132</v>
      </c>
      <c r="G51" s="4">
        <f ca="1">$B51*('Updated Population'!G$48/'Updated Population'!$B$48)*('Total Duration Tables Sup #1'!G172/'Total Duration Tables Sup #1'!$B172)</f>
        <v>6.7493008639543985</v>
      </c>
      <c r="H51" s="4">
        <f ca="1">$B51*('Updated Population'!H$48/'Updated Population'!$B$48)*('Total Duration Tables Sup #1'!H172/'Total Duration Tables Sup #1'!$B172)</f>
        <v>6.7130970547665649</v>
      </c>
      <c r="I51" s="1">
        <f ca="1">$B51*('Updated Population'!I$48/'Updated Population'!$B$48)*('Total Duration Tables Sup #1'!I172/'Total Duration Tables Sup #1'!$B172)</f>
        <v>6.6500913026903827</v>
      </c>
      <c r="J51" s="1">
        <f ca="1">$B51*('Updated Population'!J$48/'Updated Population'!$B$48)*('Total Duration Tables Sup #1'!J172/'Total Duration Tables Sup #1'!$B172)</f>
        <v>6.5667071802802699</v>
      </c>
      <c r="K51" s="1">
        <f ca="1">$B51*('Updated Population'!K$48/'Updated Population'!$B$48)*('Total Duration Tables Sup #1'!K172/'Total Duration Tables Sup #1'!$B172)</f>
        <v>6.4704332672784455</v>
      </c>
    </row>
    <row r="52" spans="1:11" x14ac:dyDescent="0.2">
      <c r="A52" t="str">
        <f ca="1">OFFSET(Gisborne_Reference,21,2)</f>
        <v>Light Vehicle Passenger</v>
      </c>
      <c r="B52" s="4">
        <f ca="1">OFFSET(Gisborne_Reference,21,7)</f>
        <v>4.5909579553000004</v>
      </c>
      <c r="C52" s="4">
        <f ca="1">$B52*('Updated Population'!C$48/'Updated Population'!$B$48)*('Total Duration Tables Sup #1'!C173/'Total Duration Tables Sup #1'!$B173)</f>
        <v>4.6563372558556155</v>
      </c>
      <c r="D52" s="4">
        <f ca="1">$B52*('Updated Population'!D$48/'Updated Population'!$B$48)*('Total Duration Tables Sup #1'!D173/'Total Duration Tables Sup #1'!$B173)</f>
        <v>4.679708583279556</v>
      </c>
      <c r="E52" s="4">
        <f ca="1">$B52*('Updated Population'!E$48/'Updated Population'!$B$48)*('Total Duration Tables Sup #1'!E173/'Total Duration Tables Sup #1'!$B173)</f>
        <v>4.6676886228471739</v>
      </c>
      <c r="F52" s="4">
        <f ca="1">$B52*('Updated Population'!F$48/'Updated Population'!$B$48)*('Total Duration Tables Sup #1'!F173/'Total Duration Tables Sup #1'!$B173)</f>
        <v>4.6297160895064007</v>
      </c>
      <c r="G52" s="4">
        <f ca="1">$B52*('Updated Population'!G$48/'Updated Population'!$B$48)*('Total Duration Tables Sup #1'!G173/'Total Duration Tables Sup #1'!$B173)</f>
        <v>4.561768638180201</v>
      </c>
      <c r="H52" s="4">
        <f ca="1">$B52*('Updated Population'!H$48/'Updated Population'!$B$48)*('Total Duration Tables Sup #1'!H173/'Total Duration Tables Sup #1'!$B173)</f>
        <v>4.4729071962558722</v>
      </c>
      <c r="I52" s="1">
        <f ca="1">$B52*('Updated Population'!I$48/'Updated Population'!$B$48)*('Total Duration Tables Sup #1'!I173/'Total Duration Tables Sup #1'!$B173)</f>
        <v>4.4309267393120875</v>
      </c>
      <c r="J52" s="1">
        <f ca="1">$B52*('Updated Population'!J$48/'Updated Population'!$B$48)*('Total Duration Tables Sup #1'!J173/'Total Duration Tables Sup #1'!$B173)</f>
        <v>4.3753682633748374</v>
      </c>
      <c r="K52" s="1">
        <f ca="1">$B52*('Updated Population'!K$48/'Updated Population'!$B$48)*('Total Duration Tables Sup #1'!K173/'Total Duration Tables Sup #1'!$B173)</f>
        <v>4.3112213763621119</v>
      </c>
    </row>
    <row r="53" spans="1:11" x14ac:dyDescent="0.2">
      <c r="A53" t="str">
        <f ca="1">OFFSET(Gisborne_Reference,28,2)</f>
        <v>Taxi/Vehicle Share</v>
      </c>
      <c r="B53" s="4">
        <f ca="1">OFFSET(Gisborne_Reference,28,7)</f>
        <v>5.0534828E-3</v>
      </c>
      <c r="C53" s="4">
        <f ca="1">$B53*('Updated Population'!C$48/'Updated Population'!$B$48)*('Total Duration Tables Sup #1'!C174/'Total Duration Tables Sup #1'!$B174)</f>
        <v>5.595831452974257E-3</v>
      </c>
      <c r="D53" s="4">
        <f ca="1">$B53*('Updated Population'!D$48/'Updated Population'!$B$48)*('Total Duration Tables Sup #1'!D174/'Total Duration Tables Sup #1'!$B174)</f>
        <v>6.0358761737344278E-3</v>
      </c>
      <c r="E53" s="4">
        <f ca="1">$B53*('Updated Population'!E$48/'Updated Population'!$B$48)*('Total Duration Tables Sup #1'!E174/'Total Duration Tables Sup #1'!$B174)</f>
        <v>6.4295528306586901E-3</v>
      </c>
      <c r="F53" s="4">
        <f ca="1">$B53*('Updated Population'!F$48/'Updated Population'!$B$48)*('Total Duration Tables Sup #1'!F174/'Total Duration Tables Sup #1'!$B174)</f>
        <v>6.7538543872975258E-3</v>
      </c>
      <c r="G53" s="4">
        <f ca="1">$B53*('Updated Population'!G$48/'Updated Population'!$B$48)*('Total Duration Tables Sup #1'!G174/'Total Duration Tables Sup #1'!$B174)</f>
        <v>6.9509834163497689E-3</v>
      </c>
      <c r="H53" s="4">
        <f ca="1">$B53*('Updated Population'!H$48/'Updated Population'!$B$48)*('Total Duration Tables Sup #1'!H174/'Total Duration Tables Sup #1'!$B174)</f>
        <v>7.1170641711166766E-3</v>
      </c>
      <c r="I53" s="1">
        <f ca="1">$B53*('Updated Population'!I$48/'Updated Population'!$B$48)*('Total Duration Tables Sup #1'!I174/'Total Duration Tables Sup #1'!$B174)</f>
        <v>7.0502669868934475E-3</v>
      </c>
      <c r="J53" s="1">
        <f ca="1">$B53*('Updated Population'!J$48/'Updated Population'!$B$48)*('Total Duration Tables Sup #1'!J174/'Total Duration Tables Sup #1'!$B174)</f>
        <v>6.9618651441666762E-3</v>
      </c>
      <c r="K53" s="1">
        <f ca="1">$B53*('Updated Population'!K$48/'Updated Population'!$B$48)*('Total Duration Tables Sup #1'!K174/'Total Duration Tables Sup #1'!$B174)</f>
        <v>6.8597978552166414E-3</v>
      </c>
    </row>
    <row r="54" spans="1:11" x14ac:dyDescent="0.2">
      <c r="A54" t="str">
        <f ca="1">OFFSET(Gisborne_Reference,35,2)</f>
        <v>Motorcyclist</v>
      </c>
      <c r="B54" s="4">
        <f ca="1">OFFSET(Gisborne_Reference,35,7)</f>
        <v>4.6418087199999999E-2</v>
      </c>
      <c r="C54" s="4">
        <f ca="1">$B54*('Updated Population'!C$48/'Updated Population'!$B$48)*('Total Duration Tables Sup #1'!C175/'Total Duration Tables Sup #1'!$B175)</f>
        <v>4.8445626912103926E-2</v>
      </c>
      <c r="D54" s="4">
        <f ca="1">$B54*('Updated Population'!D$48/'Updated Population'!$B$48)*('Total Duration Tables Sup #1'!D175/'Total Duration Tables Sup #1'!$B175)</f>
        <v>4.9346700715421452E-2</v>
      </c>
      <c r="E54" s="4">
        <f ca="1">$B54*('Updated Population'!E$48/'Updated Population'!$B$48)*('Total Duration Tables Sup #1'!E175/'Total Duration Tables Sup #1'!$B175)</f>
        <v>4.9155649230038477E-2</v>
      </c>
      <c r="F54" s="4">
        <f ca="1">$B54*('Updated Population'!F$48/'Updated Population'!$B$48)*('Total Duration Tables Sup #1'!F175/'Total Duration Tables Sup #1'!$B175)</f>
        <v>4.8792381949492612E-2</v>
      </c>
      <c r="G54" s="4">
        <f ca="1">$B54*('Updated Population'!G$48/'Updated Population'!$B$48)*('Total Duration Tables Sup #1'!G175/'Total Duration Tables Sup #1'!$B175)</f>
        <v>4.76665465359421E-2</v>
      </c>
      <c r="H54" s="4">
        <f ca="1">$B54*('Updated Population'!H$48/'Updated Population'!$B$48)*('Total Duration Tables Sup #1'!H175/'Total Duration Tables Sup #1'!$B175)</f>
        <v>4.6346096599163396E-2</v>
      </c>
      <c r="I54" s="1">
        <f ca="1">$B54*('Updated Population'!I$48/'Updated Population'!$B$48)*('Total Duration Tables Sup #1'!I175/'Total Duration Tables Sup #1'!$B175)</f>
        <v>4.5911115449896039E-2</v>
      </c>
      <c r="J54" s="1">
        <f ca="1">$B54*('Updated Population'!J$48/'Updated Population'!$B$48)*('Total Duration Tables Sup #1'!J175/'Total Duration Tables Sup #1'!$B175)</f>
        <v>4.5335445448326253E-2</v>
      </c>
      <c r="K54" s="1">
        <f ca="1">$B54*('Updated Population'!K$48/'Updated Population'!$B$48)*('Total Duration Tables Sup #1'!K175/'Total Duration Tables Sup #1'!$B175)</f>
        <v>4.4670786493515843E-2</v>
      </c>
    </row>
    <row r="55" spans="1:11" x14ac:dyDescent="0.2">
      <c r="A55" t="str">
        <f ca="1">OFFSET(Gisborne_Reference,42,2)</f>
        <v>Local Train</v>
      </c>
      <c r="B55" s="4">
        <v>0</v>
      </c>
      <c r="C55" s="4">
        <f ca="1">$B55*('Updated Population'!C$48/'Updated Population'!$B$48)*('Total Duration Tables Sup #1'!C176/'Total Duration Tables Sup #1'!$B176)</f>
        <v>0</v>
      </c>
      <c r="D55" s="4">
        <f ca="1">$B55*('Updated Population'!D$48/'Updated Population'!$B$48)*('Total Duration Tables Sup #1'!D176/'Total Duration Tables Sup #1'!$B176)</f>
        <v>0</v>
      </c>
      <c r="E55" s="4">
        <f ca="1">$B55*('Updated Population'!E$48/'Updated Population'!$B$48)*('Total Duration Tables Sup #1'!E176/'Total Duration Tables Sup #1'!$B176)</f>
        <v>0</v>
      </c>
      <c r="F55" s="4">
        <f ca="1">$B55*('Updated Population'!F$48/'Updated Population'!$B$48)*('Total Duration Tables Sup #1'!F176/'Total Duration Tables Sup #1'!$B176)</f>
        <v>0</v>
      </c>
      <c r="G55" s="4">
        <f ca="1">$B55*('Updated Population'!G$48/'Updated Population'!$B$48)*('Total Duration Tables Sup #1'!G176/'Total Duration Tables Sup #1'!$B176)</f>
        <v>0</v>
      </c>
      <c r="H55" s="4">
        <f ca="1">$B55*('Updated Population'!H$48/'Updated Population'!$B$48)*('Total Duration Tables Sup #1'!H176/'Total Duration Tables Sup #1'!$B176)</f>
        <v>0</v>
      </c>
      <c r="I55" s="1">
        <f ca="1">$B55*('Updated Population'!I$48/'Updated Population'!$B$48)*('Total Duration Tables Sup #1'!I176/'Total Duration Tables Sup #1'!$B176)</f>
        <v>0</v>
      </c>
      <c r="J55" s="1">
        <f ca="1">$B55*('Updated Population'!J$48/'Updated Population'!$B$48)*('Total Duration Tables Sup #1'!J176/'Total Duration Tables Sup #1'!$B176)</f>
        <v>0</v>
      </c>
      <c r="K55" s="1">
        <f ca="1">$B55*('Updated Population'!K$48/'Updated Population'!$B$48)*('Total Duration Tables Sup #1'!K176/'Total Duration Tables Sup #1'!$B176)</f>
        <v>0</v>
      </c>
    </row>
    <row r="56" spans="1:11" x14ac:dyDescent="0.2">
      <c r="A56" t="str">
        <f ca="1">OFFSET(Gisborne_Reference,49,2)</f>
        <v>Local Bus</v>
      </c>
      <c r="B56" s="4">
        <f ca="1">OFFSET(Gisborne_Reference,49,7)</f>
        <v>0.17812381360000001</v>
      </c>
      <c r="C56" s="4">
        <f ca="1">$B56*('Updated Population'!C$48/'Updated Population'!$B$48)*('Total Duration Tables Sup #1'!C177/'Total Duration Tables Sup #1'!$B177)</f>
        <v>0.16945597893504794</v>
      </c>
      <c r="D56" s="4">
        <f ca="1">$B56*('Updated Population'!D$48/'Updated Population'!$B$48)*('Total Duration Tables Sup #1'!D177/'Total Duration Tables Sup #1'!$B177)</f>
        <v>0.16336307970767922</v>
      </c>
      <c r="E56" s="4">
        <f ca="1">$B56*('Updated Population'!E$48/'Updated Population'!$B$48)*('Total Duration Tables Sup #1'!E177/'Total Duration Tables Sup #1'!$B177)</f>
        <v>0.15884991626885892</v>
      </c>
      <c r="F56" s="4">
        <f ca="1">$B56*('Updated Population'!F$48/'Updated Population'!$B$48)*('Total Duration Tables Sup #1'!F177/'Total Duration Tables Sup #1'!$B177)</f>
        <v>0.152686234070739</v>
      </c>
      <c r="G56" s="4">
        <f ca="1">$B56*('Updated Population'!G$48/'Updated Population'!$B$48)*('Total Duration Tables Sup #1'!G177/'Total Duration Tables Sup #1'!$B177)</f>
        <v>0.14747650966979409</v>
      </c>
      <c r="H56" s="4">
        <f ca="1">$B56*('Updated Population'!H$48/'Updated Population'!$B$48)*('Total Duration Tables Sup #1'!H177/'Total Duration Tables Sup #1'!$B177)</f>
        <v>0.14179059890753337</v>
      </c>
      <c r="I56" s="1">
        <f ca="1">$B56*('Updated Population'!I$48/'Updated Population'!$B$48)*('Total Duration Tables Sup #1'!I177/'Total Duration Tables Sup #1'!$B177)</f>
        <v>0.14045982367091464</v>
      </c>
      <c r="J56" s="1">
        <f ca="1">$B56*('Updated Population'!J$48/'Updated Population'!$B$48)*('Total Duration Tables Sup #1'!J177/'Total Duration Tables Sup #1'!$B177)</f>
        <v>0.13869862692976009</v>
      </c>
      <c r="K56" s="1">
        <f ca="1">$B56*('Updated Population'!K$48/'Updated Population'!$B$48)*('Total Duration Tables Sup #1'!K177/'Total Duration Tables Sup #1'!$B177)</f>
        <v>0.13666517863125713</v>
      </c>
    </row>
    <row r="57" spans="1:11" x14ac:dyDescent="0.2">
      <c r="A57" t="str">
        <f ca="1">OFFSET(Gisborne_Reference,56,2)</f>
        <v>Local Ferry</v>
      </c>
      <c r="B57" s="4">
        <f ca="1">OFFSET(Gisborne_Reference,56,7)</f>
        <v>6.5213138999999998E-3</v>
      </c>
      <c r="C57" s="4">
        <f ca="1">$B57*('Updated Population'!C$48/'Updated Population'!$B$48)*('Total Duration Tables Sup #1'!C178/'Total Duration Tables Sup #1'!$B178)</f>
        <v>7.2676028022844973E-3</v>
      </c>
      <c r="D57" s="4">
        <f ca="1">$B57*('Updated Population'!D$48/'Updated Population'!$B$48)*('Total Duration Tables Sup #1'!D178/'Total Duration Tables Sup #1'!$B178)</f>
        <v>7.7916344527353696E-3</v>
      </c>
      <c r="E57" s="4">
        <f ca="1">$B57*('Updated Population'!E$48/'Updated Population'!$B$48)*('Total Duration Tables Sup #1'!E178/'Total Duration Tables Sup #1'!$B178)</f>
        <v>8.1541159856626209E-3</v>
      </c>
      <c r="F57" s="4">
        <f ca="1">$B57*('Updated Population'!F$48/'Updated Population'!$B$48)*('Total Duration Tables Sup #1'!F178/'Total Duration Tables Sup #1'!$B178)</f>
        <v>8.4377571556782261E-3</v>
      </c>
      <c r="G57" s="4">
        <f ca="1">$B57*('Updated Population'!G$48/'Updated Population'!$B$48)*('Total Duration Tables Sup #1'!G178/'Total Duration Tables Sup #1'!$B178)</f>
        <v>8.8469044112746177E-3</v>
      </c>
      <c r="H57" s="4">
        <f ca="1">$B57*('Updated Population'!H$48/'Updated Population'!$B$48)*('Total Duration Tables Sup #1'!H178/'Total Duration Tables Sup #1'!$B178)</f>
        <v>9.1996457259248179E-3</v>
      </c>
      <c r="I57" s="1">
        <f ca="1">$B57*('Updated Population'!I$48/'Updated Population'!$B$48)*('Total Duration Tables Sup #1'!I178/'Total Duration Tables Sup #1'!$B178)</f>
        <v>9.1133024788262566E-3</v>
      </c>
      <c r="J57" s="1">
        <f ca="1">$B57*('Updated Population'!J$48/'Updated Population'!$B$48)*('Total Duration Tables Sup #1'!J178/'Total Duration Tables Sup #1'!$B178)</f>
        <v>8.9990326598318321E-3</v>
      </c>
      <c r="K57" s="1">
        <f ca="1">$B57*('Updated Population'!K$48/'Updated Population'!$B$48)*('Total Duration Tables Sup #1'!K178/'Total Duration Tables Sup #1'!$B178)</f>
        <v>8.8670986381664645E-3</v>
      </c>
    </row>
    <row r="58" spans="1:11" x14ac:dyDescent="0.2">
      <c r="A58" t="str">
        <f ca="1">OFFSET(Gisborne_Reference,63,2)</f>
        <v>Other Household Travel</v>
      </c>
      <c r="B58" s="4">
        <f ca="1">OFFSET(Gisborne_Reference,63,7)</f>
        <v>5.2226492000000003E-3</v>
      </c>
      <c r="C58" s="4">
        <f ca="1">$B58*('Updated Population'!C$48/'Updated Population'!$B$48)*('Total Duration Tables Sup #1'!C179/'Total Duration Tables Sup #1'!$B179)</f>
        <v>5.5465691203634678E-3</v>
      </c>
      <c r="D58" s="4">
        <f ca="1">$B58*('Updated Population'!D$48/'Updated Population'!$B$48)*('Total Duration Tables Sup #1'!D179/'Total Duration Tables Sup #1'!$B179)</f>
        <v>5.7756463036232756E-3</v>
      </c>
      <c r="E58" s="4">
        <f ca="1">$B58*('Updated Population'!E$48/'Updated Population'!$B$48)*('Total Duration Tables Sup #1'!E179/'Total Duration Tables Sup #1'!$B179)</f>
        <v>5.8682748205878882E-3</v>
      </c>
      <c r="F58" s="4">
        <f ca="1">$B58*('Updated Population'!F$48/'Updated Population'!$B$48)*('Total Duration Tables Sup #1'!F179/'Total Duration Tables Sup #1'!$B179)</f>
        <v>5.9289101157112408E-3</v>
      </c>
      <c r="G58" s="4">
        <f ca="1">$B58*('Updated Population'!G$48/'Updated Population'!$B$48)*('Total Duration Tables Sup #1'!G179/'Total Duration Tables Sup #1'!$B179)</f>
        <v>6.0173406173208988E-3</v>
      </c>
      <c r="H58" s="4">
        <f ca="1">$B58*('Updated Population'!H$48/'Updated Population'!$B$48)*('Total Duration Tables Sup #1'!H179/'Total Duration Tables Sup #1'!$B179)</f>
        <v>6.074442377865941E-3</v>
      </c>
      <c r="I58" s="1">
        <f ca="1">$B58*('Updated Population'!I$48/'Updated Population'!$B$48)*('Total Duration Tables Sup #1'!I179/'Total Duration Tables Sup #1'!$B179)</f>
        <v>6.0174307173255755E-3</v>
      </c>
      <c r="J58" s="1">
        <f ca="1">$B58*('Updated Population'!J$48/'Updated Population'!$B$48)*('Total Duration Tables Sup #1'!J179/'Total Duration Tables Sup #1'!$B179)</f>
        <v>5.9419793954279569E-3</v>
      </c>
      <c r="K58" s="1">
        <f ca="1">$B58*('Updated Population'!K$48/'Updated Population'!$B$48)*('Total Duration Tables Sup #1'!K179/'Total Duration Tables Sup #1'!$B179)</f>
        <v>5.8548645612090736E-3</v>
      </c>
    </row>
    <row r="59" spans="1:11" x14ac:dyDescent="0.2">
      <c r="A59" t="str">
        <f ca="1">OFFSET(Hawkes_Bay_Reference,0,0)</f>
        <v>06 HAWKE`S BAY</v>
      </c>
      <c r="I59" s="1"/>
      <c r="J59" s="1"/>
      <c r="K59" s="1"/>
    </row>
    <row r="60" spans="1:11" x14ac:dyDescent="0.2">
      <c r="A60" t="str">
        <f ca="1">OFFSET(Hawkes_Bay_Reference,0,2)</f>
        <v>Pedestrian</v>
      </c>
      <c r="B60" s="4">
        <f ca="1">OFFSET(Hawkes_Bay_Reference,0,7)</f>
        <v>5.9462513095</v>
      </c>
      <c r="C60" s="4">
        <f ca="1">$B60*('Updated Population'!C$59/'Updated Population'!$B$59)*('Total Duration Tables Sup #1'!C170/'Total Duration Tables Sup #1'!$B170)</f>
        <v>6.1324364398718822</v>
      </c>
      <c r="D60" s="4">
        <f ca="1">$B60*('Updated Population'!D$59/'Updated Population'!$B$59)*('Total Duration Tables Sup #1'!D170/'Total Duration Tables Sup #1'!$B170)</f>
        <v>6.2056253754215565</v>
      </c>
      <c r="E60" s="4">
        <f ca="1">$B60*('Updated Population'!E$59/'Updated Population'!$B$59)*('Total Duration Tables Sup #1'!E170/'Total Duration Tables Sup #1'!$B170)</f>
        <v>6.2438550202387759</v>
      </c>
      <c r="F60" s="4">
        <f ca="1">$B60*('Updated Population'!F$59/'Updated Population'!$B$59)*('Total Duration Tables Sup #1'!F170/'Total Duration Tables Sup #1'!$B170)</f>
        <v>6.2132717298824875</v>
      </c>
      <c r="G60" s="4">
        <f ca="1">$B60*('Updated Population'!G$59/'Updated Population'!$B$59)*('Total Duration Tables Sup #1'!G170/'Total Duration Tables Sup #1'!$B170)</f>
        <v>6.1582305490063129</v>
      </c>
      <c r="H60" s="4">
        <f ca="1">$B60*('Updated Population'!H$59/'Updated Population'!$B$59)*('Total Duration Tables Sup #1'!H170/'Total Duration Tables Sup #1'!$B170)</f>
        <v>6.0731518718634216</v>
      </c>
      <c r="I60" s="1">
        <f ca="1">$B60*('Updated Population'!I$59/'Updated Population'!$B$59)*('Total Duration Tables Sup #1'!I170/'Total Duration Tables Sup #1'!$B170)</f>
        <v>6.0311349191835371</v>
      </c>
      <c r="J60" s="1">
        <f ca="1">$B60*('Updated Population'!J$59/'Updated Population'!$B$59)*('Total Duration Tables Sup #1'!J170/'Total Duration Tables Sup #1'!$B170)</f>
        <v>5.9703433399978003</v>
      </c>
      <c r="K60" s="1">
        <f ca="1">$B60*('Updated Population'!K$59/'Updated Population'!$B$59)*('Total Duration Tables Sup #1'!K170/'Total Duration Tables Sup #1'!$B170)</f>
        <v>5.8974631918941158</v>
      </c>
    </row>
    <row r="61" spans="1:11" x14ac:dyDescent="0.2">
      <c r="A61" t="str">
        <f ca="1">OFFSET(Hawkes_Bay_Reference,7,2)</f>
        <v>Cyclist</v>
      </c>
      <c r="B61" s="4">
        <f ca="1">OFFSET(Hawkes_Bay_Reference,7,7)</f>
        <v>0.88401106659999995</v>
      </c>
      <c r="C61" s="4">
        <f ca="1">$B61*('Updated Population'!C$59/'Updated Population'!$B$59)*('Total Duration Tables Sup #1'!C171/'Total Duration Tables Sup #1'!$B171)</f>
        <v>0.92904241626800788</v>
      </c>
      <c r="D61" s="4">
        <f ca="1">$B61*('Updated Population'!D$59/'Updated Population'!$B$59)*('Total Duration Tables Sup #1'!D171/'Total Duration Tables Sup #1'!$B171)</f>
        <v>0.94395472377222844</v>
      </c>
      <c r="E61" s="4">
        <f ca="1">$B61*('Updated Population'!E$59/'Updated Population'!$B$59)*('Total Duration Tables Sup #1'!E171/'Total Duration Tables Sup #1'!$B171)</f>
        <v>0.94262261774581735</v>
      </c>
      <c r="F61" s="4">
        <f ca="1">$B61*('Updated Population'!F$59/'Updated Population'!$B$59)*('Total Duration Tables Sup #1'!F171/'Total Duration Tables Sup #1'!$B171)</f>
        <v>0.94571429909584226</v>
      </c>
      <c r="G61" s="4">
        <f ca="1">$B61*('Updated Population'!G$59/'Updated Population'!$B$59)*('Total Duration Tables Sup #1'!G171/'Total Duration Tables Sup #1'!$B171)</f>
        <v>0.95628302083941719</v>
      </c>
      <c r="H61" s="4">
        <f ca="1">$B61*('Updated Population'!H$59/'Updated Population'!$B$59)*('Total Duration Tables Sup #1'!H171/'Total Duration Tables Sup #1'!$B171)</f>
        <v>0.96434310411471558</v>
      </c>
      <c r="I61" s="1">
        <f ca="1">$B61*('Updated Population'!I$59/'Updated Population'!$B$59)*('Total Duration Tables Sup #1'!I171/'Total Duration Tables Sup #1'!$B171)</f>
        <v>0.95767131993614407</v>
      </c>
      <c r="J61" s="1">
        <f ca="1">$B61*('Updated Population'!J$59/'Updated Population'!$B$59)*('Total Duration Tables Sup #1'!J171/'Total Duration Tables Sup #1'!$B171)</f>
        <v>0.94801835201884055</v>
      </c>
      <c r="K61" s="1">
        <f ca="1">$B61*('Updated Population'!K$59/'Updated Population'!$B$59)*('Total Duration Tables Sup #1'!K171/'Total Duration Tables Sup #1'!$B171)</f>
        <v>0.93644586548573427</v>
      </c>
    </row>
    <row r="62" spans="1:11" x14ac:dyDescent="0.2">
      <c r="A62" t="str">
        <f ca="1">OFFSET(Hawkes_Bay_Reference,14,2)</f>
        <v>Light Vehicle Driver</v>
      </c>
      <c r="B62" s="4">
        <f ca="1">OFFSET(Hawkes_Bay_Reference,14,7)</f>
        <v>25.377986313000001</v>
      </c>
      <c r="C62" s="4">
        <f ca="1">$B62*('Updated Population'!C$59/'Updated Population'!$B$59)*('Total Duration Tables Sup #1'!C172/'Total Duration Tables Sup #1'!$B172)</f>
        <v>27.150159717086932</v>
      </c>
      <c r="D62" s="4">
        <f ca="1">$B62*('Updated Population'!D$59/'Updated Population'!$B$59)*('Total Duration Tables Sup #1'!D172/'Total Duration Tables Sup #1'!$B172)</f>
        <v>28.075878299575599</v>
      </c>
      <c r="E62" s="4">
        <f ca="1">$B62*('Updated Population'!E$59/'Updated Population'!$B$59)*('Total Duration Tables Sup #1'!E172/'Total Duration Tables Sup #1'!$B172)</f>
        <v>28.542901658543386</v>
      </c>
      <c r="F62" s="4">
        <f ca="1">$B62*('Updated Population'!F$59/'Updated Population'!$B$59)*('Total Duration Tables Sup #1'!F172/'Total Duration Tables Sup #1'!$B172)</f>
        <v>28.857637731526637</v>
      </c>
      <c r="G62" s="4">
        <f ca="1">$B62*('Updated Population'!G$59/'Updated Population'!$B$59)*('Total Duration Tables Sup #1'!G172/'Total Duration Tables Sup #1'!$B172)</f>
        <v>28.906295319566823</v>
      </c>
      <c r="H62" s="4">
        <f ca="1">$B62*('Updated Population'!H$59/'Updated Population'!$B$59)*('Total Duration Tables Sup #1'!H172/'Total Duration Tables Sup #1'!$B172)</f>
        <v>28.822841499815091</v>
      </c>
      <c r="I62" s="1">
        <f ca="1">$B62*('Updated Population'!I$59/'Updated Population'!$B$59)*('Total Duration Tables Sup #1'!I172/'Total Duration Tables Sup #1'!$B172)</f>
        <v>28.623431375887805</v>
      </c>
      <c r="J62" s="1">
        <f ca="1">$B62*('Updated Population'!J$59/'Updated Population'!$B$59)*('Total Duration Tables Sup #1'!J172/'Total Duration Tables Sup #1'!$B172)</f>
        <v>28.334917917248351</v>
      </c>
      <c r="K62" s="1">
        <f ca="1">$B62*('Updated Population'!K$59/'Updated Population'!$B$59)*('Total Duration Tables Sup #1'!K172/'Total Duration Tables Sup #1'!$B172)</f>
        <v>27.989032781886003</v>
      </c>
    </row>
    <row r="63" spans="1:11" x14ac:dyDescent="0.2">
      <c r="A63" t="str">
        <f ca="1">OFFSET(Hawkes_Bay_Reference,21,2)</f>
        <v>Light Vehicle Passenger</v>
      </c>
      <c r="B63" s="4">
        <f ca="1">OFFSET(Hawkes_Bay_Reference,21,7)</f>
        <v>15.230731736999999</v>
      </c>
      <c r="C63" s="4">
        <f ca="1">$B63*('Updated Population'!C$59/'Updated Population'!$B$59)*('Total Duration Tables Sup #1'!C173/'Total Duration Tables Sup #1'!$B173)</f>
        <v>15.54781968609027</v>
      </c>
      <c r="D63" s="4">
        <f ca="1">$B63*('Updated Population'!D$59/'Updated Population'!$B$59)*('Total Duration Tables Sup #1'!D173/'Total Duration Tables Sup #1'!$B173)</f>
        <v>15.649682768044226</v>
      </c>
      <c r="E63" s="4">
        <f ca="1">$B63*('Updated Population'!E$59/'Updated Population'!$B$59)*('Total Duration Tables Sup #1'!E173/'Total Duration Tables Sup #1'!$B173)</f>
        <v>15.652491473156637</v>
      </c>
      <c r="F63" s="4">
        <f ca="1">$B63*('Updated Population'!F$59/'Updated Population'!$B$59)*('Total Duration Tables Sup #1'!F173/'Total Duration Tables Sup #1'!$B173)</f>
        <v>15.550643277613146</v>
      </c>
      <c r="G63" s="4">
        <f ca="1">$B63*('Updated Population'!G$59/'Updated Population'!$B$59)*('Total Duration Tables Sup #1'!G173/'Total Duration Tables Sup #1'!$B173)</f>
        <v>15.370874616920471</v>
      </c>
      <c r="H63" s="4">
        <f ca="1">$B63*('Updated Population'!H$59/'Updated Population'!$B$59)*('Total Duration Tables Sup #1'!H173/'Total Duration Tables Sup #1'!$B173)</f>
        <v>15.108989961299828</v>
      </c>
      <c r="I63" s="1">
        <f ca="1">$B63*('Updated Population'!I$59/'Updated Population'!$B$59)*('Total Duration Tables Sup #1'!I173/'Total Duration Tables Sup #1'!$B173)</f>
        <v>15.004458783809287</v>
      </c>
      <c r="J63" s="1">
        <f ca="1">$B63*('Updated Population'!J$59/'Updated Population'!$B$59)*('Total Duration Tables Sup #1'!J173/'Total Duration Tables Sup #1'!$B173)</f>
        <v>14.853219463761286</v>
      </c>
      <c r="K63" s="1">
        <f ca="1">$B63*('Updated Population'!K$59/'Updated Population'!$B$59)*('Total Duration Tables Sup #1'!K173/'Total Duration Tables Sup #1'!$B173)</f>
        <v>14.671905798417566</v>
      </c>
    </row>
    <row r="64" spans="1:11" x14ac:dyDescent="0.2">
      <c r="A64" t="str">
        <f ca="1">OFFSET(Hawkes_Bay_Reference,28,2)</f>
        <v>Taxi/Vehicle Share</v>
      </c>
      <c r="B64" s="4">
        <f ca="1">OFFSET(Hawkes_Bay_Reference,28,7)</f>
        <v>4.5837477299999999E-2</v>
      </c>
      <c r="C64" s="4">
        <f ca="1">$B64*('Updated Population'!C$59/'Updated Population'!$B$59)*('Total Duration Tables Sup #1'!C174/'Total Duration Tables Sup #1'!$B174)</f>
        <v>5.1086030045902349E-2</v>
      </c>
      <c r="D64" s="4">
        <f ca="1">$B64*('Updated Population'!D$59/'Updated Population'!$B$59)*('Total Duration Tables Sup #1'!D174/'Total Duration Tables Sup #1'!$B174)</f>
        <v>5.5187346550094725E-2</v>
      </c>
      <c r="E64" s="4">
        <f ca="1">$B64*('Updated Population'!E$59/'Updated Population'!$B$59)*('Total Duration Tables Sup #1'!E174/'Total Duration Tables Sup #1'!$B174)</f>
        <v>5.8948781267572574E-2</v>
      </c>
      <c r="F64" s="4">
        <f ca="1">$B64*('Updated Population'!F$59/'Updated Population'!$B$59)*('Total Duration Tables Sup #1'!F174/'Total Duration Tables Sup #1'!$B174)</f>
        <v>6.2023769261697982E-2</v>
      </c>
      <c r="G64" s="4">
        <f ca="1">$B64*('Updated Population'!G$59/'Updated Population'!$B$59)*('Total Duration Tables Sup #1'!G174/'Total Duration Tables Sup #1'!$B174)</f>
        <v>6.4035976977768694E-2</v>
      </c>
      <c r="H64" s="4">
        <f ca="1">$B64*('Updated Population'!H$59/'Updated Population'!$B$59)*('Total Duration Tables Sup #1'!H174/'Total Duration Tables Sup #1'!$B174)</f>
        <v>6.5729282173294462E-2</v>
      </c>
      <c r="I64" s="1">
        <f ca="1">$B64*('Updated Population'!I$59/'Updated Population'!$B$59)*('Total Duration Tables Sup #1'!I174/'Total Duration Tables Sup #1'!$B174)</f>
        <v>6.5274535742276818E-2</v>
      </c>
      <c r="J64" s="1">
        <f ca="1">$B64*('Updated Population'!J$59/'Updated Population'!$B$59)*('Total Duration Tables Sup #1'!J174/'Total Duration Tables Sup #1'!$B174)</f>
        <v>6.4616592890465105E-2</v>
      </c>
      <c r="K64" s="1">
        <f ca="1">$B64*('Updated Population'!K$59/'Updated Population'!$B$59)*('Total Duration Tables Sup #1'!K174/'Total Duration Tables Sup #1'!$B174)</f>
        <v>6.3827816334138213E-2</v>
      </c>
    </row>
    <row r="65" spans="1:11" x14ac:dyDescent="0.2">
      <c r="A65" t="str">
        <f ca="1">OFFSET(Hawkes_Bay_Reference,35,2)</f>
        <v>Motorcyclist</v>
      </c>
      <c r="B65" s="4">
        <f ca="1">OFFSET(Hawkes_Bay_Reference,35,7)</f>
        <v>0.11763194120000001</v>
      </c>
      <c r="C65" s="4">
        <f ca="1">$B65*('Updated Population'!C$59/'Updated Population'!$B$59)*('Total Duration Tables Sup #1'!C175/'Total Duration Tables Sup #1'!$B175)</f>
        <v>0.12356634979351316</v>
      </c>
      <c r="D65" s="4">
        <f ca="1">$B65*('Updated Population'!D$59/'Updated Population'!$B$59)*('Total Duration Tables Sup #1'!D175/'Total Duration Tables Sup #1'!$B175)</f>
        <v>0.12605655118532164</v>
      </c>
      <c r="E65" s="4">
        <f ca="1">$B65*('Updated Population'!E$59/'Updated Population'!$B$59)*('Total Duration Tables Sup #1'!E175/'Total Duration Tables Sup #1'!$B175)</f>
        <v>0.12591445959360645</v>
      </c>
      <c r="F65" s="4">
        <f ca="1">$B65*('Updated Population'!F$59/'Updated Population'!$B$59)*('Total Duration Tables Sup #1'!F175/'Total Duration Tables Sup #1'!$B175)</f>
        <v>0.12518912103188765</v>
      </c>
      <c r="G65" s="4">
        <f ca="1">$B65*('Updated Population'!G$59/'Updated Population'!$B$59)*('Total Duration Tables Sup #1'!G175/'Total Duration Tables Sup #1'!$B175)</f>
        <v>0.12268729281587672</v>
      </c>
      <c r="H65" s="4">
        <f ca="1">$B65*('Updated Population'!H$59/'Updated Population'!$B$59)*('Total Duration Tables Sup #1'!H175/'Total Duration Tables Sup #1'!$B175)</f>
        <v>0.11958570772948326</v>
      </c>
      <c r="I65" s="1">
        <f ca="1">$B65*('Updated Population'!I$59/'Updated Population'!$B$59)*('Total Duration Tables Sup #1'!I175/'Total Duration Tables Sup #1'!$B175)</f>
        <v>0.11875835693555058</v>
      </c>
      <c r="J65" s="1">
        <f ca="1">$B65*('Updated Population'!J$59/'Updated Population'!$B$59)*('Total Duration Tables Sup #1'!J175/'Total Duration Tables Sup #1'!$B175)</f>
        <v>0.1175613172147756</v>
      </c>
      <c r="K65" s="1">
        <f ca="1">$B65*('Updated Population'!K$59/'Updated Population'!$B$59)*('Total Duration Tables Sup #1'!K175/'Total Duration Tables Sup #1'!$B175)</f>
        <v>0.11612624292809641</v>
      </c>
    </row>
    <row r="66" spans="1:11" x14ac:dyDescent="0.2">
      <c r="A66" t="str">
        <f ca="1">OFFSET(Auckland_Reference,42,2)</f>
        <v>Local Train</v>
      </c>
      <c r="B66" s="4">
        <v>0</v>
      </c>
      <c r="C66" s="4">
        <f ca="1">$B66*('Updated Population'!C$59/'Updated Population'!$B$59)*('Total Duration Tables Sup #1'!C176/'Total Duration Tables Sup #1'!$B176)</f>
        <v>0</v>
      </c>
      <c r="D66" s="4">
        <f ca="1">$B66*('Updated Population'!D$59/'Updated Population'!$B$59)*('Total Duration Tables Sup #1'!D176/'Total Duration Tables Sup #1'!$B176)</f>
        <v>0</v>
      </c>
      <c r="E66" s="4">
        <f ca="1">$B66*('Updated Population'!E$59/'Updated Population'!$B$59)*('Total Duration Tables Sup #1'!E176/'Total Duration Tables Sup #1'!$B176)</f>
        <v>0</v>
      </c>
      <c r="F66" s="4">
        <f ca="1">$B66*('Updated Population'!F$59/'Updated Population'!$B$59)*('Total Duration Tables Sup #1'!F176/'Total Duration Tables Sup #1'!$B176)</f>
        <v>0</v>
      </c>
      <c r="G66" s="4">
        <f ca="1">$B66*('Updated Population'!G$59/'Updated Population'!$B$59)*('Total Duration Tables Sup #1'!G176/'Total Duration Tables Sup #1'!$B176)</f>
        <v>0</v>
      </c>
      <c r="H66" s="4">
        <f ca="1">$B66*('Updated Population'!H$59/'Updated Population'!$B$59)*('Total Duration Tables Sup #1'!H176/'Total Duration Tables Sup #1'!$B176)</f>
        <v>0</v>
      </c>
      <c r="I66" s="1">
        <f ca="1">$B66*('Updated Population'!I$59/'Updated Population'!$B$59)*('Total Duration Tables Sup #1'!I176/'Total Duration Tables Sup #1'!$B176)</f>
        <v>0</v>
      </c>
      <c r="J66" s="1">
        <f ca="1">$B66*('Updated Population'!J$59/'Updated Population'!$B$59)*('Total Duration Tables Sup #1'!J176/'Total Duration Tables Sup #1'!$B176)</f>
        <v>0</v>
      </c>
      <c r="K66" s="1">
        <f ca="1">$B66*('Updated Population'!K$59/'Updated Population'!$B$59)*('Total Duration Tables Sup #1'!K176/'Total Duration Tables Sup #1'!$B176)</f>
        <v>0</v>
      </c>
    </row>
    <row r="67" spans="1:11" x14ac:dyDescent="0.2">
      <c r="A67" t="str">
        <f ca="1">OFFSET(Hawkes_Bay_Reference,42,2)</f>
        <v>Local Bus</v>
      </c>
      <c r="B67" s="4">
        <f ca="1">OFFSET(Hawkes_Bay_Reference,42,7)</f>
        <v>1.3660147812000001</v>
      </c>
      <c r="C67" s="4">
        <f ca="1">$B67*('Updated Population'!C$59/'Updated Population'!$B$59)*('Total Duration Tables Sup #1'!C177/'Total Duration Tables Sup #1'!$B177)</f>
        <v>1.3079704250991466</v>
      </c>
      <c r="D67" s="4">
        <f ca="1">$B67*('Updated Population'!D$59/'Updated Population'!$B$59)*('Total Duration Tables Sup #1'!D177/'Total Duration Tables Sup #1'!$B177)</f>
        <v>1.2628640542853296</v>
      </c>
      <c r="E67" s="4">
        <f ca="1">$B67*('Updated Population'!E$59/'Updated Population'!$B$59)*('Total Duration Tables Sup #1'!E177/'Total Duration Tables Sup #1'!$B177)</f>
        <v>1.2313586052344894</v>
      </c>
      <c r="F67" s="4">
        <f ca="1">$B67*('Updated Population'!F$59/'Updated Population'!$B$59)*('Total Duration Tables Sup #1'!F177/'Total Duration Tables Sup #1'!$B177)</f>
        <v>1.1855226173445905</v>
      </c>
      <c r="G67" s="4">
        <f ca="1">$B67*('Updated Population'!G$59/'Updated Population'!$B$59)*('Total Duration Tables Sup #1'!G177/'Total Duration Tables Sup #1'!$B177)</f>
        <v>1.1486934271255713</v>
      </c>
      <c r="H67" s="4">
        <f ca="1">$B67*('Updated Population'!H$59/'Updated Population'!$B$59)*('Total Duration Tables Sup #1'!H177/'Total Duration Tables Sup #1'!$B177)</f>
        <v>1.1071563178533437</v>
      </c>
      <c r="I67" s="1">
        <f ca="1">$B67*('Updated Population'!I$59/'Updated Population'!$B$59)*('Total Duration Tables Sup #1'!I177/'Total Duration Tables Sup #1'!$B177)</f>
        <v>1.0994964839486459</v>
      </c>
      <c r="J67" s="1">
        <f ca="1">$B67*('Updated Population'!J$59/'Updated Population'!$B$59)*('Total Duration Tables Sup #1'!J177/'Total Duration Tables Sup #1'!$B177)</f>
        <v>1.0884139715419341</v>
      </c>
      <c r="K67" s="1">
        <f ca="1">$B67*('Updated Population'!K$59/'Updated Population'!$B$59)*('Total Duration Tables Sup #1'!K177/'Total Duration Tables Sup #1'!$B177)</f>
        <v>1.0751276717553415</v>
      </c>
    </row>
    <row r="68" spans="1:11" x14ac:dyDescent="0.2">
      <c r="A68" t="str">
        <f ca="1">OFFSET(Waikato_Reference,56,2)</f>
        <v>Local Ferry</v>
      </c>
      <c r="B68" s="4">
        <v>0</v>
      </c>
      <c r="C68" s="4">
        <f ca="1">$B68*('Updated Population'!C$59/'Updated Population'!$B$59)*('Total Duration Tables Sup #1'!C178/'Total Duration Tables Sup #1'!$B178)</f>
        <v>0</v>
      </c>
      <c r="D68" s="4">
        <f ca="1">$B68*('Updated Population'!D$59/'Updated Population'!$B$59)*('Total Duration Tables Sup #1'!D178/'Total Duration Tables Sup #1'!$B178)</f>
        <v>0</v>
      </c>
      <c r="E68" s="4">
        <f ca="1">$B68*('Updated Population'!E$59/'Updated Population'!$B$59)*('Total Duration Tables Sup #1'!E178/'Total Duration Tables Sup #1'!$B178)</f>
        <v>0</v>
      </c>
      <c r="F68" s="4">
        <f ca="1">$B68*('Updated Population'!F$59/'Updated Population'!$B$59)*('Total Duration Tables Sup #1'!F178/'Total Duration Tables Sup #1'!$B178)</f>
        <v>0</v>
      </c>
      <c r="G68" s="4">
        <f ca="1">$B68*('Updated Population'!G$59/'Updated Population'!$B$59)*('Total Duration Tables Sup #1'!G178/'Total Duration Tables Sup #1'!$B178)</f>
        <v>0</v>
      </c>
      <c r="H68" s="4">
        <f ca="1">$B68*('Updated Population'!H$59/'Updated Population'!$B$59)*('Total Duration Tables Sup #1'!H178/'Total Duration Tables Sup #1'!$B178)</f>
        <v>0</v>
      </c>
      <c r="I68" s="1">
        <f ca="1">$B68*('Updated Population'!I$59/'Updated Population'!$B$59)*('Total Duration Tables Sup #1'!I178/'Total Duration Tables Sup #1'!$B178)</f>
        <v>0</v>
      </c>
      <c r="J68" s="1">
        <f ca="1">$B68*('Updated Population'!J$59/'Updated Population'!$B$59)*('Total Duration Tables Sup #1'!J178/'Total Duration Tables Sup #1'!$B178)</f>
        <v>0</v>
      </c>
      <c r="K68" s="1">
        <f ca="1">$B68*('Updated Population'!K$59/'Updated Population'!$B$59)*('Total Duration Tables Sup #1'!K178/'Total Duration Tables Sup #1'!$B178)</f>
        <v>0</v>
      </c>
    </row>
    <row r="69" spans="1:11" x14ac:dyDescent="0.2">
      <c r="A69" t="str">
        <f ca="1">OFFSET(Hawkes_Bay_Reference,49,2)</f>
        <v>Other Household Travel</v>
      </c>
      <c r="B69" s="4">
        <f ca="1">OFFSET(Hawkes_Bay_Reference,49,7)</f>
        <v>0.15778150060000001</v>
      </c>
      <c r="C69" s="4">
        <f ca="1">$B69*('Updated Population'!C$59/'Updated Population'!$B$59)*('Total Duration Tables Sup #1'!C179/'Total Duration Tables Sup #1'!$B179)</f>
        <v>0.16865424211094776</v>
      </c>
      <c r="D69" s="4">
        <f ca="1">$B69*('Updated Population'!D$59/'Updated Population'!$B$59)*('Total Duration Tables Sup #1'!D179/'Total Duration Tables Sup #1'!$B179)</f>
        <v>0.17588754682524371</v>
      </c>
      <c r="E69" s="4">
        <f ca="1">$B69*('Updated Population'!E$59/'Updated Population'!$B$59)*('Total Duration Tables Sup #1'!E179/'Total Duration Tables Sup #1'!$B179)</f>
        <v>0.17920074725652516</v>
      </c>
      <c r="F69" s="4">
        <f ca="1">$B69*('Updated Population'!F$59/'Updated Population'!$B$59)*('Total Duration Tables Sup #1'!F179/'Total Duration Tables Sup #1'!$B179)</f>
        <v>0.18134961547605866</v>
      </c>
      <c r="G69" s="4">
        <f ca="1">$B69*('Updated Population'!G$59/'Updated Population'!$B$59)*('Total Duration Tables Sup #1'!G179/'Total Duration Tables Sup #1'!$B179)</f>
        <v>0.18463655727626724</v>
      </c>
      <c r="H69" s="4">
        <f ca="1">$B69*('Updated Population'!H$59/'Updated Population'!$B$59)*('Total Duration Tables Sup #1'!H179/'Total Duration Tables Sup #1'!$B179)</f>
        <v>0.18685285365286869</v>
      </c>
      <c r="I69" s="1">
        <f ca="1">$B69*('Updated Population'!I$59/'Updated Population'!$B$59)*('Total Duration Tables Sup #1'!I179/'Total Duration Tables Sup #1'!$B179)</f>
        <v>0.18556011675517856</v>
      </c>
      <c r="J69" s="1">
        <f ca="1">$B69*('Updated Population'!J$59/'Updated Population'!$B$59)*('Total Duration Tables Sup #1'!J179/'Total Duration Tables Sup #1'!$B179)</f>
        <v>0.18368974033637939</v>
      </c>
      <c r="K69" s="1">
        <f ca="1">$B69*('Updated Population'!K$59/'Updated Population'!$B$59)*('Total Duration Tables Sup #1'!K179/'Total Duration Tables Sup #1'!$B179)</f>
        <v>0.18144743453946557</v>
      </c>
    </row>
    <row r="70" spans="1:11" x14ac:dyDescent="0.2">
      <c r="A70" t="str">
        <f ca="1">OFFSET(Taranaki_Reference,0,0)</f>
        <v>07 TARANAKI</v>
      </c>
      <c r="I70" s="1"/>
      <c r="J70" s="1"/>
      <c r="K70" s="1"/>
    </row>
    <row r="71" spans="1:11" x14ac:dyDescent="0.2">
      <c r="A71" t="str">
        <f ca="1">OFFSET(Taranaki_Reference,0,2)</f>
        <v>Pedestrian</v>
      </c>
      <c r="B71" s="4">
        <f ca="1">OFFSET(Taranaki_Reference,0,7)</f>
        <v>4.7547330373000003</v>
      </c>
      <c r="C71" s="4">
        <f ca="1">$B71*('Updated Population'!C$70/'Updated Population'!$B$70)*('Total Duration Tables Sup #1'!C170/'Total Duration Tables Sup #1'!$B170)</f>
        <v>4.9499164590977802</v>
      </c>
      <c r="D71" s="4">
        <f ca="1">$B71*('Updated Population'!D$70/'Updated Population'!$B$70)*('Total Duration Tables Sup #1'!D170/'Total Duration Tables Sup #1'!$B170)</f>
        <v>5.0504237963269549</v>
      </c>
      <c r="E71" s="4">
        <f ca="1">$B71*('Updated Population'!E$70/'Updated Population'!$B$70)*('Total Duration Tables Sup #1'!E170/'Total Duration Tables Sup #1'!$B170)</f>
        <v>5.1293790133397916</v>
      </c>
      <c r="F71" s="4">
        <f ca="1">$B71*('Updated Population'!F$70/'Updated Population'!$B$70)*('Total Duration Tables Sup #1'!F170/'Total Duration Tables Sup #1'!$B170)</f>
        <v>5.1583294272062892</v>
      </c>
      <c r="G71" s="4">
        <f ca="1">$B71*('Updated Population'!G$70/'Updated Population'!$B$70)*('Total Duration Tables Sup #1'!G170/'Total Duration Tables Sup #1'!$B170)</f>
        <v>5.1745969461610564</v>
      </c>
      <c r="H71" s="4">
        <f ca="1">$B71*('Updated Population'!H$70/'Updated Population'!$B$70)*('Total Duration Tables Sup #1'!H170/'Total Duration Tables Sup #1'!$B170)</f>
        <v>5.1724422749599599</v>
      </c>
      <c r="I71" s="1">
        <f ca="1">$B71*('Updated Population'!I$70/'Updated Population'!$B$70)*('Total Duration Tables Sup #1'!I170/'Total Duration Tables Sup #1'!$B170)</f>
        <v>5.2064473580648594</v>
      </c>
      <c r="J71" s="1">
        <f ca="1">$B71*('Updated Population'!J$70/'Updated Population'!$B$70)*('Total Duration Tables Sup #1'!J170/'Total Duration Tables Sup #1'!$B170)</f>
        <v>5.2239940254032895</v>
      </c>
      <c r="K71" s="1">
        <f ca="1">$B71*('Updated Population'!K$70/'Updated Population'!$B$70)*('Total Duration Tables Sup #1'!K170/'Total Duration Tables Sup #1'!$B170)</f>
        <v>5.2303352916246428</v>
      </c>
    </row>
    <row r="72" spans="1:11" x14ac:dyDescent="0.2">
      <c r="A72" t="str">
        <f ca="1">OFFSET(Taranaki_Reference,7,2)</f>
        <v>Cyclist</v>
      </c>
      <c r="B72" s="4">
        <f ca="1">OFFSET(Taranaki_Reference,7,7)</f>
        <v>0.51341482110000003</v>
      </c>
      <c r="C72" s="4">
        <f ca="1">$B72*('Updated Population'!C$70/'Updated Population'!$B$70)*('Total Duration Tables Sup #1'!C171/'Total Duration Tables Sup #1'!$B171)</f>
        <v>0.54466338190962116</v>
      </c>
      <c r="D72" s="4">
        <f ca="1">$B72*('Updated Population'!D$70/'Updated Population'!$B$70)*('Total Duration Tables Sup #1'!D171/'Total Duration Tables Sup #1'!$B171)</f>
        <v>0.55798336871410348</v>
      </c>
      <c r="E72" s="4">
        <f ca="1">$B72*('Updated Population'!E$70/'Updated Population'!$B$70)*('Total Duration Tables Sup #1'!E171/'Total Duration Tables Sup #1'!$B171)</f>
        <v>0.56244188945385176</v>
      </c>
      <c r="F72" s="4">
        <f ca="1">$B72*('Updated Population'!F$70/'Updated Population'!$B$70)*('Total Duration Tables Sup #1'!F171/'Total Duration Tables Sup #1'!$B171)</f>
        <v>0.57026472007774898</v>
      </c>
      <c r="G72" s="4">
        <f ca="1">$B72*('Updated Population'!G$70/'Updated Population'!$B$70)*('Total Duration Tables Sup #1'!G171/'Total Duration Tables Sup #1'!$B171)</f>
        <v>0.58362629551610679</v>
      </c>
      <c r="H72" s="4">
        <f ca="1">$B72*('Updated Population'!H$70/'Updated Population'!$B$70)*('Total Duration Tables Sup #1'!H171/'Total Duration Tables Sup #1'!$B171)</f>
        <v>0.59654184385211595</v>
      </c>
      <c r="I72" s="1">
        <f ca="1">$B72*('Updated Population'!I$70/'Updated Population'!$B$70)*('Total Duration Tables Sup #1'!I171/'Total Duration Tables Sup #1'!$B171)</f>
        <v>0.60046367688521607</v>
      </c>
      <c r="J72" s="1">
        <f ca="1">$B72*('Updated Population'!J$70/'Updated Population'!$B$70)*('Total Duration Tables Sup #1'!J171/'Total Duration Tables Sup #1'!$B171)</f>
        <v>0.60248734785747615</v>
      </c>
      <c r="K72" s="1">
        <f ca="1">$B72*('Updated Population'!K$70/'Updated Population'!$B$70)*('Total Duration Tables Sup #1'!K171/'Total Duration Tables Sup #1'!$B171)</f>
        <v>0.6032186910881886</v>
      </c>
    </row>
    <row r="73" spans="1:11" x14ac:dyDescent="0.2">
      <c r="A73" t="str">
        <f ca="1">OFFSET(Taranaki_Reference,14,2)</f>
        <v>Light Vehicle Driver</v>
      </c>
      <c r="B73" s="4">
        <f ca="1">OFFSET(Taranaki_Reference,14,7)</f>
        <v>21.205429401</v>
      </c>
      <c r="C73" s="4">
        <f ca="1">$B73*('Updated Population'!C$70/'Updated Population'!$B$70)*('Total Duration Tables Sup #1'!C172/'Total Duration Tables Sup #1'!$B172)</f>
        <v>22.900461637366167</v>
      </c>
      <c r="D73" s="4">
        <f ca="1">$B73*('Updated Population'!D$70/'Updated Population'!$B$70)*('Total Duration Tables Sup #1'!D172/'Total Duration Tables Sup #1'!$B172)</f>
        <v>23.877159150731888</v>
      </c>
      <c r="E73" s="4">
        <f ca="1">$B73*('Updated Population'!E$70/'Updated Population'!$B$70)*('Total Duration Tables Sup #1'!E172/'Total Duration Tables Sup #1'!$B172)</f>
        <v>24.502880166582042</v>
      </c>
      <c r="F73" s="4">
        <f ca="1">$B73*('Updated Population'!F$70/'Updated Population'!$B$70)*('Total Duration Tables Sup #1'!F172/'Total Duration Tables Sup #1'!$B172)</f>
        <v>25.035515515150294</v>
      </c>
      <c r="G73" s="4">
        <f ca="1">$B73*('Updated Population'!G$70/'Updated Population'!$B$70)*('Total Duration Tables Sup #1'!G172/'Total Duration Tables Sup #1'!$B172)</f>
        <v>25.381661861012866</v>
      </c>
      <c r="H73" s="4">
        <f ca="1">$B73*('Updated Population'!H$70/'Updated Population'!$B$70)*('Total Duration Tables Sup #1'!H172/'Total Duration Tables Sup #1'!$B172)</f>
        <v>25.652242633493078</v>
      </c>
      <c r="I73" s="1">
        <f ca="1">$B73*('Updated Population'!I$70/'Updated Population'!$B$70)*('Total Duration Tables Sup #1'!I172/'Total Duration Tables Sup #1'!$B172)</f>
        <v>25.820887655749171</v>
      </c>
      <c r="J73" s="1">
        <f ca="1">$B73*('Updated Population'!J$70/'Updated Population'!$B$70)*('Total Duration Tables Sup #1'!J172/'Total Duration Tables Sup #1'!$B172)</f>
        <v>25.907908707710185</v>
      </c>
      <c r="K73" s="1">
        <f ca="1">$B73*('Updated Population'!K$70/'Updated Population'!$B$70)*('Total Duration Tables Sup #1'!K172/'Total Duration Tables Sup #1'!$B172)</f>
        <v>25.939357623148293</v>
      </c>
    </row>
    <row r="74" spans="1:11" x14ac:dyDescent="0.2">
      <c r="A74" t="str">
        <f ca="1">OFFSET(Taranaki_Reference,21,2)</f>
        <v>Light Vehicle Passenger</v>
      </c>
      <c r="B74" s="4">
        <f ca="1">OFFSET(Taranaki_Reference,21,7)</f>
        <v>13.125178352000001</v>
      </c>
      <c r="C74" s="4">
        <f ca="1">$B74*('Updated Population'!C$70/'Updated Population'!$B$70)*('Total Duration Tables Sup #1'!C173/'Total Duration Tables Sup #1'!$B173)</f>
        <v>13.524956470468927</v>
      </c>
      <c r="D74" s="4">
        <f ca="1">$B74*('Updated Population'!D$70/'Updated Population'!$B$70)*('Total Duration Tables Sup #1'!D173/'Total Duration Tables Sup #1'!$B173)</f>
        <v>13.726170013243605</v>
      </c>
      <c r="E74" s="4">
        <f ca="1">$B74*('Updated Population'!E$70/'Updated Population'!$B$70)*('Total Duration Tables Sup #1'!E173/'Total Duration Tables Sup #1'!$B173)</f>
        <v>13.857887236499039</v>
      </c>
      <c r="F74" s="4">
        <f ca="1">$B74*('Updated Population'!F$70/'Updated Population'!$B$70)*('Total Duration Tables Sup #1'!F173/'Total Duration Tables Sup #1'!$B173)</f>
        <v>13.913572417807382</v>
      </c>
      <c r="G74" s="4">
        <f ca="1">$B74*('Updated Population'!G$70/'Updated Population'!$B$70)*('Total Duration Tables Sup #1'!G173/'Total Duration Tables Sup #1'!$B173)</f>
        <v>13.919406916112298</v>
      </c>
      <c r="H74" s="4">
        <f ca="1">$B74*('Updated Population'!H$70/'Updated Population'!$B$70)*('Total Duration Tables Sup #1'!H173/'Total Duration Tables Sup #1'!$B173)</f>
        <v>13.868149366320329</v>
      </c>
      <c r="I74" s="1">
        <f ca="1">$B74*('Updated Population'!I$70/'Updated Population'!$B$70)*('Total Duration Tables Sup #1'!I173/'Total Duration Tables Sup #1'!$B173)</f>
        <v>13.959322461474214</v>
      </c>
      <c r="J74" s="1">
        <f ca="1">$B74*('Updated Population'!J$70/'Updated Population'!$B$70)*('Total Duration Tables Sup #1'!J173/'Total Duration Tables Sup #1'!$B173)</f>
        <v>14.00636789776811</v>
      </c>
      <c r="K74" s="1">
        <f ca="1">$B74*('Updated Population'!K$70/'Updated Population'!$B$70)*('Total Duration Tables Sup #1'!K173/'Total Duration Tables Sup #1'!$B173)</f>
        <v>14.02336985205865</v>
      </c>
    </row>
    <row r="75" spans="1:11" x14ac:dyDescent="0.2">
      <c r="A75" t="str">
        <f ca="1">OFFSET(Taranaki_Reference,28,2)</f>
        <v>Taxi/Vehicle Share</v>
      </c>
      <c r="B75" s="4">
        <f ca="1">OFFSET(Taranaki_Reference,28,7)</f>
        <v>0.10005985589999999</v>
      </c>
      <c r="C75" s="4">
        <f ca="1">$B75*('Updated Population'!C$70/'Updated Population'!$B$70)*('Total Duration Tables Sup #1'!C174/'Total Duration Tables Sup #1'!$B174)</f>
        <v>0.11257015282568347</v>
      </c>
      <c r="D75" s="4">
        <f ca="1">$B75*('Updated Population'!D$70/'Updated Population'!$B$70)*('Total Duration Tables Sup #1'!D174/'Total Duration Tables Sup #1'!$B174)</f>
        <v>0.12261343778977653</v>
      </c>
      <c r="E75" s="4">
        <f ca="1">$B75*('Updated Population'!E$70/'Updated Population'!$B$70)*('Total Duration Tables Sup #1'!E174/'Total Duration Tables Sup #1'!$B174)</f>
        <v>0.13220354429477885</v>
      </c>
      <c r="F75" s="4">
        <f ca="1">$B75*('Updated Population'!F$70/'Updated Population'!$B$70)*('Total Duration Tables Sup #1'!F174/'Total Duration Tables Sup #1'!$B174)</f>
        <v>0.14057340663571571</v>
      </c>
      <c r="G75" s="4">
        <f ca="1">$B75*('Updated Population'!G$70/'Updated Population'!$B$70)*('Total Duration Tables Sup #1'!G174/'Total Duration Tables Sup #1'!$B174)</f>
        <v>0.14689293604046355</v>
      </c>
      <c r="H75" s="4">
        <f ca="1">$B75*('Updated Population'!H$70/'Updated Population'!$B$70)*('Total Duration Tables Sup #1'!H174/'Total Duration Tables Sup #1'!$B174)</f>
        <v>0.15282580349861219</v>
      </c>
      <c r="I75" s="1">
        <f ca="1">$B75*('Updated Population'!I$70/'Updated Population'!$B$70)*('Total Duration Tables Sup #1'!I174/'Total Duration Tables Sup #1'!$B174)</f>
        <v>0.15383052310151654</v>
      </c>
      <c r="J75" s="1">
        <f ca="1">$B75*('Updated Population'!J$70/'Updated Population'!$B$70)*('Total Duration Tables Sup #1'!J174/'Total Duration Tables Sup #1'!$B174)</f>
        <v>0.15434895973012819</v>
      </c>
      <c r="K75" s="1">
        <f ca="1">$B75*('Updated Population'!K$70/'Updated Population'!$B$70)*('Total Duration Tables Sup #1'!K174/'Total Duration Tables Sup #1'!$B174)</f>
        <v>0.15453631979215698</v>
      </c>
    </row>
    <row r="76" spans="1:11" x14ac:dyDescent="0.2">
      <c r="A76" t="str">
        <f ca="1">OFFSET(Taranaki_Reference,35,2)</f>
        <v>Motorcyclist</v>
      </c>
      <c r="B76" s="4">
        <f ca="1">OFFSET(Taranaki_Reference,35,7)</f>
        <v>0.25001806910000002</v>
      </c>
      <c r="C76" s="4">
        <f ca="1">$B76*('Updated Population'!C$70/'Updated Population'!$B$70)*('Total Duration Tables Sup #1'!C175/'Total Duration Tables Sup #1'!$B175)</f>
        <v>0.26511132876739868</v>
      </c>
      <c r="D76" s="4">
        <f ca="1">$B76*('Updated Population'!D$70/'Updated Population'!$B$70)*('Total Duration Tables Sup #1'!D175/'Total Duration Tables Sup #1'!$B175)</f>
        <v>0.27269108782768137</v>
      </c>
      <c r="E76" s="4">
        <f ca="1">$B76*('Updated Population'!E$70/'Updated Population'!$B$70)*('Total Duration Tables Sup #1'!E175/'Total Duration Tables Sup #1'!$B175)</f>
        <v>0.27494817493938872</v>
      </c>
      <c r="F76" s="4">
        <f ca="1">$B76*('Updated Population'!F$70/'Updated Population'!$B$70)*('Total Duration Tables Sup #1'!F175/'Total Duration Tables Sup #1'!$B175)</f>
        <v>0.2762603591656726</v>
      </c>
      <c r="G76" s="4">
        <f ca="1">$B76*('Updated Population'!G$70/'Updated Population'!$B$70)*('Total Duration Tables Sup #1'!G175/'Total Duration Tables Sup #1'!$B175)</f>
        <v>0.27402073241075831</v>
      </c>
      <c r="H76" s="4">
        <f ca="1">$B76*('Updated Population'!H$70/'Updated Population'!$B$70)*('Total Duration Tables Sup #1'!H175/'Total Duration Tables Sup #1'!$B175)</f>
        <v>0.27072230816807835</v>
      </c>
      <c r="I76" s="1">
        <f ca="1">$B76*('Updated Population'!I$70/'Updated Population'!$B$70)*('Total Duration Tables Sup #1'!I175/'Total Duration Tables Sup #1'!$B175)</f>
        <v>0.2725021123878707</v>
      </c>
      <c r="J76" s="1">
        <f ca="1">$B76*('Updated Population'!J$70/'Updated Population'!$B$70)*('Total Duration Tables Sup #1'!J175/'Total Duration Tables Sup #1'!$B175)</f>
        <v>0.27342049369209787</v>
      </c>
      <c r="K76" s="1">
        <f ca="1">$B76*('Updated Population'!K$70/'Updated Population'!$B$70)*('Total Duration Tables Sup #1'!K175/'Total Duration Tables Sup #1'!$B175)</f>
        <v>0.27375239149528136</v>
      </c>
    </row>
    <row r="77" spans="1:11" x14ac:dyDescent="0.2">
      <c r="A77" t="str">
        <f ca="1">OFFSET(Taranaki_Reference,42,2)</f>
        <v>Local Train</v>
      </c>
      <c r="B77" s="4">
        <v>0</v>
      </c>
      <c r="C77" s="4">
        <f ca="1">$B77*('Updated Population'!C$70/'Updated Population'!$B$70)*('Total Duration Tables Sup #1'!C176/'Total Duration Tables Sup #1'!$B176)</f>
        <v>0</v>
      </c>
      <c r="D77" s="4">
        <f ca="1">$B77*('Updated Population'!D$70/'Updated Population'!$B$70)*('Total Duration Tables Sup #1'!D176/'Total Duration Tables Sup #1'!$B176)</f>
        <v>0</v>
      </c>
      <c r="E77" s="4">
        <f ca="1">$B77*('Updated Population'!E$70/'Updated Population'!$B$70)*('Total Duration Tables Sup #1'!E176/'Total Duration Tables Sup #1'!$B176)</f>
        <v>0</v>
      </c>
      <c r="F77" s="4">
        <f ca="1">$B77*('Updated Population'!F$70/'Updated Population'!$B$70)*('Total Duration Tables Sup #1'!F176/'Total Duration Tables Sup #1'!$B176)</f>
        <v>0</v>
      </c>
      <c r="G77" s="4">
        <f ca="1">$B77*('Updated Population'!G$70/'Updated Population'!$B$70)*('Total Duration Tables Sup #1'!G176/'Total Duration Tables Sup #1'!$B176)</f>
        <v>0</v>
      </c>
      <c r="H77" s="4">
        <f ca="1">$B77*('Updated Population'!H$70/'Updated Population'!$B$70)*('Total Duration Tables Sup #1'!H176/'Total Duration Tables Sup #1'!$B176)</f>
        <v>0</v>
      </c>
      <c r="I77" s="1">
        <f ca="1">$B77*('Updated Population'!I$70/'Updated Population'!$B$70)*('Total Duration Tables Sup #1'!I176/'Total Duration Tables Sup #1'!$B176)</f>
        <v>0</v>
      </c>
      <c r="J77" s="1">
        <f ca="1">$B77*('Updated Population'!J$70/'Updated Population'!$B$70)*('Total Duration Tables Sup #1'!J176/'Total Duration Tables Sup #1'!$B176)</f>
        <v>0</v>
      </c>
      <c r="K77" s="1">
        <f ca="1">$B77*('Updated Population'!K$70/'Updated Population'!$B$70)*('Total Duration Tables Sup #1'!K176/'Total Duration Tables Sup #1'!$B176)</f>
        <v>0</v>
      </c>
    </row>
    <row r="78" spans="1:11" x14ac:dyDescent="0.2">
      <c r="A78" t="str">
        <f ca="1">OFFSET(Taranaki_Reference,49,2)</f>
        <v>Local Bus</v>
      </c>
      <c r="B78" s="4">
        <f ca="1">OFFSET(Taranaki_Reference,49,7)</f>
        <v>0.4632962336</v>
      </c>
      <c r="C78" s="4">
        <f ca="1">$B78*('Updated Population'!C$70/'Updated Population'!$B$70)*('Total Duration Tables Sup #1'!C177/'Total Duration Tables Sup #1'!$B177)</f>
        <v>0.44779911507756187</v>
      </c>
      <c r="D78" s="4">
        <f ca="1">$B78*('Updated Population'!D$70/'Updated Population'!$B$70)*('Total Duration Tables Sup #1'!D177/'Total Duration Tables Sup #1'!$B177)</f>
        <v>0.43593261563205027</v>
      </c>
      <c r="E78" s="4">
        <f ca="1">$B78*('Updated Population'!E$70/'Updated Population'!$B$70)*('Total Duration Tables Sup #1'!E177/'Total Duration Tables Sup #1'!$B177)</f>
        <v>0.4290590068387351</v>
      </c>
      <c r="F78" s="4">
        <f ca="1">$B78*('Updated Population'!F$70/'Updated Population'!$B$70)*('Total Duration Tables Sup #1'!F177/'Total Duration Tables Sup #1'!$B177)</f>
        <v>0.41746403239889229</v>
      </c>
      <c r="G78" s="4">
        <f ca="1">$B78*('Updated Population'!G$70/'Updated Population'!$B$70)*('Total Duration Tables Sup #1'!G177/'Total Duration Tables Sup #1'!$B177)</f>
        <v>0.40939752544375274</v>
      </c>
      <c r="H78" s="4">
        <f ca="1">$B78*('Updated Population'!H$70/'Updated Population'!$B$70)*('Total Duration Tables Sup #1'!H177/'Total Duration Tables Sup #1'!$B177)</f>
        <v>0.39995483079084804</v>
      </c>
      <c r="I78" s="1">
        <f ca="1">$B78*('Updated Population'!I$70/'Updated Population'!$B$70)*('Total Duration Tables Sup #1'!I177/'Total Duration Tables Sup #1'!$B177)</f>
        <v>0.40258424578211621</v>
      </c>
      <c r="J78" s="1">
        <f ca="1">$B78*('Updated Population'!J$70/'Updated Population'!$B$70)*('Total Duration Tables Sup #1'!J177/'Total Duration Tables Sup #1'!$B177)</f>
        <v>0.40394102735515752</v>
      </c>
      <c r="K78" s="1">
        <f ca="1">$B78*('Updated Population'!K$70/'Updated Population'!$B$70)*('Total Duration Tables Sup #1'!K177/'Total Duration Tables Sup #1'!$B177)</f>
        <v>0.40443136053313006</v>
      </c>
    </row>
    <row r="79" spans="1:11" x14ac:dyDescent="0.2">
      <c r="A79" t="str">
        <f ca="1">OFFSET(Waikato_Reference,56,2)</f>
        <v>Local Ferry</v>
      </c>
      <c r="B79" s="4">
        <v>0</v>
      </c>
      <c r="C79" s="4">
        <f ca="1">$B79*('Updated Population'!C$70/'Updated Population'!$B$70)*('Total Duration Tables Sup #1'!C178/'Total Duration Tables Sup #1'!$B178)</f>
        <v>0</v>
      </c>
      <c r="D79" s="4">
        <f ca="1">$B79*('Updated Population'!D$70/'Updated Population'!$B$70)*('Total Duration Tables Sup #1'!D178/'Total Duration Tables Sup #1'!$B178)</f>
        <v>0</v>
      </c>
      <c r="E79" s="4">
        <f ca="1">$B79*('Updated Population'!E$70/'Updated Population'!$B$70)*('Total Duration Tables Sup #1'!E178/'Total Duration Tables Sup #1'!$B178)</f>
        <v>0</v>
      </c>
      <c r="F79" s="4">
        <f ca="1">$B79*('Updated Population'!F$70/'Updated Population'!$B$70)*('Total Duration Tables Sup #1'!F178/'Total Duration Tables Sup #1'!$B178)</f>
        <v>0</v>
      </c>
      <c r="G79" s="4">
        <f ca="1">$B79*('Updated Population'!G$70/'Updated Population'!$B$70)*('Total Duration Tables Sup #1'!G178/'Total Duration Tables Sup #1'!$B178)</f>
        <v>0</v>
      </c>
      <c r="H79" s="4">
        <f ca="1">$B79*('Updated Population'!H$70/'Updated Population'!$B$70)*('Total Duration Tables Sup #1'!H178/'Total Duration Tables Sup #1'!$B178)</f>
        <v>0</v>
      </c>
      <c r="I79" s="1">
        <f ca="1">$B79*('Updated Population'!I$70/'Updated Population'!$B$70)*('Total Duration Tables Sup #1'!I178/'Total Duration Tables Sup #1'!$B178)</f>
        <v>0</v>
      </c>
      <c r="J79" s="1">
        <f ca="1">$B79*('Updated Population'!J$70/'Updated Population'!$B$70)*('Total Duration Tables Sup #1'!J178/'Total Duration Tables Sup #1'!$B178)</f>
        <v>0</v>
      </c>
      <c r="K79" s="1">
        <f ca="1">$B79*('Updated Population'!K$70/'Updated Population'!$B$70)*('Total Duration Tables Sup #1'!K178/'Total Duration Tables Sup #1'!$B178)</f>
        <v>0</v>
      </c>
    </row>
    <row r="80" spans="1:11" x14ac:dyDescent="0.2">
      <c r="A80" t="str">
        <f ca="1">OFFSET(Taranaki_Reference,56,2)</f>
        <v>Other Household Travel</v>
      </c>
      <c r="B80" s="4">
        <f ca="1">OFFSET(Taranaki_Reference,56,7)</f>
        <v>5.6354069499999999E-2</v>
      </c>
      <c r="C80" s="4">
        <f ca="1">$B80*('Updated Population'!C$70/'Updated Population'!$B$70)*('Total Duration Tables Sup #1'!C179/'Total Duration Tables Sup #1'!$B179)</f>
        <v>6.0806276001957531E-2</v>
      </c>
      <c r="D80" s="4">
        <f ca="1">$B80*('Updated Population'!D$70/'Updated Population'!$B$70)*('Total Duration Tables Sup #1'!D179/'Total Duration Tables Sup #1'!$B179)</f>
        <v>6.3938682542572178E-2</v>
      </c>
      <c r="E80" s="4">
        <f ca="1">$B80*('Updated Population'!E$70/'Updated Population'!$B$70)*('Total Duration Tables Sup #1'!E179/'Total Duration Tables Sup #1'!$B179)</f>
        <v>6.5756413823601437E-2</v>
      </c>
      <c r="F80" s="4">
        <f ca="1">$B80*('Updated Population'!F$70/'Updated Population'!$B$70)*('Total Duration Tables Sup #1'!F179/'Total Duration Tables Sup #1'!$B179)</f>
        <v>6.7249907175078685E-2</v>
      </c>
      <c r="G80" s="4">
        <f ca="1">$B80*('Updated Population'!G$70/'Updated Population'!$B$70)*('Total Duration Tables Sup #1'!G179/'Total Duration Tables Sup #1'!$B179)</f>
        <v>6.9298622391302078E-2</v>
      </c>
      <c r="H80" s="4">
        <f ca="1">$B80*('Updated Population'!H$70/'Updated Population'!$B$70)*('Total Duration Tables Sup #1'!H179/'Total Duration Tables Sup #1'!$B179)</f>
        <v>7.1083297988581054E-2</v>
      </c>
      <c r="I80" s="1">
        <f ca="1">$B80*('Updated Population'!I$70/'Updated Population'!$B$70)*('Total Duration Tables Sup #1'!I179/'Total Duration Tables Sup #1'!$B179)</f>
        <v>7.1550619483336797E-2</v>
      </c>
      <c r="J80" s="1">
        <f ca="1">$B80*('Updated Population'!J$70/'Updated Population'!$B$70)*('Total Duration Tables Sup #1'!J179/'Total Duration Tables Sup #1'!$B179)</f>
        <v>7.1791757985580171E-2</v>
      </c>
      <c r="K80" s="1">
        <f ca="1">$B80*('Updated Population'!K$70/'Updated Population'!$B$70)*('Total Duration Tables Sup #1'!K179/'Total Duration Tables Sup #1'!$B179)</f>
        <v>7.1878904074888811E-2</v>
      </c>
    </row>
    <row r="81" spans="1:11" x14ac:dyDescent="0.2">
      <c r="A81" t="str">
        <f ca="1">OFFSET(Manawatu_Reference,0,0)</f>
        <v>08 MANAWATU-WANGANUI</v>
      </c>
      <c r="I81" s="1"/>
      <c r="J81" s="1"/>
      <c r="K81" s="1"/>
    </row>
    <row r="82" spans="1:11" x14ac:dyDescent="0.2">
      <c r="A82" t="str">
        <f ca="1">OFFSET(Manawatu_Reference,0,2)</f>
        <v>Pedestrian</v>
      </c>
      <c r="B82" s="4">
        <f ca="1">OFFSET(Manawatu_Reference,0,7)</f>
        <v>8.3408449691000008</v>
      </c>
      <c r="C82" s="4">
        <f ca="1">$B82*('Updated Population'!C$81/'Updated Population'!$B$81)*('Total Duration Tables Sup #1'!C170/'Total Duration Tables Sup #1'!$B170)</f>
        <v>8.6154030864481328</v>
      </c>
      <c r="D82" s="4">
        <f ca="1">$B82*('Updated Population'!D$81/'Updated Population'!$B$81)*('Total Duration Tables Sup #1'!D170/'Total Duration Tables Sup #1'!$B170)</f>
        <v>8.6920576787928532</v>
      </c>
      <c r="E82" s="4">
        <f ca="1">$B82*('Updated Population'!E$81/'Updated Population'!$B$81)*('Total Duration Tables Sup #1'!E170/'Total Duration Tables Sup #1'!$B170)</f>
        <v>8.719080371560695</v>
      </c>
      <c r="F82" s="4">
        <f ca="1">$B82*('Updated Population'!F$81/'Updated Population'!$B$81)*('Total Duration Tables Sup #1'!F170/'Total Duration Tables Sup #1'!$B170)</f>
        <v>8.6591951998026815</v>
      </c>
      <c r="G82" s="4">
        <f ca="1">$B82*('Updated Population'!G$81/'Updated Population'!$B$81)*('Total Duration Tables Sup #1'!G170/'Total Duration Tables Sup #1'!$B170)</f>
        <v>8.5690277334257043</v>
      </c>
      <c r="H82" s="4">
        <f ca="1">$B82*('Updated Population'!H$81/'Updated Population'!$B$81)*('Total Duration Tables Sup #1'!H170/'Total Duration Tables Sup #1'!$B170)</f>
        <v>8.4394270184612914</v>
      </c>
      <c r="I82" s="1">
        <f ca="1">$B82*('Updated Population'!I$81/'Updated Population'!$B$81)*('Total Duration Tables Sup #1'!I170/'Total Duration Tables Sup #1'!$B170)</f>
        <v>8.3699156190672124</v>
      </c>
      <c r="J82" s="1">
        <f ca="1">$B82*('Updated Population'!J$81/'Updated Population'!$B$81)*('Total Duration Tables Sup #1'!J170/'Total Duration Tables Sup #1'!$B170)</f>
        <v>8.2745533115059064</v>
      </c>
      <c r="K82" s="1">
        <f ca="1">$B82*('Updated Population'!K$81/'Updated Population'!$B$81)*('Total Duration Tables Sup #1'!K170/'Total Duration Tables Sup #1'!$B170)</f>
        <v>8.1626975659972931</v>
      </c>
    </row>
    <row r="83" spans="1:11" x14ac:dyDescent="0.2">
      <c r="A83" t="str">
        <f ca="1">OFFSET(Manawatu_Reference,7,2)</f>
        <v>Cyclist</v>
      </c>
      <c r="B83" s="4">
        <f ca="1">OFFSET(Manawatu_Reference,7,7)</f>
        <v>1.7566260256999999</v>
      </c>
      <c r="C83" s="4">
        <f ca="1">$B83*('Updated Population'!C$81/'Updated Population'!$B$81)*('Total Duration Tables Sup #1'!C171/'Total Duration Tables Sup #1'!$B171)</f>
        <v>1.8489829671548719</v>
      </c>
      <c r="D83" s="4">
        <f ca="1">$B83*('Updated Population'!D$81/'Updated Population'!$B$81)*('Total Duration Tables Sup #1'!D171/'Total Duration Tables Sup #1'!$B171)</f>
        <v>1.873022659426806</v>
      </c>
      <c r="E83" s="4">
        <f ca="1">$B83*('Updated Population'!E$81/'Updated Population'!$B$81)*('Total Duration Tables Sup #1'!E171/'Total Duration Tables Sup #1'!$B171)</f>
        <v>1.8647067755501938</v>
      </c>
      <c r="F83" s="4">
        <f ca="1">$B83*('Updated Population'!F$81/'Updated Population'!$B$81)*('Total Duration Tables Sup #1'!F171/'Total Duration Tables Sup #1'!$B171)</f>
        <v>1.8671188352798398</v>
      </c>
      <c r="G83" s="4">
        <f ca="1">$B83*('Updated Population'!G$81/'Updated Population'!$B$81)*('Total Duration Tables Sup #1'!G171/'Total Duration Tables Sup #1'!$B171)</f>
        <v>1.8850239456393518</v>
      </c>
      <c r="H83" s="4">
        <f ca="1">$B83*('Updated Population'!H$81/'Updated Population'!$B$81)*('Total Duration Tables Sup #1'!H171/'Total Duration Tables Sup #1'!$B171)</f>
        <v>1.8983890556960226</v>
      </c>
      <c r="I83" s="1">
        <f ca="1">$B83*('Updated Population'!I$81/'Updated Population'!$B$81)*('Total Duration Tables Sup #1'!I171/'Total Duration Tables Sup #1'!$B171)</f>
        <v>1.8827529610219205</v>
      </c>
      <c r="J83" s="1">
        <f ca="1">$B83*('Updated Population'!J$81/'Updated Population'!$B$81)*('Total Duration Tables Sup #1'!J171/'Total Duration Tables Sup #1'!$B171)</f>
        <v>1.8613018885019159</v>
      </c>
      <c r="K83" s="1">
        <f ca="1">$B83*('Updated Population'!K$81/'Updated Population'!$B$81)*('Total Duration Tables Sup #1'!K171/'Total Duration Tables Sup #1'!$B171)</f>
        <v>1.8361407344773872</v>
      </c>
    </row>
    <row r="84" spans="1:11" x14ac:dyDescent="0.2">
      <c r="A84" t="str">
        <f ca="1">OFFSET(Manawatu_Reference,14,2)</f>
        <v>Light Vehicle Driver</v>
      </c>
      <c r="B84" s="4">
        <f ca="1">OFFSET(Manawatu_Reference,14,7)</f>
        <v>42.09204356</v>
      </c>
      <c r="C84" s="4">
        <f ca="1">$B84*('Updated Population'!C$81/'Updated Population'!$B$81)*('Total Duration Tables Sup #1'!C172/'Total Duration Tables Sup #1'!$B172)</f>
        <v>45.101501241760403</v>
      </c>
      <c r="D84" s="4">
        <f ca="1">$B84*('Updated Population'!D$81/'Updated Population'!$B$81)*('Total Duration Tables Sup #1'!D172/'Total Duration Tables Sup #1'!$B172)</f>
        <v>46.499304789210811</v>
      </c>
      <c r="E84" s="4">
        <f ca="1">$B84*('Updated Population'!E$81/'Updated Population'!$B$81)*('Total Duration Tables Sup #1'!E172/'Total Duration Tables Sup #1'!$B172)</f>
        <v>47.129415662098459</v>
      </c>
      <c r="F84" s="4">
        <f ca="1">$B84*('Updated Population'!F$81/'Updated Population'!$B$81)*('Total Duration Tables Sup #1'!F172/'Total Duration Tables Sup #1'!$B172)</f>
        <v>47.554763147029554</v>
      </c>
      <c r="G84" s="4">
        <f ca="1">$B84*('Updated Population'!G$81/'Updated Population'!$B$81)*('Total Duration Tables Sup #1'!G172/'Total Duration Tables Sup #1'!$B172)</f>
        <v>47.560247204959865</v>
      </c>
      <c r="H84" s="4">
        <f ca="1">$B84*('Updated Population'!H$81/'Updated Population'!$B$81)*('Total Duration Tables Sup #1'!H172/'Total Duration Tables Sup #1'!$B172)</f>
        <v>47.359998183484002</v>
      </c>
      <c r="I84" s="1">
        <f ca="1">$B84*('Updated Population'!I$81/'Updated Population'!$B$81)*('Total Duration Tables Sup #1'!I172/'Total Duration Tables Sup #1'!$B172)</f>
        <v>46.969917228718515</v>
      </c>
      <c r="J84" s="1">
        <f ca="1">$B84*('Updated Population'!J$81/'Updated Population'!$B$81)*('Total Duration Tables Sup #1'!J172/'Total Duration Tables Sup #1'!$B172)</f>
        <v>46.434767306455228</v>
      </c>
      <c r="K84" s="1">
        <f ca="1">$B84*('Updated Population'!K$81/'Updated Population'!$B$81)*('Total Duration Tables Sup #1'!K172/'Total Duration Tables Sup #1'!$B172)</f>
        <v>45.807060248557583</v>
      </c>
    </row>
    <row r="85" spans="1:11" x14ac:dyDescent="0.2">
      <c r="A85" t="str">
        <f ca="1">OFFSET(Manawatu_Reference,21,2)</f>
        <v>Light Vehicle Passenger</v>
      </c>
      <c r="B85" s="4">
        <f ca="1">OFFSET(Manawatu_Reference,21,7)</f>
        <v>20.286542670999999</v>
      </c>
      <c r="C85" s="4">
        <f ca="1">$B85*('Updated Population'!C$81/'Updated Population'!$B$81)*('Total Duration Tables Sup #1'!C173/'Total Duration Tables Sup #1'!$B173)</f>
        <v>20.74113518616722</v>
      </c>
      <c r="D85" s="4">
        <f ca="1">$B85*('Updated Population'!D$81/'Updated Population'!$B$81)*('Total Duration Tables Sup #1'!D173/'Total Duration Tables Sup #1'!$B173)</f>
        <v>20.81436014084084</v>
      </c>
      <c r="E85" s="4">
        <f ca="1">$B85*('Updated Population'!E$81/'Updated Population'!$B$81)*('Total Duration Tables Sup #1'!E173/'Total Duration Tables Sup #1'!$B173)</f>
        <v>20.754956498007378</v>
      </c>
      <c r="F85" s="4">
        <f ca="1">$B85*('Updated Population'!F$81/'Updated Population'!$B$81)*('Total Duration Tables Sup #1'!F173/'Total Duration Tables Sup #1'!$B173)</f>
        <v>20.57908317488425</v>
      </c>
      <c r="G85" s="4">
        <f ca="1">$B85*('Updated Population'!G$81/'Updated Population'!$B$81)*('Total Duration Tables Sup #1'!G173/'Total Duration Tables Sup #1'!$B173)</f>
        <v>20.309286471800405</v>
      </c>
      <c r="H85" s="4">
        <f ca="1">$B85*('Updated Population'!H$81/'Updated Population'!$B$81)*('Total Duration Tables Sup #1'!H173/'Total Duration Tables Sup #1'!$B173)</f>
        <v>19.936767022596275</v>
      </c>
      <c r="I85" s="1">
        <f ca="1">$B85*('Updated Population'!I$81/'Updated Population'!$B$81)*('Total Duration Tables Sup #1'!I173/'Total Duration Tables Sup #1'!$B173)</f>
        <v>19.77255770221198</v>
      </c>
      <c r="J85" s="1">
        <f ca="1">$B85*('Updated Population'!J$81/'Updated Population'!$B$81)*('Total Duration Tables Sup #1'!J173/'Total Duration Tables Sup #1'!$B173)</f>
        <v>19.547279836258763</v>
      </c>
      <c r="K85" s="1">
        <f ca="1">$B85*('Updated Population'!K$81/'Updated Population'!$B$81)*('Total Duration Tables Sup #1'!K173/'Total Duration Tables Sup #1'!$B173)</f>
        <v>19.283038918781092</v>
      </c>
    </row>
    <row r="86" spans="1:11" x14ac:dyDescent="0.2">
      <c r="A86" t="str">
        <f ca="1">OFFSET(Manawatu_Reference,28,2)</f>
        <v>Taxi/Vehicle Share</v>
      </c>
      <c r="B86" s="4">
        <f ca="1">OFFSET(Manawatu_Reference,28,7)</f>
        <v>0.26821620219999998</v>
      </c>
      <c r="C86" s="4">
        <f ca="1">$B86*('Updated Population'!C$81/'Updated Population'!$B$81)*('Total Duration Tables Sup #1'!C174/'Total Duration Tables Sup #1'!$B174)</f>
        <v>0.29939339310730501</v>
      </c>
      <c r="D86" s="4">
        <f ca="1">$B86*('Updated Population'!D$81/'Updated Population'!$B$81)*('Total Duration Tables Sup #1'!D174/'Total Duration Tables Sup #1'!$B174)</f>
        <v>0.32245867903648739</v>
      </c>
      <c r="E86" s="4">
        <f ca="1">$B86*('Updated Population'!E$81/'Updated Population'!$B$81)*('Total Duration Tables Sup #1'!E174/'Total Duration Tables Sup #1'!$B174)</f>
        <v>0.34339203170301219</v>
      </c>
      <c r="F86" s="4">
        <f ca="1">$B86*('Updated Population'!F$81/'Updated Population'!$B$81)*('Total Duration Tables Sup #1'!F174/'Total Duration Tables Sup #1'!$B174)</f>
        <v>0.36058931184112569</v>
      </c>
      <c r="G86" s="4">
        <f ca="1">$B86*('Updated Population'!G$81/'Updated Population'!$B$81)*('Total Duration Tables Sup #1'!G174/'Total Duration Tables Sup #1'!$B174)</f>
        <v>0.37170393300200966</v>
      </c>
      <c r="H86" s="4">
        <f ca="1">$B86*('Updated Population'!H$81/'Updated Population'!$B$81)*('Total Duration Tables Sup #1'!H174/'Total Duration Tables Sup #1'!$B174)</f>
        <v>0.3810265351646252</v>
      </c>
      <c r="I86" s="1">
        <f ca="1">$B86*('Updated Population'!I$81/'Updated Population'!$B$81)*('Total Duration Tables Sup #1'!I174/'Total Duration Tables Sup #1'!$B174)</f>
        <v>0.37788820745497936</v>
      </c>
      <c r="J86" s="1">
        <f ca="1">$B86*('Updated Population'!J$81/'Updated Population'!$B$81)*('Total Duration Tables Sup #1'!J174/'Total Duration Tables Sup #1'!$B174)</f>
        <v>0.37358275288372672</v>
      </c>
      <c r="K86" s="1">
        <f ca="1">$B86*('Updated Population'!K$81/'Updated Population'!$B$81)*('Total Duration Tables Sup #1'!K174/'Total Duration Tables Sup #1'!$B174)</f>
        <v>0.36853264615774028</v>
      </c>
    </row>
    <row r="87" spans="1:11" x14ac:dyDescent="0.2">
      <c r="A87" t="str">
        <f ca="1">OFFSET(Manawatu_Reference,35,2)</f>
        <v>Motorcyclist</v>
      </c>
      <c r="B87" s="4">
        <f ca="1">OFFSET(Manawatu_Reference,35,7)</f>
        <v>0.1643149203</v>
      </c>
      <c r="C87" s="4">
        <f ca="1">$B87*('Updated Population'!C$81/'Updated Population'!$B$81)*('Total Duration Tables Sup #1'!C175/'Total Duration Tables Sup #1'!$B175)</f>
        <v>0.17287321587013679</v>
      </c>
      <c r="D87" s="4">
        <f ca="1">$B87*('Updated Population'!D$81/'Updated Population'!$B$81)*('Total Duration Tables Sup #1'!D175/'Total Duration Tables Sup #1'!$B175)</f>
        <v>0.17582774803219167</v>
      </c>
      <c r="E87" s="4">
        <f ca="1">$B87*('Updated Population'!E$81/'Updated Population'!$B$81)*('Total Duration Tables Sup #1'!E175/'Total Duration Tables Sup #1'!$B175)</f>
        <v>0.17509688663853512</v>
      </c>
      <c r="F87" s="4">
        <f ca="1">$B87*('Updated Population'!F$81/'Updated Population'!$B$81)*('Total Duration Tables Sup #1'!F175/'Total Duration Tables Sup #1'!$B175)</f>
        <v>0.17374356171497712</v>
      </c>
      <c r="G87" s="4">
        <f ca="1">$B87*('Updated Population'!G$81/'Updated Population'!$B$81)*('Total Duration Tables Sup #1'!G175/'Total Duration Tables Sup #1'!$B175)</f>
        <v>0.17000438979883578</v>
      </c>
      <c r="H87" s="4">
        <f ca="1">$B87*('Updated Population'!H$81/'Updated Population'!$B$81)*('Total Duration Tables Sup #1'!H175/'Total Duration Tables Sup #1'!$B175)</f>
        <v>0.16548668100752045</v>
      </c>
      <c r="I87" s="1">
        <f ca="1">$B87*('Updated Population'!I$81/'Updated Population'!$B$81)*('Total Duration Tables Sup #1'!I175/'Total Duration Tables Sup #1'!$B175)</f>
        <v>0.16412364880725958</v>
      </c>
      <c r="J87" s="1">
        <f ca="1">$B87*('Updated Population'!J$81/'Updated Population'!$B$81)*('Total Duration Tables Sup #1'!J175/'Total Duration Tables Sup #1'!$B175)</f>
        <v>0.16225371240790246</v>
      </c>
      <c r="K87" s="1">
        <f ca="1">$B87*('Updated Population'!K$81/'Updated Population'!$B$81)*('Total Duration Tables Sup #1'!K175/'Total Duration Tables Sup #1'!$B175)</f>
        <v>0.16006036017731259</v>
      </c>
    </row>
    <row r="88" spans="1:11" x14ac:dyDescent="0.2">
      <c r="A88" t="str">
        <f ca="1">OFFSET(Taranaki_Reference,42,2)</f>
        <v>Local Train</v>
      </c>
      <c r="B88" s="4">
        <v>0</v>
      </c>
      <c r="C88" s="4">
        <f ca="1">$B88*('Updated Population'!C$81/'Updated Population'!$B$81)*('Total Duration Tables Sup #1'!C176/'Total Duration Tables Sup #1'!$B176)</f>
        <v>0</v>
      </c>
      <c r="D88" s="4">
        <f ca="1">$B88*('Updated Population'!D$81/'Updated Population'!$B$81)*('Total Duration Tables Sup #1'!D176/'Total Duration Tables Sup #1'!$B176)</f>
        <v>0</v>
      </c>
      <c r="E88" s="4">
        <f ca="1">$B88*('Updated Population'!E$81/'Updated Population'!$B$81)*('Total Duration Tables Sup #1'!E176/'Total Duration Tables Sup #1'!$B176)</f>
        <v>0</v>
      </c>
      <c r="F88" s="4">
        <f ca="1">$B88*('Updated Population'!F$81/'Updated Population'!$B$81)*('Total Duration Tables Sup #1'!F176/'Total Duration Tables Sup #1'!$B176)</f>
        <v>0</v>
      </c>
      <c r="G88" s="4">
        <f ca="1">$B88*('Updated Population'!G$81/'Updated Population'!$B$81)*('Total Duration Tables Sup #1'!G176/'Total Duration Tables Sup #1'!$B176)</f>
        <v>0</v>
      </c>
      <c r="H88" s="4">
        <f ca="1">$B88*('Updated Population'!H$81/'Updated Population'!$B$81)*('Total Duration Tables Sup #1'!H176/'Total Duration Tables Sup #1'!$B176)</f>
        <v>0</v>
      </c>
      <c r="I88" s="1">
        <f ca="1">$B88*('Updated Population'!I$81/'Updated Population'!$B$81)*('Total Duration Tables Sup #1'!I176/'Total Duration Tables Sup #1'!$B176)</f>
        <v>0</v>
      </c>
      <c r="J88" s="1">
        <f ca="1">$B88*('Updated Population'!J$81/'Updated Population'!$B$81)*('Total Duration Tables Sup #1'!J176/'Total Duration Tables Sup #1'!$B176)</f>
        <v>0</v>
      </c>
      <c r="K88" s="1">
        <f ca="1">$B88*('Updated Population'!K$81/'Updated Population'!$B$81)*('Total Duration Tables Sup #1'!K176/'Total Duration Tables Sup #1'!$B176)</f>
        <v>0</v>
      </c>
    </row>
    <row r="89" spans="1:11" x14ac:dyDescent="0.2">
      <c r="A89" t="str">
        <f ca="1">OFFSET(Manawatu_Reference,42,2)</f>
        <v>Local Bus</v>
      </c>
      <c r="B89" s="4">
        <f ca="1">OFFSET(Manawatu_Reference,42,7)</f>
        <v>1.7349616699999999</v>
      </c>
      <c r="C89" s="4">
        <f ca="1">$B89*('Updated Population'!C$81/'Updated Population'!$B$81)*('Total Duration Tables Sup #1'!C177/'Total Duration Tables Sup #1'!$B177)</f>
        <v>1.6638269968129722</v>
      </c>
      <c r="D89" s="4">
        <f ca="1">$B89*('Updated Population'!D$81/'Updated Population'!$B$81)*('Total Duration Tables Sup #1'!D177/'Total Duration Tables Sup #1'!$B177)</f>
        <v>1.6016268611911262</v>
      </c>
      <c r="E89" s="4">
        <f ca="1">$B89*('Updated Population'!E$81/'Updated Population'!$B$81)*('Total Duration Tables Sup #1'!E177/'Total Duration Tables Sup #1'!$B177)</f>
        <v>1.5569336929453446</v>
      </c>
      <c r="F89" s="4">
        <f ca="1">$B89*('Updated Population'!F$81/'Updated Population'!$B$81)*('Total Duration Tables Sup #1'!F177/'Total Duration Tables Sup #1'!$B177)</f>
        <v>1.4960107802980196</v>
      </c>
      <c r="G89" s="4">
        <f ca="1">$B89*('Updated Population'!G$81/'Updated Population'!$B$81)*('Total Duration Tables Sup #1'!G177/'Total Duration Tables Sup #1'!$B177)</f>
        <v>1.4472629271113908</v>
      </c>
      <c r="H89" s="4">
        <f ca="1">$B89*('Updated Population'!H$81/'Updated Population'!$B$81)*('Total Duration Tables Sup #1'!H177/'Total Duration Tables Sup #1'!$B177)</f>
        <v>1.3930780829576139</v>
      </c>
      <c r="I89" s="1">
        <f ca="1">$B89*('Updated Population'!I$81/'Updated Population'!$B$81)*('Total Duration Tables Sup #1'!I177/'Total Duration Tables Sup #1'!$B177)</f>
        <v>1.3816039856285205</v>
      </c>
      <c r="J89" s="1">
        <f ca="1">$B89*('Updated Population'!J$81/'Updated Population'!$B$81)*('Total Duration Tables Sup #1'!J177/'Total Duration Tables Sup #1'!$B177)</f>
        <v>1.3658627344377332</v>
      </c>
      <c r="K89" s="1">
        <f ca="1">$B89*('Updated Population'!K$81/'Updated Population'!$B$81)*('Total Duration Tables Sup #1'!K177/'Total Duration Tables Sup #1'!$B177)</f>
        <v>1.3473989468867456</v>
      </c>
    </row>
    <row r="90" spans="1:11" x14ac:dyDescent="0.2">
      <c r="A90" t="str">
        <f ca="1">OFFSET(Manawatu_Reference,49,2)</f>
        <v>Local Ferry</v>
      </c>
      <c r="B90" s="4">
        <f ca="1">OFFSET(Manawatu_Reference,49,7)</f>
        <v>1.3357739E-2</v>
      </c>
      <c r="C90" s="4">
        <f ca="1">$B90*('Updated Population'!C$81/'Updated Population'!$B$81)*('Total Duration Tables Sup #1'!C178/'Total Duration Tables Sup #1'!$B178)</f>
        <v>1.5006257766890248E-2</v>
      </c>
      <c r="D90" s="4">
        <f ca="1">$B90*('Updated Population'!D$81/'Updated Population'!$B$81)*('Total Duration Tables Sup #1'!D178/'Total Duration Tables Sup #1'!$B178)</f>
        <v>1.6064453264517196E-2</v>
      </c>
      <c r="E90" s="4">
        <f ca="1">$B90*('Updated Population'!E$81/'Updated Population'!$B$81)*('Total Duration Tables Sup #1'!E178/'Total Duration Tables Sup #1'!$B178)</f>
        <v>1.6806990707417764E-2</v>
      </c>
      <c r="F90" s="4">
        <f ca="1">$B90*('Updated Population'!F$81/'Updated Population'!$B$81)*('Total Duration Tables Sup #1'!F178/'Total Duration Tables Sup #1'!$B178)</f>
        <v>1.7385685128223693E-2</v>
      </c>
      <c r="G90" s="4">
        <f ca="1">$B90*('Updated Population'!G$81/'Updated Population'!$B$81)*('Total Duration Tables Sup #1'!G178/'Total Duration Tables Sup #1'!$B178)</f>
        <v>1.8257691733594279E-2</v>
      </c>
      <c r="H90" s="4">
        <f ca="1">$B90*('Updated Population'!H$81/'Updated Population'!$B$81)*('Total Duration Tables Sup #1'!H178/'Total Duration Tables Sup #1'!$B178)</f>
        <v>1.9007678354373666E-2</v>
      </c>
      <c r="I90" s="1">
        <f ca="1">$B90*('Updated Population'!I$81/'Updated Population'!$B$81)*('Total Duration Tables Sup #1'!I178/'Total Duration Tables Sup #1'!$B178)</f>
        <v>1.8851121479273637E-2</v>
      </c>
      <c r="J90" s="1">
        <f ca="1">$B90*('Updated Population'!J$81/'Updated Population'!$B$81)*('Total Duration Tables Sup #1'!J178/'Total Duration Tables Sup #1'!$B178)</f>
        <v>1.8636341961032525E-2</v>
      </c>
      <c r="K90" s="1">
        <f ca="1">$B90*('Updated Population'!K$81/'Updated Population'!$B$81)*('Total Duration Tables Sup #1'!K178/'Total Duration Tables Sup #1'!$B178)</f>
        <v>1.8384415138504702E-2</v>
      </c>
    </row>
    <row r="91" spans="1:11" x14ac:dyDescent="0.2">
      <c r="A91" t="str">
        <f ca="1">OFFSET(Manawatu_Reference,56,2)</f>
        <v>Other Household Travel</v>
      </c>
      <c r="B91" s="4">
        <f ca="1">OFFSET(Manawatu_Reference,56,7)</f>
        <v>3.9735238899999997E-2</v>
      </c>
      <c r="C91" s="4">
        <f ca="1">$B91*('Updated Population'!C$81/'Updated Population'!$B$81)*('Total Duration Tables Sup #1'!C179/'Total Duration Tables Sup #1'!$B179)</f>
        <v>4.2539538350410633E-2</v>
      </c>
      <c r="D91" s="4">
        <f ca="1">$B91*('Updated Population'!D$81/'Updated Population'!$B$81)*('Total Duration Tables Sup #1'!D179/'Total Duration Tables Sup #1'!$B179)</f>
        <v>4.4230830525837816E-2</v>
      </c>
      <c r="E91" s="4">
        <f ca="1">$B91*('Updated Population'!E$81/'Updated Population'!$B$81)*('Total Duration Tables Sup #1'!E179/'Total Duration Tables Sup #1'!$B179)</f>
        <v>4.4927333588799613E-2</v>
      </c>
      <c r="F91" s="4">
        <f ca="1">$B91*('Updated Population'!F$81/'Updated Population'!$B$81)*('Total Duration Tables Sup #1'!F179/'Total Duration Tables Sup #1'!$B179)</f>
        <v>4.5376059521690562E-2</v>
      </c>
      <c r="G91" s="4">
        <f ca="1">$B91*('Updated Population'!G$81/'Updated Population'!$B$81)*('Total Duration Tables Sup #1'!G179/'Total Duration Tables Sup #1'!$B179)</f>
        <v>4.6126048963035071E-2</v>
      </c>
      <c r="H91" s="4">
        <f ca="1">$B91*('Updated Population'!H$81/'Updated Population'!$B$81)*('Total Duration Tables Sup #1'!H179/'Total Duration Tables Sup #1'!$B179)</f>
        <v>4.6617771882573829E-2</v>
      </c>
      <c r="I91" s="1">
        <f ca="1">$B91*('Updated Population'!I$81/'Updated Population'!$B$81)*('Total Duration Tables Sup #1'!I179/'Total Duration Tables Sup #1'!$B179)</f>
        <v>4.6233804279903278E-2</v>
      </c>
      <c r="J91" s="1">
        <f ca="1">$B91*('Updated Population'!J$81/'Updated Population'!$B$81)*('Total Duration Tables Sup #1'!J179/'Total Duration Tables Sup #1'!$B179)</f>
        <v>4.5707041231847524E-2</v>
      </c>
      <c r="K91" s="1">
        <f ca="1">$B91*('Updated Population'!K$81/'Updated Population'!$B$81)*('Total Duration Tables Sup #1'!K179/'Total Duration Tables Sup #1'!$B179)</f>
        <v>4.5089171604387135E-2</v>
      </c>
    </row>
    <row r="92" spans="1:11" x14ac:dyDescent="0.2">
      <c r="A92" t="str">
        <f ca="1">OFFSET(Wellington_Reference,0,0)</f>
        <v>09 WELLINGTON</v>
      </c>
      <c r="I92" s="1"/>
      <c r="J92" s="1"/>
      <c r="K92" s="1"/>
    </row>
    <row r="93" spans="1:11" x14ac:dyDescent="0.2">
      <c r="A93" t="str">
        <f ca="1">OFFSET(Wellington_Reference,0,2)</f>
        <v>Pedestrian</v>
      </c>
      <c r="B93" s="4">
        <f ca="1">OFFSET(Wellington_Reference,0,7)</f>
        <v>32.985647405999998</v>
      </c>
      <c r="C93" s="4">
        <f ca="1">$B93*('Updated Population'!C$92/'Updated Population'!$B$92)*('Total Duration Tables Sup #1'!C170/'Total Duration Tables Sup #1'!$B170)</f>
        <v>34.671914411998259</v>
      </c>
      <c r="D93" s="4">
        <f ca="1">$B93*('Updated Population'!D$92/'Updated Population'!$B$92)*('Total Duration Tables Sup #1'!D170/'Total Duration Tables Sup #1'!$B170)</f>
        <v>35.548985045970014</v>
      </c>
      <c r="E93" s="4">
        <f ca="1">$B93*('Updated Population'!E$92/'Updated Population'!$B$92)*('Total Duration Tables Sup #1'!E170/'Total Duration Tables Sup #1'!$B170)</f>
        <v>36.148361793452992</v>
      </c>
      <c r="F93" s="4">
        <f ca="1">$B93*('Updated Population'!F$92/'Updated Population'!$B$92)*('Total Duration Tables Sup #1'!F170/'Total Duration Tables Sup #1'!$B170)</f>
        <v>36.43015712690643</v>
      </c>
      <c r="G93" s="4">
        <f ca="1">$B93*('Updated Population'!G$92/'Updated Population'!$B$92)*('Total Duration Tables Sup #1'!G170/'Total Duration Tables Sup #1'!$B170)</f>
        <v>36.595865265225946</v>
      </c>
      <c r="H93" s="4">
        <f ca="1">$B93*('Updated Population'!H$92/'Updated Population'!$B$92)*('Total Duration Tables Sup #1'!H170/'Total Duration Tables Sup #1'!$B170)</f>
        <v>36.582046075401806</v>
      </c>
      <c r="I93" s="1">
        <f ca="1">$B93*('Updated Population'!I$92/'Updated Population'!$B$92)*('Total Duration Tables Sup #1'!I170/'Total Duration Tables Sup #1'!$B170)</f>
        <v>36.823975178865041</v>
      </c>
      <c r="J93" s="1">
        <f ca="1">$B93*('Updated Population'!J$92/'Updated Population'!$B$92)*('Total Duration Tables Sup #1'!J170/'Total Duration Tables Sup #1'!$B170)</f>
        <v>36.949511986180539</v>
      </c>
      <c r="K93" s="1">
        <f ca="1">$B93*('Updated Population'!K$92/'Updated Population'!$B$92)*('Total Duration Tables Sup #1'!K170/'Total Duration Tables Sup #1'!$B170)</f>
        <v>36.995799167650169</v>
      </c>
    </row>
    <row r="94" spans="1:11" x14ac:dyDescent="0.2">
      <c r="A94" t="str">
        <f ca="1">OFFSET(Wellington_Reference,7,2)</f>
        <v>Cyclist</v>
      </c>
      <c r="B94" s="4">
        <f ca="1">OFFSET(Wellington_Reference,7,7)</f>
        <v>3.6978261002999999</v>
      </c>
      <c r="C94" s="4">
        <f ca="1">$B94*('Updated Population'!C$92/'Updated Population'!$B$92)*('Total Duration Tables Sup #1'!C171/'Total Duration Tables Sup #1'!$B171)</f>
        <v>3.9608403558330672</v>
      </c>
      <c r="D94" s="4">
        <f ca="1">$B94*('Updated Population'!D$92/'Updated Population'!$B$92)*('Total Duration Tables Sup #1'!D171/'Total Duration Tables Sup #1'!$B171)</f>
        <v>4.0775551619182888</v>
      </c>
      <c r="E94" s="4">
        <f ca="1">$B94*('Updated Population'!E$92/'Updated Population'!$B$92)*('Total Duration Tables Sup #1'!E171/'Total Duration Tables Sup #1'!$B171)</f>
        <v>4.11510286339752</v>
      </c>
      <c r="F94" s="4">
        <f ca="1">$B94*('Updated Population'!F$92/'Updated Population'!$B$92)*('Total Duration Tables Sup #1'!F171/'Total Duration Tables Sup #1'!$B171)</f>
        <v>4.1812648929800886</v>
      </c>
      <c r="G94" s="4">
        <f ca="1">$B94*('Updated Population'!G$92/'Updated Population'!$B$92)*('Total Duration Tables Sup #1'!G171/'Total Duration Tables Sup #1'!$B171)</f>
        <v>4.2851847469645232</v>
      </c>
      <c r="H94" s="4">
        <f ca="1">$B94*('Updated Population'!H$92/'Updated Population'!$B$92)*('Total Duration Tables Sup #1'!H171/'Total Duration Tables Sup #1'!$B171)</f>
        <v>4.3801850579338248</v>
      </c>
      <c r="I94" s="1">
        <f ca="1">$B94*('Updated Population'!I$92/'Updated Population'!$B$92)*('Total Duration Tables Sup #1'!I171/'Total Duration Tables Sup #1'!$B171)</f>
        <v>4.409152662476358</v>
      </c>
      <c r="J94" s="1">
        <f ca="1">$B94*('Updated Population'!J$92/'Updated Population'!$B$92)*('Total Duration Tables Sup #1'!J171/'Total Duration Tables Sup #1'!$B171)</f>
        <v>4.4241839279908861</v>
      </c>
      <c r="K94" s="1">
        <f ca="1">$B94*('Updated Population'!K$92/'Updated Population'!$B$92)*('Total Duration Tables Sup #1'!K171/'Total Duration Tables Sup #1'!$B171)</f>
        <v>4.4297261663946461</v>
      </c>
    </row>
    <row r="95" spans="1:11" x14ac:dyDescent="0.2">
      <c r="A95" t="str">
        <f ca="1">OFFSET(Wellington_Reference,14,2)</f>
        <v>Light Vehicle Driver</v>
      </c>
      <c r="B95" s="4">
        <f ca="1">OFFSET(Wellington_Reference,14,7)</f>
        <v>92.129697210000003</v>
      </c>
      <c r="C95" s="4">
        <f ca="1">$B95*('Updated Population'!C$92/'Updated Population'!$B$92)*('Total Duration Tables Sup #1'!C172/'Total Duration Tables Sup #1'!$B172)</f>
        <v>100.45646413169257</v>
      </c>
      <c r="D95" s="4">
        <f ca="1">$B95*('Updated Population'!D$92/'Updated Population'!$B$92)*('Total Duration Tables Sup #1'!D172/'Total Duration Tables Sup #1'!$B172)</f>
        <v>105.25330345449902</v>
      </c>
      <c r="E95" s="4">
        <f ca="1">$B95*('Updated Population'!E$92/'Updated Population'!$B$92)*('Total Duration Tables Sup #1'!E172/'Total Duration Tables Sup #1'!$B172)</f>
        <v>108.1420663887761</v>
      </c>
      <c r="F95" s="4">
        <f ca="1">$B95*('Updated Population'!F$92/'Updated Population'!$B$92)*('Total Duration Tables Sup #1'!F172/'Total Duration Tables Sup #1'!$B172)</f>
        <v>110.729211388571</v>
      </c>
      <c r="G95" s="4">
        <f ca="1">$B95*('Updated Population'!G$92/'Updated Population'!$B$92)*('Total Duration Tables Sup #1'!G172/'Total Duration Tables Sup #1'!$B172)</f>
        <v>112.41628890510556</v>
      </c>
      <c r="H95" s="4">
        <f ca="1">$B95*('Updated Population'!H$92/'Updated Population'!$B$92)*('Total Duration Tables Sup #1'!H172/'Total Duration Tables Sup #1'!$B172)</f>
        <v>113.61910840234829</v>
      </c>
      <c r="I95" s="1">
        <f ca="1">$B95*('Updated Population'!I$92/'Updated Population'!$B$92)*('Total Duration Tables Sup #1'!I172/'Total Duration Tables Sup #1'!$B172)</f>
        <v>114.37050893843136</v>
      </c>
      <c r="J95" s="1">
        <f ca="1">$B95*('Updated Population'!J$92/'Updated Population'!$B$92)*('Total Duration Tables Sup #1'!J172/'Total Duration Tables Sup #1'!$B172)</f>
        <v>114.76041004154256</v>
      </c>
      <c r="K95" s="1">
        <f ca="1">$B95*('Updated Population'!K$92/'Updated Population'!$B$92)*('Total Duration Tables Sup #1'!K172/'Total Duration Tables Sup #1'!$B172)</f>
        <v>114.90417204649432</v>
      </c>
    </row>
    <row r="96" spans="1:11" x14ac:dyDescent="0.2">
      <c r="A96" t="str">
        <f ca="1">OFFSET(Wellington_Reference,21,2)</f>
        <v>Light Vehicle Passenger</v>
      </c>
      <c r="B96" s="4">
        <f ca="1">OFFSET(Wellington_Reference,21,7)</f>
        <v>48.966354531</v>
      </c>
      <c r="C96" s="4">
        <f ca="1">$B96*('Updated Population'!C$92/'Updated Population'!$B$92)*('Total Duration Tables Sup #1'!C173/'Total Duration Tables Sup #1'!$B173)</f>
        <v>50.945932182728285</v>
      </c>
      <c r="D96" s="4">
        <f ca="1">$B96*('Updated Population'!D$92/'Updated Population'!$B$92)*('Total Duration Tables Sup #1'!D173/'Total Duration Tables Sup #1'!$B173)</f>
        <v>51.956805535210847</v>
      </c>
      <c r="E96" s="4">
        <f ca="1">$B96*('Updated Population'!E$92/'Updated Population'!$B$92)*('Total Duration Tables Sup #1'!E173/'Total Duration Tables Sup #1'!$B173)</f>
        <v>52.518768920115001</v>
      </c>
      <c r="F96" s="4">
        <f ca="1">$B96*('Updated Population'!F$92/'Updated Population'!$B$92)*('Total Duration Tables Sup #1'!F173/'Total Duration Tables Sup #1'!$B173)</f>
        <v>52.842615776845172</v>
      </c>
      <c r="G96" s="4">
        <f ca="1">$B96*('Updated Population'!G$92/'Updated Population'!$B$92)*('Total Duration Tables Sup #1'!G173/'Total Duration Tables Sup #1'!$B173)</f>
        <v>52.938289876051087</v>
      </c>
      <c r="H96" s="4">
        <f ca="1">$B96*('Updated Population'!H$92/'Updated Population'!$B$92)*('Total Duration Tables Sup #1'!H173/'Total Duration Tables Sup #1'!$B173)</f>
        <v>52.745393283492625</v>
      </c>
      <c r="I96" s="1">
        <f ca="1">$B96*('Updated Population'!I$92/'Updated Population'!$B$92)*('Total Duration Tables Sup #1'!I173/'Total Duration Tables Sup #1'!$B173)</f>
        <v>53.094215918579501</v>
      </c>
      <c r="J96" s="1">
        <f ca="1">$B96*('Updated Population'!J$92/'Updated Population'!$B$92)*('Total Duration Tables Sup #1'!J173/'Total Duration Tables Sup #1'!$B173)</f>
        <v>53.27521968911114</v>
      </c>
      <c r="K96" s="1">
        <f ca="1">$B96*('Updated Population'!K$92/'Updated Population'!$B$92)*('Total Duration Tables Sup #1'!K173/'Total Duration Tables Sup #1'!$B173)</f>
        <v>53.341958317824478</v>
      </c>
    </row>
    <row r="97" spans="1:11" x14ac:dyDescent="0.2">
      <c r="A97" t="str">
        <f ca="1">OFFSET(Wellington_Reference,28,2)</f>
        <v>Taxi/Vehicle Share</v>
      </c>
      <c r="B97" s="4">
        <f ca="1">OFFSET(Wellington_Reference,28,7)</f>
        <v>0.76229285280000003</v>
      </c>
      <c r="C97" s="4">
        <f ca="1">$B97*('Updated Population'!C$92/'Updated Population'!$B$92)*('Total Duration Tables Sup #1'!C174/'Total Duration Tables Sup #1'!$B174)</f>
        <v>0.86589714650506167</v>
      </c>
      <c r="D97" s="4">
        <f ca="1">$B97*('Updated Population'!D$92/'Updated Population'!$B$92)*('Total Duration Tables Sup #1'!D174/'Total Duration Tables Sup #1'!$B174)</f>
        <v>0.94776475099509028</v>
      </c>
      <c r="E97" s="4">
        <f ca="1">$B97*('Updated Population'!E$92/'Updated Population'!$B$92)*('Total Duration Tables Sup #1'!E174/'Total Duration Tables Sup #1'!$B174)</f>
        <v>1.0231281370449588</v>
      </c>
      <c r="F97" s="4">
        <f ca="1">$B97*('Updated Population'!F$92/'Updated Population'!$B$92)*('Total Duration Tables Sup #1'!F174/'Total Duration Tables Sup #1'!$B174)</f>
        <v>1.0902302802962287</v>
      </c>
      <c r="G97" s="4">
        <f ca="1">$B97*('Updated Population'!G$92/'Updated Population'!$B$92)*('Total Duration Tables Sup #1'!G174/'Total Duration Tables Sup #1'!$B174)</f>
        <v>1.1408262450746665</v>
      </c>
      <c r="H97" s="4">
        <f ca="1">$B97*('Updated Population'!H$92/'Updated Population'!$B$92)*('Total Duration Tables Sup #1'!H174/'Total Duration Tables Sup #1'!$B174)</f>
        <v>1.1869491883188323</v>
      </c>
      <c r="I97" s="1">
        <f ca="1">$B97*('Updated Population'!I$92/'Updated Population'!$B$92)*('Total Duration Tables Sup #1'!I174/'Total Duration Tables Sup #1'!$B174)</f>
        <v>1.1947988737190014</v>
      </c>
      <c r="J97" s="1">
        <f ca="1">$B97*('Updated Population'!J$92/'Updated Population'!$B$92)*('Total Duration Tables Sup #1'!J174/'Total Duration Tables Sup #1'!$B174)</f>
        <v>1.198872068838819</v>
      </c>
      <c r="K97" s="1">
        <f ca="1">$B97*('Updated Population'!K$92/'Updated Population'!$B$92)*('Total Duration Tables Sup #1'!K174/'Total Duration Tables Sup #1'!$B174)</f>
        <v>1.2003739130047169</v>
      </c>
    </row>
    <row r="98" spans="1:11" x14ac:dyDescent="0.2">
      <c r="A98" t="str">
        <f ca="1">OFFSET(Wellington_Reference,35,2)</f>
        <v>Motorcyclist</v>
      </c>
      <c r="B98" s="4">
        <f ca="1">OFFSET(Wellington_Reference,35,7)</f>
        <v>0.71073078609999996</v>
      </c>
      <c r="C98" s="4">
        <f ca="1">$B98*('Updated Population'!C$92/'Updated Population'!$B$92)*('Total Duration Tables Sup #1'!C175/'Total Duration Tables Sup #1'!$B175)</f>
        <v>0.76092717698464429</v>
      </c>
      <c r="D98" s="4">
        <f ca="1">$B98*('Updated Population'!D$92/'Updated Population'!$B$92)*('Total Duration Tables Sup #1'!D175/'Total Duration Tables Sup #1'!$B175)</f>
        <v>0.78651169366894735</v>
      </c>
      <c r="E98" s="4">
        <f ca="1">$B98*('Updated Population'!E$92/'Updated Population'!$B$92)*('Total Duration Tables Sup #1'!E175/'Total Duration Tables Sup #1'!$B175)</f>
        <v>0.79397993511900367</v>
      </c>
      <c r="F98" s="4">
        <f ca="1">$B98*('Updated Population'!F$92/'Updated Population'!$B$92)*('Total Duration Tables Sup #1'!F175/'Total Duration Tables Sup #1'!$B175)</f>
        <v>0.7994759409203589</v>
      </c>
      <c r="G98" s="4">
        <f ca="1">$B98*('Updated Population'!G$92/'Updated Population'!$B$92)*('Total Duration Tables Sup #1'!G175/'Total Duration Tables Sup #1'!$B175)</f>
        <v>0.79409739494974585</v>
      </c>
      <c r="H98" s="4">
        <f ca="1">$B98*('Updated Population'!H$92/'Updated Population'!$B$92)*('Total Duration Tables Sup #1'!H175/'Total Duration Tables Sup #1'!$B175)</f>
        <v>0.78456917369994905</v>
      </c>
      <c r="I98" s="1">
        <f ca="1">$B98*('Updated Population'!I$92/'Updated Population'!$B$92)*('Total Duration Tables Sup #1'!I175/'Total Duration Tables Sup #1'!$B175)</f>
        <v>0.78975778771040894</v>
      </c>
      <c r="J98" s="1">
        <f ca="1">$B98*('Updated Population'!J$92/'Updated Population'!$B$92)*('Total Duration Tables Sup #1'!J175/'Total Duration Tables Sup #1'!$B175)</f>
        <v>0.79245015513516814</v>
      </c>
      <c r="K98" s="1">
        <f ca="1">$B98*('Updated Population'!K$92/'Updated Population'!$B$92)*('Total Duration Tables Sup #1'!K175/'Total Duration Tables Sup #1'!$B175)</f>
        <v>0.79344286876424397</v>
      </c>
    </row>
    <row r="99" spans="1:11" x14ac:dyDescent="0.2">
      <c r="A99" t="str">
        <f ca="1">OFFSET(Wellington_Reference,42,2)</f>
        <v>Local Train</v>
      </c>
      <c r="B99" s="4">
        <f ca="1">OFFSET(Wellington_Reference,42,7)</f>
        <v>5.5268751299999996</v>
      </c>
      <c r="C99" s="4">
        <f ca="1">OFFSET(Wellington_Reference,43,7)</f>
        <v>5.8865517441000001</v>
      </c>
      <c r="D99" s="4">
        <f ca="1">OFFSET(Wellington_Reference,44,7)</f>
        <v>6.1624226999999996</v>
      </c>
      <c r="E99" s="4">
        <f ca="1">OFFSET(Wellington_Reference,45,7)</f>
        <v>6.4069879139000001</v>
      </c>
      <c r="F99" s="4">
        <f ca="1">OFFSET(Wellington_Reference,46,7)</f>
        <v>6.5445722437000002</v>
      </c>
      <c r="G99" s="4">
        <f ca="1">OFFSET(Wellington_Reference,47,7)</f>
        <v>6.6871263547000002</v>
      </c>
      <c r="H99" s="4">
        <f ca="1">OFFSET(Wellington_Reference,48,7)</f>
        <v>6.7983723147999999</v>
      </c>
      <c r="I99" s="1">
        <f ca="1">OFFSET(Wellington_Reference,48,7)*('Updated Population'!I92/'Updated Population'!H92)</f>
        <v>6.8433321870755623</v>
      </c>
      <c r="J99" s="1">
        <f ca="1">OFFSET(Wellington_Reference,48,7)*('Updated Population'!J92/'Updated Population'!H92)</f>
        <v>6.8666618268005521</v>
      </c>
      <c r="K99" s="1">
        <f ca="1">OFFSET(Wellington_Reference,48,7)*('Updated Population'!K92/'Updated Population'!H92)</f>
        <v>6.8752637921576758</v>
      </c>
    </row>
    <row r="100" spans="1:11" x14ac:dyDescent="0.2">
      <c r="A100" t="str">
        <f ca="1">OFFSET(Wellington_Reference,49,2)</f>
        <v>Local Bus</v>
      </c>
      <c r="B100" s="4">
        <f ca="1">OFFSET(Wellington_Reference,49,7)</f>
        <v>9.3956469076999998</v>
      </c>
      <c r="C100" s="4">
        <f ca="1">OFFSET(Wellington_Reference,50,7)</f>
        <v>9.7994744618999992</v>
      </c>
      <c r="D100" s="4">
        <f ca="1">OFFSET(Wellington_Reference,51,7)</f>
        <v>9.9875361711000004</v>
      </c>
      <c r="E100" s="4">
        <f ca="1">OFFSET(Wellington_Reference,52,7)</f>
        <v>10.157220906999999</v>
      </c>
      <c r="F100" s="4">
        <f ca="1">OFFSET(Wellington_Reference,53,7)</f>
        <v>10.204773556999999</v>
      </c>
      <c r="G100" s="4">
        <f ca="1">OFFSET(Wellington_Reference,54,7)</f>
        <v>10.200671012000001</v>
      </c>
      <c r="H100" s="4">
        <f ca="1">OFFSET(Wellington_Reference,55,7)</f>
        <v>10.143988118999999</v>
      </c>
      <c r="I100" s="1">
        <f ca="1">OFFSET(Wellington_Reference,55,7)*('Updated Population'!I92/'Updated Population'!H92)</f>
        <v>10.211073649046979</v>
      </c>
      <c r="J100" s="1">
        <f ca="1">OFFSET(Wellington_Reference,55,7)*('Updated Population'!J92/'Updated Population'!H92)</f>
        <v>10.245884273889583</v>
      </c>
      <c r="K100" s="1">
        <f ca="1">OFFSET(Wellington_Reference,55,7)*('Updated Population'!K92/'Updated Population'!H92)</f>
        <v>10.258719439476607</v>
      </c>
    </row>
    <row r="101" spans="1:11" x14ac:dyDescent="0.2">
      <c r="A101" t="str">
        <f ca="1">OFFSET(Wellington_Reference,56,2)</f>
        <v>Local Ferry</v>
      </c>
      <c r="B101" s="4">
        <f ca="1">OFFSET(Wellington_Reference,56,7)</f>
        <v>5.6537513499999997E-2</v>
      </c>
      <c r="C101" s="4">
        <f ca="1">$B101*('Updated Population'!C$92/'Updated Population'!$B$92)*('Total Duration Tables Sup #1'!C178/'Total Duration Tables Sup #1'!$B178)</f>
        <v>6.4634353676216796E-2</v>
      </c>
      <c r="D101" s="4">
        <f ca="1">$B101*('Updated Population'!D$92/'Updated Population'!$B$92)*('Total Duration Tables Sup #1'!D178/'Total Duration Tables Sup #1'!$B178)</f>
        <v>7.0316839645180179E-2</v>
      </c>
      <c r="E101" s="4">
        <f ca="1">$B101*('Updated Population'!E$92/'Updated Population'!$B$92)*('Total Duration Tables Sup #1'!E178/'Total Duration Tables Sup #1'!$B178)</f>
        <v>7.4575588123714662E-2</v>
      </c>
      <c r="F101" s="4">
        <f ca="1">$B101*('Updated Population'!F$92/'Updated Population'!$B$92)*('Total Duration Tables Sup #1'!F178/'Total Duration Tables Sup #1'!$B178)</f>
        <v>7.8282396443558194E-2</v>
      </c>
      <c r="G101" s="4">
        <f ca="1">$B101*('Updated Population'!G$92/'Updated Population'!$B$92)*('Total Duration Tables Sup #1'!G178/'Total Duration Tables Sup #1'!$B178)</f>
        <v>8.3451688709950497E-2</v>
      </c>
      <c r="H101" s="4">
        <f ca="1">$B101*('Updated Population'!H$92/'Updated Population'!$B$92)*('Total Duration Tables Sup #1'!H178/'Total Duration Tables Sup #1'!$B178)</f>
        <v>8.8180568120688682E-2</v>
      </c>
      <c r="I101" s="1">
        <f ca="1">$B101*('Updated Population'!I$92/'Updated Population'!$B$92)*('Total Duration Tables Sup #1'!I178/'Total Duration Tables Sup #1'!$B178)</f>
        <v>8.8763735222505372E-2</v>
      </c>
      <c r="J101" s="1">
        <f ca="1">$B101*('Updated Population'!J$92/'Updated Population'!$B$92)*('Total Duration Tables Sup #1'!J178/'Total Duration Tables Sup #1'!$B178)</f>
        <v>8.9066340138761857E-2</v>
      </c>
      <c r="K101" s="1">
        <f ca="1">$B101*('Updated Population'!K$92/'Updated Population'!$B$92)*('Total Duration Tables Sup #1'!K178/'Total Duration Tables Sup #1'!$B178)</f>
        <v>8.9177914815320017E-2</v>
      </c>
    </row>
    <row r="102" spans="1:11" x14ac:dyDescent="0.2">
      <c r="A102" t="str">
        <f ca="1">OFFSET(Wellington_Reference,63,2)</f>
        <v>Other Household Travel</v>
      </c>
      <c r="B102" s="4">
        <f ca="1">OFFSET(Wellington_Reference,63,7)</f>
        <v>0.36538599710000003</v>
      </c>
      <c r="C102" s="4">
        <f ca="1">$B102*('Updated Population'!C$92/'Updated Population'!$B$92)*('Total Duration Tables Sup #1'!C179/'Total Duration Tables Sup #1'!$B179)</f>
        <v>0.39806693127485659</v>
      </c>
      <c r="D102" s="4">
        <f ca="1">$B102*('Updated Population'!D$92/'Updated Population'!$B$92)*('Total Duration Tables Sup #1'!D179/'Total Duration Tables Sup #1'!$B179)</f>
        <v>0.42062086124610315</v>
      </c>
      <c r="E102" s="4">
        <f ca="1">$B102*('Updated Population'!E$92/'Updated Population'!$B$92)*('Total Duration Tables Sup #1'!E179/'Total Duration Tables Sup #1'!$B179)</f>
        <v>0.43310150354526239</v>
      </c>
      <c r="F102" s="4">
        <f ca="1">$B102*('Updated Population'!F$92/'Updated Population'!$B$92)*('Total Duration Tables Sup #1'!F179/'Total Duration Tables Sup #1'!$B179)</f>
        <v>0.44388595249047147</v>
      </c>
      <c r="G102" s="4">
        <f ca="1">$B102*('Updated Population'!G$92/'Updated Population'!$B$92)*('Total Duration Tables Sup #1'!G179/'Total Duration Tables Sup #1'!$B179)</f>
        <v>0.4580446712853104</v>
      </c>
      <c r="H102" s="4">
        <f ca="1">$B102*('Updated Population'!H$92/'Updated Population'!$B$92)*('Total Duration Tables Sup #1'!H179/'Total Duration Tables Sup #1'!$B179)</f>
        <v>0.46985910894793875</v>
      </c>
      <c r="I102" s="1">
        <f ca="1">$B102*('Updated Population'!I$92/'Updated Population'!$B$92)*('Total Duration Tables Sup #1'!I179/'Total Duration Tables Sup #1'!$B179)</f>
        <v>0.47296644178403846</v>
      </c>
      <c r="J102" s="1">
        <f ca="1">$B102*('Updated Population'!J$92/'Updated Population'!$B$92)*('Total Duration Tables Sup #1'!J179/'Total Duration Tables Sup #1'!$B179)</f>
        <v>0.47457883416646157</v>
      </c>
      <c r="K102" s="1">
        <f ca="1">$B102*('Updated Population'!K$92/'Updated Population'!$B$92)*('Total Duration Tables Sup #1'!K179/'Total Duration Tables Sup #1'!$B179)</f>
        <v>0.47517334585113352</v>
      </c>
    </row>
    <row r="103" spans="1:11" x14ac:dyDescent="0.2">
      <c r="A103" t="str">
        <f ca="1">OFFSET(Nelson_Reference,0,0)</f>
        <v>10 NELS-MARLB-TAS</v>
      </c>
      <c r="I103" s="1"/>
      <c r="J103" s="1"/>
      <c r="K103" s="1"/>
    </row>
    <row r="104" spans="1:11" x14ac:dyDescent="0.2">
      <c r="A104" t="str">
        <f ca="1">OFFSET(Nelson_Reference,0,2)</f>
        <v>Pedestrian</v>
      </c>
      <c r="B104" s="4">
        <f ca="1">OFFSET(Nelson_Reference,0,7)</f>
        <v>7.2640217022</v>
      </c>
      <c r="C104" s="4">
        <f ca="1">$B104*('Updated Population'!C$103/'Updated Population'!$B$103)*('Total Duration Tables Sup #1'!C170/'Total Duration Tables Sup #1'!$B170)</f>
        <v>7.5629892229431466</v>
      </c>
      <c r="D104" s="4">
        <f ca="1">$B104*('Updated Population'!D$103/'Updated Population'!$B$103)*('Total Duration Tables Sup #1'!D170/'Total Duration Tables Sup #1'!$B170)</f>
        <v>7.72881086934827</v>
      </c>
      <c r="E104" s="4">
        <f ca="1">$B104*('Updated Population'!E$103/'Updated Population'!$B$103)*('Total Duration Tables Sup #1'!E170/'Total Duration Tables Sup #1'!$B170)</f>
        <v>7.8315990931308104</v>
      </c>
      <c r="F104" s="4">
        <f ca="1">$B104*('Updated Population'!F$103/'Updated Population'!$B$103)*('Total Duration Tables Sup #1'!F170/'Total Duration Tables Sup #1'!$B170)</f>
        <v>7.8522888620103011</v>
      </c>
      <c r="G104" s="4">
        <f ca="1">$B104*('Updated Population'!G$103/'Updated Population'!$B$103)*('Total Duration Tables Sup #1'!G170/'Total Duration Tables Sup #1'!$B170)</f>
        <v>7.8370454692746323</v>
      </c>
      <c r="H104" s="4">
        <f ca="1">$B104*('Updated Population'!H$103/'Updated Population'!$B$103)*('Total Duration Tables Sup #1'!H170/'Total Duration Tables Sup #1'!$B170)</f>
        <v>7.7704024899963704</v>
      </c>
      <c r="I104" s="1">
        <f ca="1">$B104*('Updated Population'!I$103/'Updated Population'!$B$103)*('Total Duration Tables Sup #1'!I170/'Total Duration Tables Sup #1'!$B170)</f>
        <v>7.7585729370688261</v>
      </c>
      <c r="J104" s="1">
        <f ca="1">$B104*('Updated Population'!J$103/'Updated Population'!$B$103)*('Total Duration Tables Sup #1'!J170/'Total Duration Tables Sup #1'!$B170)</f>
        <v>7.7224666925191965</v>
      </c>
      <c r="K104" s="1">
        <f ca="1">$B104*('Updated Population'!K$103/'Updated Population'!$B$103)*('Total Duration Tables Sup #1'!K170/'Total Duration Tables Sup #1'!$B170)</f>
        <v>7.6703721407992909</v>
      </c>
    </row>
    <row r="105" spans="1:11" x14ac:dyDescent="0.2">
      <c r="A105" t="str">
        <f ca="1">OFFSET(Nelson_Reference,7,2)</f>
        <v>Cyclist</v>
      </c>
      <c r="B105" s="4">
        <f ca="1">OFFSET(Nelson_Reference,7,7)</f>
        <v>1.0417220854</v>
      </c>
      <c r="C105" s="4">
        <f ca="1">$B105*('Updated Population'!C$103/'Updated Population'!$B$103)*('Total Duration Tables Sup #1'!C171/'Total Duration Tables Sup #1'!$B171)</f>
        <v>1.1052391632053691</v>
      </c>
      <c r="D105" s="4">
        <f ca="1">$B105*('Updated Population'!D$103/'Updated Population'!$B$103)*('Total Duration Tables Sup #1'!D171/'Total Duration Tables Sup #1'!$B171)</f>
        <v>1.1340666694245969</v>
      </c>
      <c r="E105" s="4">
        <f ca="1">$B105*('Updated Population'!E$103/'Updated Population'!$B$103)*('Total Duration Tables Sup #1'!E171/'Total Duration Tables Sup #1'!$B171)</f>
        <v>1.1405013145428939</v>
      </c>
      <c r="F105" s="4">
        <f ca="1">$B105*('Updated Population'!F$103/'Updated Population'!$B$103)*('Total Duration Tables Sup #1'!F171/'Total Duration Tables Sup #1'!$B171)</f>
        <v>1.1529120349858484</v>
      </c>
      <c r="G105" s="4">
        <f ca="1">$B105*('Updated Population'!G$103/'Updated Population'!$B$103)*('Total Duration Tables Sup #1'!G171/'Total Duration Tables Sup #1'!$B171)</f>
        <v>1.1739326034452269</v>
      </c>
      <c r="H105" s="4">
        <f ca="1">$B105*('Updated Population'!H$103/'Updated Population'!$B$103)*('Total Duration Tables Sup #1'!H171/'Total Duration Tables Sup #1'!$B171)</f>
        <v>1.1902035720683972</v>
      </c>
      <c r="I105" s="1">
        <f ca="1">$B105*('Updated Population'!I$103/'Updated Population'!$B$103)*('Total Duration Tables Sup #1'!I171/'Total Duration Tables Sup #1'!$B171)</f>
        <v>1.1883916226657167</v>
      </c>
      <c r="J105" s="1">
        <f ca="1">$B105*('Updated Population'!J$103/'Updated Population'!$B$103)*('Total Duration Tables Sup #1'!J171/'Total Duration Tables Sup #1'!$B171)</f>
        <v>1.1828611779696703</v>
      </c>
      <c r="K105" s="1">
        <f ca="1">$B105*('Updated Population'!K$103/'Updated Population'!$B$103)*('Total Duration Tables Sup #1'!K171/'Total Duration Tables Sup #1'!$B171)</f>
        <v>1.1748817815841992</v>
      </c>
    </row>
    <row r="106" spans="1:11" x14ac:dyDescent="0.2">
      <c r="A106" t="str">
        <f ca="1">OFFSET(Nelson_Reference,14,2)</f>
        <v>Light Vehicle Driver</v>
      </c>
      <c r="B106" s="4">
        <f ca="1">OFFSET(Nelson_Reference,14,7)</f>
        <v>23.635435057999999</v>
      </c>
      <c r="C106" s="4">
        <f ca="1">$B106*('Updated Population'!C$103/'Updated Population'!$B$103)*('Total Duration Tables Sup #1'!C172/'Total Duration Tables Sup #1'!$B172)</f>
        <v>25.527329471809107</v>
      </c>
      <c r="D106" s="4">
        <f ca="1">$B106*('Updated Population'!D$103/'Updated Population'!$B$103)*('Total Duration Tables Sup #1'!D172/'Total Duration Tables Sup #1'!$B172)</f>
        <v>26.658336508813665</v>
      </c>
      <c r="E106" s="4">
        <f ca="1">$B106*('Updated Population'!E$103/'Updated Population'!$B$103)*('Total Duration Tables Sup #1'!E172/'Total Duration Tables Sup #1'!$B172)</f>
        <v>27.294071648684984</v>
      </c>
      <c r="F106" s="4">
        <f ca="1">$B106*('Updated Population'!F$103/'Updated Population'!$B$103)*('Total Duration Tables Sup #1'!F172/'Total Duration Tables Sup #1'!$B172)</f>
        <v>27.804127180452049</v>
      </c>
      <c r="G106" s="4">
        <f ca="1">$B106*('Updated Population'!G$103/'Updated Population'!$B$103)*('Total Duration Tables Sup #1'!G172/'Total Duration Tables Sup #1'!$B172)</f>
        <v>28.045386339065644</v>
      </c>
      <c r="H106" s="4">
        <f ca="1">$B106*('Updated Population'!H$103/'Updated Population'!$B$103)*('Total Duration Tables Sup #1'!H172/'Total Duration Tables Sup #1'!$B172)</f>
        <v>28.115041940946107</v>
      </c>
      <c r="I106" s="1">
        <f ca="1">$B106*('Updated Population'!I$103/'Updated Population'!$B$103)*('Total Duration Tables Sup #1'!I172/'Total Duration Tables Sup #1'!$B172)</f>
        <v>28.072239991223586</v>
      </c>
      <c r="J106" s="1">
        <f ca="1">$B106*('Updated Population'!J$103/'Updated Population'!$B$103)*('Total Duration Tables Sup #1'!J172/'Total Duration Tables Sup #1'!$B172)</f>
        <v>27.941599579591141</v>
      </c>
      <c r="K106" s="1">
        <f ca="1">$B106*('Updated Population'!K$103/'Updated Population'!$B$103)*('Total Duration Tables Sup #1'!K172/'Total Duration Tables Sup #1'!$B172)</f>
        <v>27.753109921766399</v>
      </c>
    </row>
    <row r="107" spans="1:11" x14ac:dyDescent="0.2">
      <c r="A107" t="str">
        <f ca="1">OFFSET(Nelson_Reference,21,2)</f>
        <v>Light Vehicle Passenger</v>
      </c>
      <c r="B107" s="4">
        <f ca="1">OFFSET(Nelson_Reference,21,7)</f>
        <v>11.910351560000001</v>
      </c>
      <c r="C107" s="4">
        <f ca="1">$B107*('Updated Population'!C$103/'Updated Population'!$B$103)*('Total Duration Tables Sup #1'!C173/'Total Duration Tables Sup #1'!$B173)</f>
        <v>12.274388361796069</v>
      </c>
      <c r="D107" s="4">
        <f ca="1">$B107*('Updated Population'!D$103/'Updated Population'!$B$103)*('Total Duration Tables Sup #1'!D173/'Total Duration Tables Sup #1'!$B173)</f>
        <v>12.476782461921756</v>
      </c>
      <c r="E107" s="4">
        <f ca="1">$B107*('Updated Population'!E$103/'Updated Population'!$B$103)*('Total Duration Tables Sup #1'!E173/'Total Duration Tables Sup #1'!$B173)</f>
        <v>12.567562449161123</v>
      </c>
      <c r="F107" s="4">
        <f ca="1">$B107*('Updated Population'!F$103/'Updated Population'!$B$103)*('Total Duration Tables Sup #1'!F173/'Total Duration Tables Sup #1'!$B173)</f>
        <v>12.580393289713742</v>
      </c>
      <c r="G107" s="4">
        <f ca="1">$B107*('Updated Population'!G$103/'Updated Population'!$B$103)*('Total Duration Tables Sup #1'!G173/'Total Duration Tables Sup #1'!$B173)</f>
        <v>12.521747489786492</v>
      </c>
      <c r="H107" s="4">
        <f ca="1">$B107*('Updated Population'!H$103/'Updated Population'!$B$103)*('Total Duration Tables Sup #1'!H173/'Total Duration Tables Sup #1'!$B173)</f>
        <v>12.374701872983298</v>
      </c>
      <c r="I107" s="1">
        <f ca="1">$B107*('Updated Population'!I$103/'Updated Population'!$B$103)*('Total Duration Tables Sup #1'!I173/'Total Duration Tables Sup #1'!$B173)</f>
        <v>12.355862798565015</v>
      </c>
      <c r="J107" s="1">
        <f ca="1">$B107*('Updated Population'!J$103/'Updated Population'!$B$103)*('Total Duration Tables Sup #1'!J173/'Total Duration Tables Sup #1'!$B173)</f>
        <v>12.298362043278541</v>
      </c>
      <c r="K107" s="1">
        <f ca="1">$B107*('Updated Population'!K$103/'Updated Population'!$B$103)*('Total Duration Tables Sup #1'!K173/'Total Duration Tables Sup #1'!$B173)</f>
        <v>12.215399217662947</v>
      </c>
    </row>
    <row r="108" spans="1:11" x14ac:dyDescent="0.2">
      <c r="A108" t="str">
        <f ca="1">OFFSET(Nelson_Reference,28,2)</f>
        <v>Taxi/Vehicle Share</v>
      </c>
      <c r="B108" s="4">
        <f ca="1">OFFSET(Nelson_Reference,28,7)</f>
        <v>8.1526233300000001E-2</v>
      </c>
      <c r="C108" s="4">
        <f ca="1">$B108*('Updated Population'!C$103/'Updated Population'!$B$103)*('Total Duration Tables Sup #1'!C174/'Total Duration Tables Sup #1'!$B174)</f>
        <v>9.1728729207993673E-2</v>
      </c>
      <c r="D108" s="4">
        <f ca="1">$B108*('Updated Population'!D$103/'Updated Population'!$B$103)*('Total Duration Tables Sup #1'!D174/'Total Duration Tables Sup #1'!$B174)</f>
        <v>0.10007127553246803</v>
      </c>
      <c r="E108" s="4">
        <f ca="1">$B108*('Updated Population'!E$103/'Updated Population'!$B$103)*('Total Duration Tables Sup #1'!E174/'Total Duration Tables Sup #1'!$B174)</f>
        <v>0.10765030492461286</v>
      </c>
      <c r="F108" s="4">
        <f ca="1">$B108*('Updated Population'!F$103/'Updated Population'!$B$103)*('Total Duration Tables Sup #1'!F174/'Total Duration Tables Sup #1'!$B174)</f>
        <v>0.11412397030289362</v>
      </c>
      <c r="G108" s="4">
        <f ca="1">$B108*('Updated Population'!G$103/'Updated Population'!$B$103)*('Total Duration Tables Sup #1'!G174/'Total Duration Tables Sup #1'!$B174)</f>
        <v>0.11864877510142</v>
      </c>
      <c r="H108" s="4">
        <f ca="1">$B108*('Updated Population'!H$103/'Updated Population'!$B$103)*('Total Duration Tables Sup #1'!H174/'Total Duration Tables Sup #1'!$B174)</f>
        <v>0.12244218163751963</v>
      </c>
      <c r="I108" s="1">
        <f ca="1">$B108*('Updated Population'!I$103/'Updated Population'!$B$103)*('Total Duration Tables Sup #1'!I174/'Total Duration Tables Sup #1'!$B174)</f>
        <v>0.12225577735922004</v>
      </c>
      <c r="J108" s="1">
        <f ca="1">$B108*('Updated Population'!J$103/'Updated Population'!$B$103)*('Total Duration Tables Sup #1'!J174/'Total Duration Tables Sup #1'!$B174)</f>
        <v>0.12168683291147928</v>
      </c>
      <c r="K108" s="1">
        <f ca="1">$B108*('Updated Population'!K$103/'Updated Population'!$B$103)*('Total Duration Tables Sup #1'!K174/'Total Duration Tables Sup #1'!$B174)</f>
        <v>0.12086595258099114</v>
      </c>
    </row>
    <row r="109" spans="1:11" x14ac:dyDescent="0.2">
      <c r="A109" t="str">
        <f ca="1">OFFSET(Nelson_Reference,35,2)</f>
        <v>Motorcyclist</v>
      </c>
      <c r="B109" s="4">
        <f ca="1">OFFSET(Nelson_Reference,35,7)</f>
        <v>0.60769230029999999</v>
      </c>
      <c r="C109" s="4">
        <f ca="1">$B109*('Updated Population'!C$103/'Updated Population'!$B$103)*('Total Duration Tables Sup #1'!C175/'Total Duration Tables Sup #1'!$B175)</f>
        <v>0.64444408267224917</v>
      </c>
      <c r="D109" s="4">
        <f ca="1">$B109*('Updated Population'!D$103/'Updated Population'!$B$103)*('Total Duration Tables Sup #1'!D175/'Total Duration Tables Sup #1'!$B175)</f>
        <v>0.66392212761425584</v>
      </c>
      <c r="E109" s="4">
        <f ca="1">$B109*('Updated Population'!E$103/'Updated Population'!$B$103)*('Total Duration Tables Sup #1'!E175/'Total Duration Tables Sup #1'!$B175)</f>
        <v>0.66787907921657941</v>
      </c>
      <c r="F109" s="4">
        <f ca="1">$B109*('Updated Population'!F$103/'Updated Population'!$B$103)*('Total Duration Tables Sup #1'!F175/'Total Duration Tables Sup #1'!$B175)</f>
        <v>0.66906314437193637</v>
      </c>
      <c r="G109" s="4">
        <f ca="1">$B109*('Updated Population'!G$103/'Updated Population'!$B$103)*('Total Duration Tables Sup #1'!G175/'Total Duration Tables Sup #1'!$B175)</f>
        <v>0.66026853729488377</v>
      </c>
      <c r="H109" s="4">
        <f ca="1">$B109*('Updated Population'!H$103/'Updated Population'!$B$103)*('Total Duration Tables Sup #1'!H175/'Total Duration Tables Sup #1'!$B175)</f>
        <v>0.6470431563218042</v>
      </c>
      <c r="I109" s="1">
        <f ca="1">$B109*('Updated Population'!I$103/'Updated Population'!$B$103)*('Total Duration Tables Sup #1'!I175/'Total Duration Tables Sup #1'!$B175)</f>
        <v>0.64605810679908415</v>
      </c>
      <c r="J109" s="1">
        <f ca="1">$B109*('Updated Population'!J$103/'Updated Population'!$B$103)*('Total Duration Tables Sup #1'!J175/'Total Duration Tables Sup #1'!$B175)</f>
        <v>0.64305153172573415</v>
      </c>
      <c r="K109" s="1">
        <f ca="1">$B109*('Updated Population'!K$103/'Updated Population'!$B$103)*('Total Duration Tables Sup #1'!K175/'Total Duration Tables Sup #1'!$B175)</f>
        <v>0.63871360673209154</v>
      </c>
    </row>
    <row r="110" spans="1:11" x14ac:dyDescent="0.2">
      <c r="A110" t="str">
        <f ca="1">OFFSET(Nelson_Reference,42,2)</f>
        <v>Local Train</v>
      </c>
      <c r="B110" s="4">
        <v>0</v>
      </c>
      <c r="C110" s="4">
        <f ca="1">$B110*('Updated Population'!C$103/'Updated Population'!$B$103)*('Total Duration Tables Sup #1'!C176/'Total Duration Tables Sup #1'!$B176)</f>
        <v>0</v>
      </c>
      <c r="D110" s="4">
        <f ca="1">$B110*('Updated Population'!D$103/'Updated Population'!$B$103)*('Total Duration Tables Sup #1'!D176/'Total Duration Tables Sup #1'!$B176)</f>
        <v>0</v>
      </c>
      <c r="E110" s="4">
        <f ca="1">$B110*('Updated Population'!E$103/'Updated Population'!$B$103)*('Total Duration Tables Sup #1'!E176/'Total Duration Tables Sup #1'!$B176)</f>
        <v>0</v>
      </c>
      <c r="F110" s="4">
        <f ca="1">$B110*('Updated Population'!F$103/'Updated Population'!$B$103)*('Total Duration Tables Sup #1'!F176/'Total Duration Tables Sup #1'!$B176)</f>
        <v>0</v>
      </c>
      <c r="G110" s="4">
        <f ca="1">$B110*('Updated Population'!G$103/'Updated Population'!$B$103)*('Total Duration Tables Sup #1'!G176/'Total Duration Tables Sup #1'!$B176)</f>
        <v>0</v>
      </c>
      <c r="H110" s="4">
        <f ca="1">$B110*('Updated Population'!H$103/'Updated Population'!$B$103)*('Total Duration Tables Sup #1'!H176/'Total Duration Tables Sup #1'!$B176)</f>
        <v>0</v>
      </c>
      <c r="I110" s="1">
        <f ca="1">$B110*('Updated Population'!I$103/'Updated Population'!$B$103)*('Total Duration Tables Sup #1'!I176/'Total Duration Tables Sup #1'!$B176)</f>
        <v>0</v>
      </c>
      <c r="J110" s="1">
        <f ca="1">$B110*('Updated Population'!J$103/'Updated Population'!$B$103)*('Total Duration Tables Sup #1'!J176/'Total Duration Tables Sup #1'!$B176)</f>
        <v>0</v>
      </c>
      <c r="K110" s="1">
        <f ca="1">$B110*('Updated Population'!K$103/'Updated Population'!$B$103)*('Total Duration Tables Sup #1'!K176/'Total Duration Tables Sup #1'!$B176)</f>
        <v>0</v>
      </c>
    </row>
    <row r="111" spans="1:11" x14ac:dyDescent="0.2">
      <c r="A111" t="str">
        <f ca="1">OFFSET(Nelson_Reference,49,2)</f>
        <v>Local Bus</v>
      </c>
      <c r="B111" s="4">
        <f ca="1">OFFSET(Nelson_Reference,49,7)</f>
        <v>0.94491203199999996</v>
      </c>
      <c r="C111" s="4">
        <f ca="1">$B111*('Updated Population'!C$103/'Updated Population'!$B$103)*('Total Duration Tables Sup #1'!C177/'Total Duration Tables Sup #1'!$B177)</f>
        <v>0.9133988436636572</v>
      </c>
      <c r="D111" s="4">
        <f ca="1">$B111*('Updated Population'!D$103/'Updated Population'!$B$103)*('Total Duration Tables Sup #1'!D177/'Total Duration Tables Sup #1'!$B177)</f>
        <v>0.89060644735058603</v>
      </c>
      <c r="E111" s="4">
        <f ca="1">$B111*('Updated Population'!E$103/'Updated Population'!$B$103)*('Total Duration Tables Sup #1'!E177/'Total Duration Tables Sup #1'!$B177)</f>
        <v>0.87454929540664028</v>
      </c>
      <c r="F111" s="4">
        <f ca="1">$B111*('Updated Population'!F$103/'Updated Population'!$B$103)*('Total Duration Tables Sup #1'!F177/'Total Duration Tables Sup #1'!$B177)</f>
        <v>0.84837501814670901</v>
      </c>
      <c r="G111" s="4">
        <f ca="1">$B111*('Updated Population'!G$103/'Updated Population'!$B$103)*('Total Duration Tables Sup #1'!G177/'Total Duration Tables Sup #1'!$B177)</f>
        <v>0.82775662649736459</v>
      </c>
      <c r="H111" s="4">
        <f ca="1">$B111*('Updated Population'!H$103/'Updated Population'!$B$103)*('Total Duration Tables Sup #1'!H177/'Total Duration Tables Sup #1'!$B177)</f>
        <v>0.80212199120564198</v>
      </c>
      <c r="I111" s="1">
        <f ca="1">$B111*('Updated Population'!I$103/'Updated Population'!$B$103)*('Total Duration Tables Sup #1'!I177/'Total Duration Tables Sup #1'!$B177)</f>
        <v>0.8009008518165911</v>
      </c>
      <c r="J111" s="1">
        <f ca="1">$B111*('Updated Population'!J$103/'Updated Population'!$B$103)*('Total Duration Tables Sup #1'!J177/'Total Duration Tables Sup #1'!$B177)</f>
        <v>0.79717368159466329</v>
      </c>
      <c r="K111" s="1">
        <f ca="1">$B111*('Updated Population'!K$103/'Updated Population'!$B$103)*('Total Duration Tables Sup #1'!K177/'Total Duration Tables Sup #1'!$B177)</f>
        <v>0.79179607269855634</v>
      </c>
    </row>
    <row r="112" spans="1:11" x14ac:dyDescent="0.2">
      <c r="A112" t="str">
        <f ca="1">OFFSET(Wellington_Reference,56,2)</f>
        <v>Local Ferry</v>
      </c>
      <c r="B112" s="4">
        <v>0</v>
      </c>
      <c r="C112" s="4">
        <f ca="1">$B112*('Updated Population'!C$103/'Updated Population'!$B$103)*('Total Duration Tables Sup #1'!C178/'Total Duration Tables Sup #1'!$B178)</f>
        <v>0</v>
      </c>
      <c r="D112" s="4">
        <f ca="1">$B112*('Updated Population'!D$103/'Updated Population'!$B$103)*('Total Duration Tables Sup #1'!D178/'Total Duration Tables Sup #1'!$B178)</f>
        <v>0</v>
      </c>
      <c r="E112" s="4">
        <f ca="1">$B112*('Updated Population'!E$103/'Updated Population'!$B$103)*('Total Duration Tables Sup #1'!E178/'Total Duration Tables Sup #1'!$B178)</f>
        <v>0</v>
      </c>
      <c r="F112" s="4">
        <f ca="1">$B112*('Updated Population'!F$103/'Updated Population'!$B$103)*('Total Duration Tables Sup #1'!F178/'Total Duration Tables Sup #1'!$B178)</f>
        <v>0</v>
      </c>
      <c r="G112" s="4">
        <f ca="1">$B112*('Updated Population'!G$103/'Updated Population'!$B$103)*('Total Duration Tables Sup #1'!G178/'Total Duration Tables Sup #1'!$B178)</f>
        <v>0</v>
      </c>
      <c r="H112" s="4">
        <f ca="1">$B112*('Updated Population'!H$103/'Updated Population'!$B$103)*('Total Duration Tables Sup #1'!H178/'Total Duration Tables Sup #1'!$B178)</f>
        <v>0</v>
      </c>
      <c r="I112" s="1">
        <f ca="1">$B112*('Updated Population'!I$103/'Updated Population'!$B$103)*('Total Duration Tables Sup #1'!I178/'Total Duration Tables Sup #1'!$B178)</f>
        <v>0</v>
      </c>
      <c r="J112" s="1">
        <f ca="1">$B112*('Updated Population'!J$103/'Updated Population'!$B$103)*('Total Duration Tables Sup #1'!J178/'Total Duration Tables Sup #1'!$B178)</f>
        <v>0</v>
      </c>
      <c r="K112" s="1">
        <f ca="1">$B112*('Updated Population'!K$103/'Updated Population'!$B$103)*('Total Duration Tables Sup #1'!K178/'Total Duration Tables Sup #1'!$B178)</f>
        <v>0</v>
      </c>
    </row>
    <row r="113" spans="1:11" x14ac:dyDescent="0.2">
      <c r="A113" t="str">
        <f ca="1">OFFSET(Nelson_Reference,56,2)</f>
        <v>Other Household Travel</v>
      </c>
      <c r="B113" s="4">
        <f ca="1">OFFSET(Nelson_Reference,56,7)</f>
        <v>0.51346004550000002</v>
      </c>
      <c r="C113" s="4">
        <f ca="1">$B113*('Updated Population'!C$103/'Updated Population'!$B$103)*('Total Duration Tables Sup #1'!C179/'Total Duration Tables Sup #1'!$B179)</f>
        <v>0.55408245072343076</v>
      </c>
      <c r="D113" s="4">
        <f ca="1">$B113*('Updated Population'!D$103/'Updated Population'!$B$103)*('Total Duration Tables Sup #1'!D179/'Total Duration Tables Sup #1'!$B179)</f>
        <v>0.58355113361939115</v>
      </c>
      <c r="E113" s="4">
        <f ca="1">$B113*('Updated Population'!E$103/'Updated Population'!$B$103)*('Total Duration Tables Sup #1'!E179/'Total Duration Tables Sup #1'!$B179)</f>
        <v>0.59876189364199295</v>
      </c>
      <c r="F113" s="4">
        <f ca="1">$B113*('Updated Population'!F$103/'Updated Population'!$B$103)*('Total Duration Tables Sup #1'!F179/'Total Duration Tables Sup #1'!$B179)</f>
        <v>0.61053316324242024</v>
      </c>
      <c r="G113" s="4">
        <f ca="1">$B113*('Updated Population'!G$103/'Updated Population'!$B$103)*('Total Duration Tables Sup #1'!G179/'Total Duration Tables Sup #1'!$B179)</f>
        <v>0.62593727701104285</v>
      </c>
      <c r="H113" s="4">
        <f ca="1">$B113*('Updated Population'!H$103/'Updated Population'!$B$103)*('Total Duration Tables Sup #1'!H179/'Total Duration Tables Sup #1'!$B179)</f>
        <v>0.63686269147877272</v>
      </c>
      <c r="I113" s="1">
        <f ca="1">$B113*('Updated Population'!I$103/'Updated Population'!$B$103)*('Total Duration Tables Sup #1'!I179/'Total Duration Tables Sup #1'!$B179)</f>
        <v>0.63589314055446411</v>
      </c>
      <c r="J113" s="1">
        <f ca="1">$B113*('Updated Population'!J$103/'Updated Population'!$B$103)*('Total Duration Tables Sup #1'!J179/'Total Duration Tables Sup #1'!$B179)</f>
        <v>0.63293387041206528</v>
      </c>
      <c r="K113" s="1">
        <f ca="1">$B113*('Updated Population'!K$103/'Updated Population'!$B$103)*('Total Duration Tables Sup #1'!K179/'Total Duration Tables Sup #1'!$B179)</f>
        <v>0.62866419757820213</v>
      </c>
    </row>
    <row r="114" spans="1:11" x14ac:dyDescent="0.2">
      <c r="A114" t="str">
        <f ca="1">OFFSET(West_Coast_Reference,0,0)</f>
        <v>12 WEST COAST</v>
      </c>
      <c r="B114" s="4"/>
      <c r="C114" s="4"/>
      <c r="D114" s="4"/>
      <c r="E114" s="4"/>
      <c r="F114" s="4"/>
      <c r="G114" s="4"/>
      <c r="H114" s="4"/>
      <c r="I114" s="1"/>
      <c r="J114" s="1"/>
      <c r="K114" s="1"/>
    </row>
    <row r="115" spans="1:11" x14ac:dyDescent="0.2">
      <c r="A115" t="str">
        <f ca="1">OFFSET(West_Coast_Reference,0,2)</f>
        <v>Pedestrian</v>
      </c>
      <c r="B115" s="4">
        <f ca="1">OFFSET(West_Coast_Reference,0,7)</f>
        <v>1.1518220776999999</v>
      </c>
      <c r="C115" s="4">
        <f ca="1">$B115*('Updated Population'!C$114/'Updated Population'!$B$114)*('Total Duration Tables Sup #1'!C170/'Total Duration Tables Sup #1'!$B170)</f>
        <v>1.1264012434563913</v>
      </c>
      <c r="D115" s="4">
        <f ca="1">$B115*('Updated Population'!D$114/'Updated Population'!$B$114)*('Total Duration Tables Sup #1'!D170/'Total Duration Tables Sup #1'!$B170)</f>
        <v>1.1173744777782768</v>
      </c>
      <c r="E115" s="4">
        <f ca="1">$B115*('Updated Population'!E$114/'Updated Population'!$B$114)*('Total Duration Tables Sup #1'!E170/'Total Duration Tables Sup #1'!$B170)</f>
        <v>1.1008983973836193</v>
      </c>
      <c r="F115" s="4">
        <f ca="1">$B115*('Updated Population'!F$114/'Updated Population'!$B$114)*('Total Duration Tables Sup #1'!F170/'Total Duration Tables Sup #1'!$B170)</f>
        <v>1.0737237407625073</v>
      </c>
      <c r="G115" s="4">
        <f ca="1">$B115*('Updated Population'!G$114/'Updated Population'!$B$114)*('Total Duration Tables Sup #1'!G170/'Total Duration Tables Sup #1'!$B170)</f>
        <v>1.0429770433903156</v>
      </c>
      <c r="H115" s="4">
        <f ca="1">$B115*('Updated Population'!H$114/'Updated Population'!$B$114)*('Total Duration Tables Sup #1'!H170/'Total Duration Tables Sup #1'!$B170)</f>
        <v>1.0090971683815091</v>
      </c>
      <c r="I115" s="1">
        <f ca="1">$B115*('Updated Population'!I$114/'Updated Population'!$B$114)*('Total Duration Tables Sup #1'!I170/'Total Duration Tables Sup #1'!$B170)</f>
        <v>0.98314580377318672</v>
      </c>
      <c r="J115" s="1">
        <f ca="1">$B115*('Updated Population'!J$114/'Updated Population'!$B$114)*('Total Duration Tables Sup #1'!J170/'Total Duration Tables Sup #1'!$B170)</f>
        <v>0.95481280173907035</v>
      </c>
      <c r="K115" s="1">
        <f ca="1">$B115*('Updated Population'!K$114/'Updated Population'!$B$114)*('Total Duration Tables Sup #1'!K170/'Total Duration Tables Sup #1'!$B170)</f>
        <v>0.92530350083002555</v>
      </c>
    </row>
    <row r="116" spans="1:11" x14ac:dyDescent="0.2">
      <c r="A116" t="str">
        <f ca="1">OFFSET(West_Coast_Reference,7,2)</f>
        <v>Cyclist</v>
      </c>
      <c r="B116" s="4">
        <f ca="1">OFFSET(West_Coast_Reference,7,7)</f>
        <v>0.17528853950000001</v>
      </c>
      <c r="C116" s="4">
        <f ca="1">$B116*('Updated Population'!C$114/'Updated Population'!$B$114)*('Total Duration Tables Sup #1'!C171/'Total Duration Tables Sup #1'!$B171)</f>
        <v>0.17468245634896862</v>
      </c>
      <c r="D116" s="4">
        <f ca="1">$B116*('Updated Population'!D$114/'Updated Population'!$B$114)*('Total Duration Tables Sup #1'!D171/'Total Duration Tables Sup #1'!$B171)</f>
        <v>0.17398749654320442</v>
      </c>
      <c r="E116" s="4">
        <f ca="1">$B116*('Updated Population'!E$114/'Updated Population'!$B$114)*('Total Duration Tables Sup #1'!E171/'Total Duration Tables Sup #1'!$B171)</f>
        <v>0.17013198434602833</v>
      </c>
      <c r="F116" s="4">
        <f ca="1">$B116*('Updated Population'!F$114/'Updated Population'!$B$114)*('Total Duration Tables Sup #1'!F171/'Total Duration Tables Sup #1'!$B171)</f>
        <v>0.16729611126231947</v>
      </c>
      <c r="G116" s="4">
        <f ca="1">$B116*('Updated Population'!G$114/'Updated Population'!$B$114)*('Total Duration Tables Sup #1'!G171/'Total Duration Tables Sup #1'!$B171)</f>
        <v>0.16579022941835725</v>
      </c>
      <c r="H116" s="4">
        <f ca="1">$B116*('Updated Population'!H$114/'Updated Population'!$B$114)*('Total Duration Tables Sup #1'!H171/'Total Duration Tables Sup #1'!$B171)</f>
        <v>0.16402275685979092</v>
      </c>
      <c r="I116" s="1">
        <f ca="1">$B116*('Updated Population'!I$114/'Updated Population'!$B$114)*('Total Duration Tables Sup #1'!I171/'Total Duration Tables Sup #1'!$B171)</f>
        <v>0.15980451653496888</v>
      </c>
      <c r="J116" s="1">
        <f ca="1">$B116*('Updated Population'!J$114/'Updated Population'!$B$114)*('Total Duration Tables Sup #1'!J171/'Total Duration Tables Sup #1'!$B171)</f>
        <v>0.15519915517893262</v>
      </c>
      <c r="K116" s="1">
        <f ca="1">$B116*('Updated Population'!K$114/'Updated Population'!$B$114)*('Total Duration Tables Sup #1'!K171/'Total Duration Tables Sup #1'!$B171)</f>
        <v>0.15040259342079204</v>
      </c>
    </row>
    <row r="117" spans="1:11" x14ac:dyDescent="0.2">
      <c r="A117" t="str">
        <f ca="1">OFFSET(West_Coast_Reference,14,2)</f>
        <v>Light Vehicle Driver</v>
      </c>
      <c r="B117" s="4">
        <f ca="1">OFFSET(West_Coast_Reference,14,7)</f>
        <v>5.0852916584000001</v>
      </c>
      <c r="C117" s="4">
        <f ca="1">$B117*('Updated Population'!C$114/'Updated Population'!$B$114)*('Total Duration Tables Sup #1'!C172/'Total Duration Tables Sup #1'!$B172)</f>
        <v>5.1588039436169089</v>
      </c>
      <c r="D117" s="4">
        <f ca="1">$B117*('Updated Population'!D$114/'Updated Population'!$B$114)*('Total Duration Tables Sup #1'!D172/'Total Duration Tables Sup #1'!$B172)</f>
        <v>5.2295354699008421</v>
      </c>
      <c r="E117" s="4">
        <f ca="1">$B117*('Updated Population'!E$114/'Updated Population'!$B$114)*('Total Duration Tables Sup #1'!E172/'Total Duration Tables Sup #1'!$B172)</f>
        <v>5.2060594014725892</v>
      </c>
      <c r="F117" s="4">
        <f ca="1">$B117*('Updated Population'!F$114/'Updated Population'!$B$114)*('Total Duration Tables Sup #1'!F172/'Total Duration Tables Sup #1'!$B172)</f>
        <v>5.1588102529741455</v>
      </c>
      <c r="G117" s="4">
        <f ca="1">$B117*('Updated Population'!G$114/'Updated Population'!$B$114)*('Total Duration Tables Sup #1'!G172/'Total Duration Tables Sup #1'!$B172)</f>
        <v>5.0643977799016575</v>
      </c>
      <c r="H117" s="4">
        <f ca="1">$B117*('Updated Population'!H$114/'Updated Population'!$B$114)*('Total Duration Tables Sup #1'!H172/'Total Duration Tables Sup #1'!$B172)</f>
        <v>4.9541848637024657</v>
      </c>
      <c r="I117" s="1">
        <f ca="1">$B117*('Updated Population'!I$114/'Updated Population'!$B$114)*('Total Duration Tables Sup #1'!I172/'Total Duration Tables Sup #1'!$B172)</f>
        <v>4.8267760652602059</v>
      </c>
      <c r="J117" s="1">
        <f ca="1">$B117*('Updated Population'!J$114/'Updated Population'!$B$114)*('Total Duration Tables Sup #1'!J172/'Total Duration Tables Sup #1'!$B172)</f>
        <v>4.6876745652076348</v>
      </c>
      <c r="K117" s="1">
        <f ca="1">$B117*('Updated Population'!K$114/'Updated Population'!$B$114)*('Total Duration Tables Sup #1'!K172/'Total Duration Tables Sup #1'!$B172)</f>
        <v>4.5427979998155106</v>
      </c>
    </row>
    <row r="118" spans="1:11" x14ac:dyDescent="0.2">
      <c r="A118" t="str">
        <f ca="1">OFFSET(West_Coast_Reference,21,2)</f>
        <v>Light Vehicle Passenger</v>
      </c>
      <c r="B118" s="4">
        <f ca="1">OFFSET(West_Coast_Reference,21,7)</f>
        <v>3.4140139011000001</v>
      </c>
      <c r="C118" s="4">
        <f ca="1">$B118*('Updated Population'!C$114/'Updated Population'!$B$114)*('Total Duration Tables Sup #1'!C173/'Total Duration Tables Sup #1'!$B173)</f>
        <v>3.3046992250305789</v>
      </c>
      <c r="D118" s="4">
        <f ca="1">$B118*('Updated Population'!D$114/'Updated Population'!$B$114)*('Total Duration Tables Sup #1'!D173/'Total Duration Tables Sup #1'!$B173)</f>
        <v>3.2607770760092154</v>
      </c>
      <c r="E118" s="4">
        <f ca="1">$B118*('Updated Population'!E$114/'Updated Population'!$B$114)*('Total Duration Tables Sup #1'!E173/'Total Duration Tables Sup #1'!$B173)</f>
        <v>3.1935982578690476</v>
      </c>
      <c r="F118" s="4">
        <f ca="1">$B118*('Updated Population'!F$114/'Updated Population'!$B$114)*('Total Duration Tables Sup #1'!F173/'Total Duration Tables Sup #1'!$B173)</f>
        <v>3.1097318741885815</v>
      </c>
      <c r="G118" s="4">
        <f ca="1">$B118*('Updated Population'!G$114/'Updated Population'!$B$114)*('Total Duration Tables Sup #1'!G173/'Total Duration Tables Sup #1'!$B173)</f>
        <v>3.0124494171008962</v>
      </c>
      <c r="H118" s="4">
        <f ca="1">$B118*('Updated Population'!H$114/'Updated Population'!$B$114)*('Total Duration Tables Sup #1'!H173/'Total Duration Tables Sup #1'!$B173)</f>
        <v>2.9050703652919281</v>
      </c>
      <c r="I118" s="1">
        <f ca="1">$B118*('Updated Population'!I$114/'Updated Population'!$B$114)*('Total Duration Tables Sup #1'!I173/'Total Duration Tables Sup #1'!$B173)</f>
        <v>2.8303594825100031</v>
      </c>
      <c r="J118" s="1">
        <f ca="1">$B118*('Updated Population'!J$114/'Updated Population'!$B$114)*('Total Duration Tables Sup #1'!J173/'Total Duration Tables Sup #1'!$B173)</f>
        <v>2.7487921497019214</v>
      </c>
      <c r="K118" s="1">
        <f ca="1">$B118*('Updated Population'!K$114/'Updated Population'!$B$114)*('Total Duration Tables Sup #1'!K173/'Total Duration Tables Sup #1'!$B173)</f>
        <v>2.6638383927620968</v>
      </c>
    </row>
    <row r="119" spans="1:11" x14ac:dyDescent="0.2">
      <c r="A119" t="str">
        <f ca="1">OFFSET(West_Coast_Reference,28,2)</f>
        <v>Taxi/Vehicle Share</v>
      </c>
      <c r="B119" s="4">
        <f ca="1">OFFSET(West_Coast_Reference,28,7)</f>
        <v>6.5507808299999998E-2</v>
      </c>
      <c r="C119" s="4">
        <f ca="1">$B119*('Updated Population'!C$114/'Updated Population'!$B$114)*('Total Duration Tables Sup #1'!C174/'Total Duration Tables Sup #1'!$B174)</f>
        <v>6.9229698945466892E-2</v>
      </c>
      <c r="D119" s="4">
        <f ca="1">$B119*('Updated Population'!D$114/'Updated Population'!$B$114)*('Total Duration Tables Sup #1'!D174/'Total Duration Tables Sup #1'!$B174)</f>
        <v>7.3313327139880924E-2</v>
      </c>
      <c r="E119" s="4">
        <f ca="1">$B119*('Updated Population'!E$114/'Updated Population'!$B$114)*('Total Duration Tables Sup #1'!E174/'Total Duration Tables Sup #1'!$B174)</f>
        <v>7.6683068469475826E-2</v>
      </c>
      <c r="F119" s="4">
        <f ca="1">$B119*('Updated Population'!F$114/'Updated Population'!$B$114)*('Total Duration Tables Sup #1'!F174/'Total Duration Tables Sup #1'!$B174)</f>
        <v>7.9078894007434994E-2</v>
      </c>
      <c r="G119" s="4">
        <f ca="1">$B119*('Updated Population'!G$114/'Updated Population'!$B$114)*('Total Duration Tables Sup #1'!G174/'Total Duration Tables Sup #1'!$B174)</f>
        <v>8.0015305625413202E-2</v>
      </c>
      <c r="H119" s="4">
        <f ca="1">$B119*('Updated Population'!H$114/'Updated Population'!$B$114)*('Total Duration Tables Sup #1'!H174/'Total Duration Tables Sup #1'!$B174)</f>
        <v>8.0576418204508837E-2</v>
      </c>
      <c r="I119" s="1">
        <f ca="1">$B119*('Updated Population'!I$114/'Updated Population'!$B$114)*('Total Duration Tables Sup #1'!I174/'Total Duration Tables Sup #1'!$B174)</f>
        <v>7.850420150112461E-2</v>
      </c>
      <c r="J119" s="1">
        <f ca="1">$B119*('Updated Population'!J$114/'Updated Population'!$B$114)*('Total Duration Tables Sup #1'!J174/'Total Duration Tables Sup #1'!$B174)</f>
        <v>7.6241811027319389E-2</v>
      </c>
      <c r="K119" s="1">
        <f ca="1">$B119*('Updated Population'!K$114/'Updated Population'!$B$114)*('Total Duration Tables Sup #1'!K174/'Total Duration Tables Sup #1'!$B174)</f>
        <v>7.3885493077499392E-2</v>
      </c>
    </row>
    <row r="120" spans="1:11" x14ac:dyDescent="0.2">
      <c r="A120" t="str">
        <f ca="1">OFFSET(West_Coast_Reference,35,2)</f>
        <v>Motorcyclist</v>
      </c>
      <c r="B120" s="4">
        <f ca="1">OFFSET(West_Coast_Reference,35,7)</f>
        <v>9.7989774000000005E-3</v>
      </c>
      <c r="C120" s="4">
        <f ca="1">$B120*('Updated Population'!C$114/'Updated Population'!$B$114)*('Total Duration Tables Sup #1'!C175/'Total Duration Tables Sup #1'!$B175)</f>
        <v>9.7605353051426688E-3</v>
      </c>
      <c r="D120" s="4">
        <f ca="1">$B120*('Updated Population'!D$114/'Updated Population'!$B$114)*('Total Duration Tables Sup #1'!D175/'Total Duration Tables Sup #1'!$B175)</f>
        <v>9.7609472878692569E-3</v>
      </c>
      <c r="E120" s="4">
        <f ca="1">$B120*('Updated Population'!E$114/'Updated Population'!$B$114)*('Total Duration Tables Sup #1'!E175/'Total Duration Tables Sup #1'!$B175)</f>
        <v>9.5473619741601561E-3</v>
      </c>
      <c r="F120" s="4">
        <f ca="1">$B120*('Updated Population'!F$114/'Updated Population'!$B$114)*('Total Duration Tables Sup #1'!F175/'Total Duration Tables Sup #1'!$B175)</f>
        <v>9.3036240372873589E-3</v>
      </c>
      <c r="G120" s="4">
        <f ca="1">$B120*('Updated Population'!G$114/'Updated Population'!$B$114)*('Total Duration Tables Sup #1'!G175/'Total Duration Tables Sup #1'!$B175)</f>
        <v>8.9357650788760568E-3</v>
      </c>
      <c r="H120" s="4">
        <f ca="1">$B120*('Updated Population'!H$114/'Updated Population'!$B$114)*('Total Duration Tables Sup #1'!H175/'Total Duration Tables Sup #1'!$B175)</f>
        <v>8.5449883980096078E-3</v>
      </c>
      <c r="I120" s="1">
        <f ca="1">$B120*('Updated Population'!I$114/'Updated Population'!$B$114)*('Total Duration Tables Sup #1'!I175/'Total Duration Tables Sup #1'!$B175)</f>
        <v>8.3252334364073439E-3</v>
      </c>
      <c r="J120" s="1">
        <f ca="1">$B120*('Updated Population'!J$114/'Updated Population'!$B$114)*('Total Duration Tables Sup #1'!J175/'Total Duration Tables Sup #1'!$B175)</f>
        <v>8.0853108786514659E-3</v>
      </c>
      <c r="K120" s="1">
        <f ca="1">$B120*('Updated Population'!K$114/'Updated Population'!$B$114)*('Total Duration Tables Sup #1'!K175/'Total Duration Tables Sup #1'!$B175)</f>
        <v>7.8354274761387056E-3</v>
      </c>
    </row>
    <row r="121" spans="1:11" x14ac:dyDescent="0.2">
      <c r="A121" t="str">
        <f ca="1">OFFSET(Nelson_Reference,42,2)</f>
        <v>Local Train</v>
      </c>
      <c r="B121" s="4">
        <v>0</v>
      </c>
      <c r="C121" s="4">
        <f ca="1">$B121*('Updated Population'!C$114/'Updated Population'!$B$114)*('Total Duration Tables Sup #1'!C176/'Total Duration Tables Sup #1'!$B176)</f>
        <v>0</v>
      </c>
      <c r="D121" s="4">
        <f ca="1">$B121*('Updated Population'!D$114/'Updated Population'!$B$114)*('Total Duration Tables Sup #1'!D176/'Total Duration Tables Sup #1'!$B176)</f>
        <v>0</v>
      </c>
      <c r="E121" s="4">
        <f ca="1">$B121*('Updated Population'!E$114/'Updated Population'!$B$114)*('Total Duration Tables Sup #1'!E176/'Total Duration Tables Sup #1'!$B176)</f>
        <v>0</v>
      </c>
      <c r="F121" s="4">
        <f ca="1">$B121*('Updated Population'!F$114/'Updated Population'!$B$114)*('Total Duration Tables Sup #1'!F176/'Total Duration Tables Sup #1'!$B176)</f>
        <v>0</v>
      </c>
      <c r="G121" s="4">
        <f ca="1">$B121*('Updated Population'!G$114/'Updated Population'!$B$114)*('Total Duration Tables Sup #1'!G176/'Total Duration Tables Sup #1'!$B176)</f>
        <v>0</v>
      </c>
      <c r="H121" s="4">
        <f ca="1">$B121*('Updated Population'!H$114/'Updated Population'!$B$114)*('Total Duration Tables Sup #1'!H176/'Total Duration Tables Sup #1'!$B176)</f>
        <v>0</v>
      </c>
      <c r="I121" s="1">
        <f ca="1">$B121*('Updated Population'!I$114/'Updated Population'!$B$114)*('Total Duration Tables Sup #1'!I176/'Total Duration Tables Sup #1'!$B176)</f>
        <v>0</v>
      </c>
      <c r="J121" s="1">
        <f ca="1">$B121*('Updated Population'!J$114/'Updated Population'!$B$114)*('Total Duration Tables Sup #1'!J176/'Total Duration Tables Sup #1'!$B176)</f>
        <v>0</v>
      </c>
      <c r="K121" s="1">
        <f ca="1">$B121*('Updated Population'!K$114/'Updated Population'!$B$114)*('Total Duration Tables Sup #1'!K176/'Total Duration Tables Sup #1'!$B176)</f>
        <v>0</v>
      </c>
    </row>
    <row r="122" spans="1:11" x14ac:dyDescent="0.2">
      <c r="A122" t="str">
        <f ca="1">OFFSET(West_Coast_Reference,42,2)</f>
        <v>Local Bus</v>
      </c>
      <c r="B122" s="4">
        <f ca="1">OFFSET(West_Coast_Reference,42,7)</f>
        <v>0.18249519829999999</v>
      </c>
      <c r="C122" s="4">
        <f ca="1">$B122*('Updated Population'!C$114/'Updated Population'!$B$114)*('Total Duration Tables Sup #1'!C177/'Total Duration Tables Sup #1'!$B177)</f>
        <v>0.16569595042057791</v>
      </c>
      <c r="D122" s="4">
        <f ca="1">$B122*('Updated Population'!D$114/'Updated Population'!$B$114)*('Total Duration Tables Sup #1'!D177/'Total Duration Tables Sup #1'!$B177)</f>
        <v>0.15682803449876689</v>
      </c>
      <c r="E122" s="4">
        <f ca="1">$B122*('Updated Population'!E$114/'Updated Population'!$B$114)*('Total Duration Tables Sup #1'!E177/'Total Duration Tables Sup #1'!$B177)</f>
        <v>0.14973829496983806</v>
      </c>
      <c r="F122" s="4">
        <f ca="1">$B122*('Updated Population'!F$114/'Updated Population'!$B$114)*('Total Duration Tables Sup #1'!F177/'Total Duration Tables Sup #1'!$B177)</f>
        <v>0.14129798122205639</v>
      </c>
      <c r="G122" s="4">
        <f ca="1">$B122*('Updated Population'!G$114/'Updated Population'!$B$114)*('Total Duration Tables Sup #1'!G177/'Total Duration Tables Sup #1'!$B177)</f>
        <v>0.13417661965395583</v>
      </c>
      <c r="H122" s="4">
        <f ca="1">$B122*('Updated Population'!H$114/'Updated Population'!$B$114)*('Total Duration Tables Sup #1'!H177/'Total Duration Tables Sup #1'!$B177)</f>
        <v>0.12687664707354854</v>
      </c>
      <c r="I122" s="1">
        <f ca="1">$B122*('Updated Population'!I$114/'Updated Population'!$B$114)*('Total Duration Tables Sup #1'!I177/'Total Duration Tables Sup #1'!$B177)</f>
        <v>0.1236137084471642</v>
      </c>
      <c r="J122" s="1">
        <f ca="1">$B122*('Updated Population'!J$114/'Updated Population'!$B$114)*('Total Duration Tables Sup #1'!J177/'Total Duration Tables Sup #1'!$B177)</f>
        <v>0.12005131979693896</v>
      </c>
      <c r="K122" s="1">
        <f ca="1">$B122*('Updated Population'!K$114/'Updated Population'!$B$114)*('Total Duration Tables Sup #1'!K177/'Total Duration Tables Sup #1'!$B177)</f>
        <v>0.11634103175517477</v>
      </c>
    </row>
    <row r="123" spans="1:11" x14ac:dyDescent="0.2">
      <c r="A123" t="str">
        <f ca="1">OFFSET(Wellington_Reference,56,2)</f>
        <v>Local Ferry</v>
      </c>
      <c r="B123" s="4">
        <v>0</v>
      </c>
      <c r="C123" s="4">
        <f ca="1">$B123*('Updated Population'!C$114/'Updated Population'!$B$114)*('Total Duration Tables Sup #1'!C178/'Total Duration Tables Sup #1'!$B178)</f>
        <v>0</v>
      </c>
      <c r="D123" s="4">
        <f ca="1">$B123*('Updated Population'!D$114/'Updated Population'!$B$114)*('Total Duration Tables Sup #1'!D178/'Total Duration Tables Sup #1'!$B178)</f>
        <v>0</v>
      </c>
      <c r="E123" s="4">
        <f ca="1">$B123*('Updated Population'!E$114/'Updated Population'!$B$114)*('Total Duration Tables Sup #1'!E178/'Total Duration Tables Sup #1'!$B178)</f>
        <v>0</v>
      </c>
      <c r="F123" s="4">
        <f ca="1">$B123*('Updated Population'!F$114/'Updated Population'!$B$114)*('Total Duration Tables Sup #1'!F178/'Total Duration Tables Sup #1'!$B178)</f>
        <v>0</v>
      </c>
      <c r="G123" s="4">
        <f ca="1">$B123*('Updated Population'!G$114/'Updated Population'!$B$114)*('Total Duration Tables Sup #1'!G178/'Total Duration Tables Sup #1'!$B178)</f>
        <v>0</v>
      </c>
      <c r="H123" s="4">
        <f ca="1">$B123*('Updated Population'!H$114/'Updated Population'!$B$114)*('Total Duration Tables Sup #1'!H178/'Total Duration Tables Sup #1'!$B178)</f>
        <v>0</v>
      </c>
      <c r="I123" s="1">
        <f ca="1">$B123*('Updated Population'!I$114/'Updated Population'!$B$114)*('Total Duration Tables Sup #1'!I178/'Total Duration Tables Sup #1'!$B178)</f>
        <v>0</v>
      </c>
      <c r="J123" s="1">
        <f ca="1">$B123*('Updated Population'!J$114/'Updated Population'!$B$114)*('Total Duration Tables Sup #1'!J178/'Total Duration Tables Sup #1'!$B178)</f>
        <v>0</v>
      </c>
      <c r="K123" s="1">
        <f ca="1">$B123*('Updated Population'!K$114/'Updated Population'!$B$114)*('Total Duration Tables Sup #1'!K178/'Total Duration Tables Sup #1'!$B178)</f>
        <v>0</v>
      </c>
    </row>
    <row r="124" spans="1:11" x14ac:dyDescent="0.2">
      <c r="A124" t="str">
        <f ca="1">OFFSET(West_Coast_Reference,49,2)</f>
        <v>Other Household Travel</v>
      </c>
      <c r="B124" s="4">
        <f ca="1">OFFSET(West_Coast_Reference,49,7)</f>
        <v>3.6766106000000001E-3</v>
      </c>
      <c r="C124" s="4">
        <f ca="1">$B124*('Updated Population'!C$114/'Updated Population'!$B$114)*('Total Duration Tables Sup #1'!C179/'Total Duration Tables Sup #1'!$B179)</f>
        <v>3.7265482540936108E-3</v>
      </c>
      <c r="D124" s="4">
        <f ca="1">$B124*('Updated Population'!D$114/'Updated Population'!$B$114)*('Total Duration Tables Sup #1'!D179/'Total Duration Tables Sup #1'!$B179)</f>
        <v>3.8097607123392958E-3</v>
      </c>
      <c r="E124" s="4">
        <f ca="1">$B124*('Updated Population'!E$114/'Updated Population'!$B$114)*('Total Duration Tables Sup #1'!E179/'Total Duration Tables Sup #1'!$B179)</f>
        <v>3.8008756349212128E-3</v>
      </c>
      <c r="F124" s="4">
        <f ca="1">$B124*('Updated Population'!F$114/'Updated Population'!$B$114)*('Total Duration Tables Sup #1'!F179/'Total Duration Tables Sup #1'!$B179)</f>
        <v>3.7699731893519862E-3</v>
      </c>
      <c r="G124" s="4">
        <f ca="1">$B124*('Updated Population'!G$114/'Updated Population'!$B$114)*('Total Duration Tables Sup #1'!G179/'Total Duration Tables Sup #1'!$B179)</f>
        <v>3.7617152139770411E-3</v>
      </c>
      <c r="H124" s="4">
        <f ca="1">$B124*('Updated Population'!H$114/'Updated Population'!$B$114)*('Total Duration Tables Sup #1'!H179/'Total Duration Tables Sup #1'!$B179)</f>
        <v>3.7348055447110756E-3</v>
      </c>
      <c r="I124" s="1">
        <f ca="1">$B124*('Updated Population'!I$114/'Updated Population'!$B$114)*('Total Duration Tables Sup #1'!I179/'Total Duration Tables Sup #1'!$B179)</f>
        <v>3.6387560229515043E-3</v>
      </c>
      <c r="J124" s="1">
        <f ca="1">$B124*('Updated Population'!J$114/'Updated Population'!$B$114)*('Total Duration Tables Sup #1'!J179/'Total Duration Tables Sup #1'!$B179)</f>
        <v>3.5338917379143658E-3</v>
      </c>
      <c r="K124" s="1">
        <f ca="1">$B124*('Updated Population'!K$114/'Updated Population'!$B$114)*('Total Duration Tables Sup #1'!K179/'Total Duration Tables Sup #1'!$B179)</f>
        <v>3.4246738111289635E-3</v>
      </c>
    </row>
    <row r="125" spans="1:11" x14ac:dyDescent="0.2">
      <c r="A125" t="str">
        <f ca="1">OFFSET(Canterbury_Reference,0,0)</f>
        <v>13 CANTERBURY</v>
      </c>
      <c r="B125" s="4"/>
      <c r="I125" s="1"/>
      <c r="J125" s="1"/>
      <c r="K125" s="1"/>
    </row>
    <row r="126" spans="1:11" x14ac:dyDescent="0.2">
      <c r="A126" t="str">
        <f ca="1">OFFSET(Canterbury_Reference,0,2)</f>
        <v>Pedestrian</v>
      </c>
      <c r="B126" s="4">
        <f ca="1">OFFSET(Canterbury_Reference,0,7)</f>
        <v>27.07651954</v>
      </c>
      <c r="C126" s="4">
        <f ca="1">$B126*('Updated Population'!C$125/'Updated Population'!$B$125)*('Total Duration Tables Sup #1'!C170/'Total Duration Tables Sup #1'!$B170)</f>
        <v>29.766470091625219</v>
      </c>
      <c r="D126" s="4">
        <f ca="1">$B126*('Updated Population'!D$125/'Updated Population'!$B$125)*('Total Duration Tables Sup #1'!D170/'Total Duration Tables Sup #1'!$B170)</f>
        <v>31.470554045452754</v>
      </c>
      <c r="E126" s="4">
        <f ca="1">$B126*('Updated Population'!E$125/'Updated Population'!$B$125)*('Total Duration Tables Sup #1'!E170/'Total Duration Tables Sup #1'!$B170)</f>
        <v>32.61234392324549</v>
      </c>
      <c r="F126" s="4">
        <f ca="1">$B126*('Updated Population'!F$125/'Updated Population'!$B$125)*('Total Duration Tables Sup #1'!F170/'Total Duration Tables Sup #1'!$B170)</f>
        <v>33.477167806014563</v>
      </c>
      <c r="G126" s="4">
        <f ca="1">$B126*('Updated Population'!G$125/'Updated Population'!$B$125)*('Total Duration Tables Sup #1'!G170/'Total Duration Tables Sup #1'!$B170)</f>
        <v>34.248607795237227</v>
      </c>
      <c r="H126" s="4">
        <f ca="1">$B126*('Updated Population'!H$125/'Updated Population'!$B$125)*('Total Duration Tables Sup #1'!H170/'Total Duration Tables Sup #1'!$B170)</f>
        <v>34.871199817282729</v>
      </c>
      <c r="I126" s="1">
        <f ca="1">$B126*('Updated Population'!I$125/'Updated Population'!$B$125)*('Total Duration Tables Sup #1'!I170/'Total Duration Tables Sup #1'!$B170)</f>
        <v>35.753417732738498</v>
      </c>
      <c r="J126" s="1">
        <f ca="1">$B126*('Updated Population'!J$125/'Updated Population'!$B$125)*('Total Duration Tables Sup #1'!J170/'Total Duration Tables Sup #1'!$B170)</f>
        <v>36.541266580814337</v>
      </c>
      <c r="K126" s="1">
        <f ca="1">$B126*('Updated Population'!K$125/'Updated Population'!$B$125)*('Total Duration Tables Sup #1'!K170/'Total Duration Tables Sup #1'!$B170)</f>
        <v>37.266216180130101</v>
      </c>
    </row>
    <row r="127" spans="1:11" x14ac:dyDescent="0.2">
      <c r="A127" t="str">
        <f ca="1">OFFSET(Canterbury_Reference,7,2)</f>
        <v>Cyclist</v>
      </c>
      <c r="B127" s="4">
        <f ca="1">OFFSET(Canterbury_Reference,7,7)</f>
        <v>7.2445897615000003</v>
      </c>
      <c r="C127" s="4">
        <f ca="1">$B127*('Updated Population'!C$125/'Updated Population'!$B$125)*('Total Duration Tables Sup #1'!C171/'Total Duration Tables Sup #1'!$B171)</f>
        <v>8.1158935185415082</v>
      </c>
      <c r="D127" s="4">
        <f ca="1">$B127*('Updated Population'!D$125/'Updated Population'!$B$125)*('Total Duration Tables Sup #1'!D171/'Total Duration Tables Sup #1'!$B171)</f>
        <v>8.6154212279237754</v>
      </c>
      <c r="E127" s="4">
        <f ca="1">$B127*('Updated Population'!E$125/'Updated Population'!$B$125)*('Total Duration Tables Sup #1'!E171/'Total Duration Tables Sup #1'!$B171)</f>
        <v>8.8608131145995799</v>
      </c>
      <c r="F127" s="4">
        <f ca="1">$B127*('Updated Population'!F$125/'Updated Population'!$B$125)*('Total Duration Tables Sup #1'!F171/'Total Duration Tables Sup #1'!$B171)</f>
        <v>9.1705384217651194</v>
      </c>
      <c r="G127" s="4">
        <f ca="1">$B127*('Updated Population'!G$125/'Updated Population'!$B$125)*('Total Duration Tables Sup #1'!G171/'Total Duration Tables Sup #1'!$B171)</f>
        <v>9.5714986068240115</v>
      </c>
      <c r="H127" s="4">
        <f ca="1">$B127*('Updated Population'!H$125/'Updated Population'!$B$125)*('Total Duration Tables Sup #1'!H171/'Total Duration Tables Sup #1'!$B171)</f>
        <v>9.9653107364671705</v>
      </c>
      <c r="I127" s="1">
        <f ca="1">$B127*('Updated Population'!I$125/'Updated Population'!$B$125)*('Total Duration Tables Sup #1'!I171/'Total Duration Tables Sup #1'!$B171)</f>
        <v>10.217426399560521</v>
      </c>
      <c r="J127" s="1">
        <f ca="1">$B127*('Updated Population'!J$125/'Updated Population'!$B$125)*('Total Duration Tables Sup #1'!J171/'Total Duration Tables Sup #1'!$B171)</f>
        <v>10.442573759719677</v>
      </c>
      <c r="K127" s="1">
        <f ca="1">$B127*('Updated Population'!K$125/'Updated Population'!$B$125)*('Total Duration Tables Sup #1'!K171/'Total Duration Tables Sup #1'!$B171)</f>
        <v>10.649746098592811</v>
      </c>
    </row>
    <row r="128" spans="1:11" x14ac:dyDescent="0.2">
      <c r="A128" t="str">
        <f ca="1">OFFSET(Canterbury_Reference,14,2)</f>
        <v>Light Vehicle Driver</v>
      </c>
      <c r="B128" s="4">
        <f ca="1">OFFSET(Canterbury_Reference,14,7)</f>
        <v>111.06814274</v>
      </c>
      <c r="C128" s="4">
        <f ca="1">$B128*('Updated Population'!C$125/'Updated Population'!$B$125)*('Total Duration Tables Sup #1'!C172/'Total Duration Tables Sup #1'!$B172)</f>
        <v>126.66290421037181</v>
      </c>
      <c r="D128" s="4">
        <f ca="1">$B128*('Updated Population'!D$125/'Updated Population'!$B$125)*('Total Duration Tables Sup #1'!D172/'Total Duration Tables Sup #1'!$B172)</f>
        <v>136.84689819322475</v>
      </c>
      <c r="E128" s="4">
        <f ca="1">$B128*('Updated Population'!E$125/'Updated Population'!$B$125)*('Total Duration Tables Sup #1'!E172/'Total Duration Tables Sup #1'!$B172)</f>
        <v>143.28809103734335</v>
      </c>
      <c r="F128" s="4">
        <f ca="1">$B128*('Updated Population'!F$125/'Updated Population'!$B$125)*('Total Duration Tables Sup #1'!F172/'Total Duration Tables Sup #1'!$B172)</f>
        <v>149.44173853847616</v>
      </c>
      <c r="G128" s="4">
        <f ca="1">$B128*('Updated Population'!G$125/'Updated Population'!$B$125)*('Total Duration Tables Sup #1'!G172/'Total Duration Tables Sup #1'!$B172)</f>
        <v>154.51199000308253</v>
      </c>
      <c r="H128" s="4">
        <f ca="1">$B128*('Updated Population'!H$125/'Updated Population'!$B$125)*('Total Duration Tables Sup #1'!H172/'Total Duration Tables Sup #1'!$B172)</f>
        <v>159.06415202137734</v>
      </c>
      <c r="I128" s="1">
        <f ca="1">$B128*('Updated Population'!I$125/'Updated Population'!$B$125)*('Total Duration Tables Sup #1'!I172/'Total Duration Tables Sup #1'!$B172)</f>
        <v>163.08836814687152</v>
      </c>
      <c r="J128" s="1">
        <f ca="1">$B128*('Updated Population'!J$125/'Updated Population'!$B$125)*('Total Duration Tables Sup #1'!J172/'Total Duration Tables Sup #1'!$B172)</f>
        <v>166.68212200669984</v>
      </c>
      <c r="K128" s="1">
        <f ca="1">$B128*('Updated Population'!K$125/'Updated Population'!$B$125)*('Total Duration Tables Sup #1'!K172/'Total Duration Tables Sup #1'!$B172)</f>
        <v>169.9889624331152</v>
      </c>
    </row>
    <row r="129" spans="1:11" x14ac:dyDescent="0.2">
      <c r="A129" t="str">
        <f ca="1">OFFSET(Canterbury_Reference,21,2)</f>
        <v>Light Vehicle Passenger</v>
      </c>
      <c r="B129" s="4">
        <f ca="1">OFFSET(Canterbury_Reference,21,7)</f>
        <v>53.544276449999998</v>
      </c>
      <c r="C129" s="4">
        <f ca="1">$B129*('Updated Population'!C$125/'Updated Population'!$B$125)*('Total Duration Tables Sup #1'!C173/'Total Duration Tables Sup #1'!$B173)</f>
        <v>58.264829865527581</v>
      </c>
      <c r="D129" s="4">
        <f ca="1">$B129*('Updated Population'!D$125/'Updated Population'!$B$125)*('Total Duration Tables Sup #1'!D173/'Total Duration Tables Sup #1'!$B173)</f>
        <v>61.272708707655553</v>
      </c>
      <c r="E129" s="4">
        <f ca="1">$B129*('Updated Population'!E$125/'Updated Population'!$B$125)*('Total Duration Tables Sup #1'!E173/'Total Duration Tables Sup #1'!$B173)</f>
        <v>63.11831347439454</v>
      </c>
      <c r="F129" s="4">
        <f ca="1">$B129*('Updated Population'!F$125/'Updated Population'!$B$125)*('Total Duration Tables Sup #1'!F173/'Total Duration Tables Sup #1'!$B173)</f>
        <v>64.687360073544653</v>
      </c>
      <c r="G129" s="4">
        <f ca="1">$B129*('Updated Population'!G$125/'Updated Population'!$B$125)*('Total Duration Tables Sup #1'!G173/'Total Duration Tables Sup #1'!$B173)</f>
        <v>65.997618598792045</v>
      </c>
      <c r="H129" s="4">
        <f ca="1">$B129*('Updated Population'!H$125/'Updated Population'!$B$125)*('Total Duration Tables Sup #1'!H173/'Total Duration Tables Sup #1'!$B173)</f>
        <v>66.977801529412872</v>
      </c>
      <c r="I129" s="1">
        <f ca="1">$B129*('Updated Population'!I$125/'Updated Population'!$B$125)*('Total Duration Tables Sup #1'!I173/'Total Duration Tables Sup #1'!$B173)</f>
        <v>68.672294886587324</v>
      </c>
      <c r="J129" s="1">
        <f ca="1">$B129*('Updated Population'!J$125/'Updated Population'!$B$125)*('Total Duration Tables Sup #1'!J173/'Total Duration Tables Sup #1'!$B173)</f>
        <v>70.185531714057987</v>
      </c>
      <c r="K129" s="1">
        <f ca="1">$B129*('Updated Population'!K$125/'Updated Population'!$B$125)*('Total Duration Tables Sup #1'!K173/'Total Duration Tables Sup #1'!$B173)</f>
        <v>71.577956713376011</v>
      </c>
    </row>
    <row r="130" spans="1:11" x14ac:dyDescent="0.2">
      <c r="A130" t="str">
        <f ca="1">OFFSET(Canterbury_Reference,28,2)</f>
        <v>Taxi/Vehicle Share</v>
      </c>
      <c r="B130" s="4">
        <f ca="1">OFFSET(Canterbury_Reference,28,7)</f>
        <v>0.86554787379999998</v>
      </c>
      <c r="C130" s="4">
        <f ca="1">$B130*('Updated Population'!C$125/'Updated Population'!$B$125)*('Total Duration Tables Sup #1'!C174/'Total Duration Tables Sup #1'!$B174)</f>
        <v>1.028293859393923</v>
      </c>
      <c r="D130" s="4">
        <f ca="1">$B130*('Updated Population'!D$125/'Updated Population'!$B$125)*('Total Duration Tables Sup #1'!D174/'Total Duration Tables Sup #1'!$B174)</f>
        <v>1.1605908845744983</v>
      </c>
      <c r="E130" s="4">
        <f ca="1">$B130*('Updated Population'!E$125/'Updated Population'!$B$125)*('Total Duration Tables Sup #1'!E174/'Total Duration Tables Sup #1'!$B174)</f>
        <v>1.2768057840289926</v>
      </c>
      <c r="F130" s="4">
        <f ca="1">$B130*('Updated Population'!F$125/'Updated Population'!$B$125)*('Total Duration Tables Sup #1'!F174/'Total Duration Tables Sup #1'!$B174)</f>
        <v>1.385821594917694</v>
      </c>
      <c r="G130" s="4">
        <f ca="1">$B130*('Updated Population'!G$125/'Updated Population'!$B$125)*('Total Duration Tables Sup #1'!G174/'Total Duration Tables Sup #1'!$B174)</f>
        <v>1.4768344873191994</v>
      </c>
      <c r="H130" s="4">
        <f ca="1">$B130*('Updated Population'!H$125/'Updated Population'!$B$125)*('Total Duration Tables Sup #1'!H174/'Total Duration Tables Sup #1'!$B174)</f>
        <v>1.5650652386456423</v>
      </c>
      <c r="I130" s="1">
        <f ca="1">$B130*('Updated Population'!I$125/'Updated Population'!$B$125)*('Total Duration Tables Sup #1'!I174/'Total Duration Tables Sup #1'!$B174)</f>
        <v>1.604660337168921</v>
      </c>
      <c r="J130" s="1">
        <f ca="1">$B130*('Updated Population'!J$125/'Updated Population'!$B$125)*('Total Duration Tables Sup #1'!J174/'Total Duration Tables Sup #1'!$B174)</f>
        <v>1.6400200280281787</v>
      </c>
      <c r="K130" s="1">
        <f ca="1">$B130*('Updated Population'!K$125/'Updated Population'!$B$125)*('Total Duration Tables Sup #1'!K174/'Total Duration Tables Sup #1'!$B174)</f>
        <v>1.6725567180074223</v>
      </c>
    </row>
    <row r="131" spans="1:11" x14ac:dyDescent="0.2">
      <c r="A131" t="str">
        <f ca="1">OFFSET(Canterbury_Reference,35,2)</f>
        <v>Motorcyclist</v>
      </c>
      <c r="B131" s="4">
        <f ca="1">OFFSET(Canterbury_Reference,35,7)</f>
        <v>0.39288238580000001</v>
      </c>
      <c r="C131" s="4">
        <f ca="1">$B131*('Updated Population'!C$125/'Updated Population'!$B$125)*('Total Duration Tables Sup #1'!C175/'Total Duration Tables Sup #1'!$B175)</f>
        <v>0.43992861758428653</v>
      </c>
      <c r="D131" s="4">
        <f ca="1">$B131*('Updated Population'!D$125/'Updated Population'!$B$125)*('Total Duration Tables Sup #1'!D175/'Total Duration Tables Sup #1'!$B175)</f>
        <v>0.46889108039607169</v>
      </c>
      <c r="E131" s="4">
        <f ca="1">$B131*('Updated Population'!E$125/'Updated Population'!$B$125)*('Total Duration Tables Sup #1'!E175/'Total Duration Tables Sup #1'!$B175)</f>
        <v>0.48238358970003625</v>
      </c>
      <c r="F131" s="4">
        <f ca="1">$B131*('Updated Population'!F$125/'Updated Population'!$B$125)*('Total Duration Tables Sup #1'!F175/'Total Duration Tables Sup #1'!$B175)</f>
        <v>0.49474642865733498</v>
      </c>
      <c r="G131" s="4">
        <f ca="1">$B131*('Updated Population'!G$125/'Updated Population'!$B$125)*('Total Duration Tables Sup #1'!G175/'Total Duration Tables Sup #1'!$B175)</f>
        <v>0.50046565365505569</v>
      </c>
      <c r="H131" s="4">
        <f ca="1">$B131*('Updated Population'!H$125/'Updated Population'!$B$125)*('Total Duration Tables Sup #1'!H175/'Total Duration Tables Sup #1'!$B175)</f>
        <v>0.50363945199688154</v>
      </c>
      <c r="I131" s="1">
        <f ca="1">$B131*('Updated Population'!I$125/'Updated Population'!$B$125)*('Total Duration Tables Sup #1'!I175/'Total Duration Tables Sup #1'!$B175)</f>
        <v>0.51638119159317053</v>
      </c>
      <c r="J131" s="1">
        <f ca="1">$B131*('Updated Population'!J$125/'Updated Population'!$B$125)*('Total Duration Tables Sup #1'!J175/'Total Duration Tables Sup #1'!$B175)</f>
        <v>0.52775997305696853</v>
      </c>
      <c r="K131" s="1">
        <f ca="1">$B131*('Updated Population'!K$125/'Updated Population'!$B$125)*('Total Duration Tables Sup #1'!K175/'Total Duration Tables Sup #1'!$B175)</f>
        <v>0.53823031020733503</v>
      </c>
    </row>
    <row r="132" spans="1:11" x14ac:dyDescent="0.2">
      <c r="A132" t="str">
        <f ca="1">OFFSET(Canterbury_Reference,42,2)</f>
        <v>Local Train</v>
      </c>
      <c r="B132" s="4">
        <f ca="1">OFFSET(Canterbury_Reference,42,7)</f>
        <v>7.3004144E-3</v>
      </c>
      <c r="C132" s="4">
        <f ca="1">OFFSET(Canterbury_Reference,43,7)</f>
        <v>7.3527310000000004E-3</v>
      </c>
      <c r="D132" s="4">
        <f ca="1">OFFSET(Canterbury_Reference,44,7)</f>
        <v>6.2418583E-3</v>
      </c>
      <c r="E132" s="4">
        <f ca="1">OFFSET(Canterbury_Reference,45,7)</f>
        <v>5.8079930999999996E-3</v>
      </c>
      <c r="F132" s="4">
        <f ca="1">OFFSET(Canterbury_Reference,46,7)</f>
        <v>5.5130448999999998E-3</v>
      </c>
      <c r="G132" s="4">
        <f ca="1">OFFSET(Canterbury_Reference,47,7)</f>
        <v>4.6577913999999998E-3</v>
      </c>
      <c r="H132" s="4">
        <f ca="1">OFFSET(Canterbury_Reference,48,7)</f>
        <v>3.8540521999999998E-3</v>
      </c>
      <c r="I132" s="1">
        <f ca="1">OFFSET(Canterbury_Reference,48,7)</f>
        <v>3.8540521999999998E-3</v>
      </c>
      <c r="J132" s="1">
        <f ca="1">OFFSET(Canterbury_Reference,48,7)</f>
        <v>3.8540521999999998E-3</v>
      </c>
      <c r="K132" s="1">
        <f ca="1">OFFSET(Canterbury_Reference,48,7)</f>
        <v>3.8540521999999998E-3</v>
      </c>
    </row>
    <row r="133" spans="1:11" x14ac:dyDescent="0.2">
      <c r="A133" t="str">
        <f ca="1">OFFSET(Canterbury_Reference,49,2)</f>
        <v>Local Bus</v>
      </c>
      <c r="B133" s="4">
        <f ca="1">OFFSET(Canterbury_Reference,49,7)</f>
        <v>7.9805750329</v>
      </c>
      <c r="C133" s="4">
        <f ca="1">OFFSET(Canterbury_Reference,50,7)</f>
        <v>8.0885047295000003</v>
      </c>
      <c r="D133" s="4">
        <f ca="1">OFFSET(Canterbury_Reference,51,7)</f>
        <v>7.9753596038000003</v>
      </c>
      <c r="E133" s="4">
        <f ca="1">OFFSET(Canterbury_Reference,52,7)</f>
        <v>8.0645476315</v>
      </c>
      <c r="F133" s="4">
        <f ca="1">OFFSET(Canterbury_Reference,53,7)</f>
        <v>7.9786037935999996</v>
      </c>
      <c r="G133" s="4">
        <f ca="1">OFFSET(Canterbury_Reference,54,7)</f>
        <v>7.8974170205999998</v>
      </c>
      <c r="H133" s="4">
        <f ca="1">OFFSET(Canterbury_Reference,55,7)</f>
        <v>7.775002143</v>
      </c>
      <c r="I133" s="1">
        <f ca="1">OFFSET(Canterbury_Reference,55,7)</f>
        <v>7.775002143</v>
      </c>
      <c r="J133" s="1">
        <f ca="1">OFFSET(Canterbury_Reference,55,7)</f>
        <v>7.775002143</v>
      </c>
      <c r="K133" s="1">
        <f ca="1">OFFSET(Canterbury_Reference,55,7)</f>
        <v>7.775002143</v>
      </c>
    </row>
    <row r="134" spans="1:11" x14ac:dyDescent="0.2">
      <c r="A134" t="str">
        <f ca="1">OFFSET(Wellington_Reference,56,2)</f>
        <v>Local Ferry</v>
      </c>
      <c r="B134" s="4">
        <v>0</v>
      </c>
      <c r="C134" s="4">
        <f ca="1">$B134*('Updated Population'!C$125/'Updated Population'!$B$125)*('Total Duration Tables Sup #1'!C178/'Total Duration Tables Sup #1'!$B178)</f>
        <v>0</v>
      </c>
      <c r="D134" s="4">
        <f ca="1">$B134*('Updated Population'!D$125/'Updated Population'!$B$125)*('Total Duration Tables Sup #1'!D178/'Total Duration Tables Sup #1'!$B178)</f>
        <v>0</v>
      </c>
      <c r="E134" s="4">
        <f ca="1">$B134*('Updated Population'!E$125/'Updated Population'!$B$125)*('Total Duration Tables Sup #1'!E178/'Total Duration Tables Sup #1'!$B178)</f>
        <v>0</v>
      </c>
      <c r="F134" s="4">
        <f ca="1">$B134*('Updated Population'!F$125/'Updated Population'!$B$125)*('Total Duration Tables Sup #1'!F178/'Total Duration Tables Sup #1'!$B178)</f>
        <v>0</v>
      </c>
      <c r="G134" s="4">
        <f ca="1">$B134*('Updated Population'!G$125/'Updated Population'!$B$125)*('Total Duration Tables Sup #1'!G178/'Total Duration Tables Sup #1'!$B178)</f>
        <v>0</v>
      </c>
      <c r="H134" s="4">
        <f ca="1">$B134*('Updated Population'!H$125/'Updated Population'!$B$125)*('Total Duration Tables Sup #1'!H178/'Total Duration Tables Sup #1'!$B178)</f>
        <v>0</v>
      </c>
      <c r="I134" s="1">
        <f ca="1">$B134*('Updated Population'!I$125/'Updated Population'!$B$125)*('Total Duration Tables Sup #1'!I178/'Total Duration Tables Sup #1'!$B178)</f>
        <v>0</v>
      </c>
      <c r="J134" s="1">
        <f ca="1">$B134*('Updated Population'!J$125/'Updated Population'!$B$125)*('Total Duration Tables Sup #1'!J178/'Total Duration Tables Sup #1'!$B178)</f>
        <v>0</v>
      </c>
      <c r="K134" s="1">
        <f ca="1">$B134*('Updated Population'!K$125/'Updated Population'!$B$125)*('Total Duration Tables Sup #1'!K178/'Total Duration Tables Sup #1'!$B178)</f>
        <v>0</v>
      </c>
    </row>
    <row r="135" spans="1:11" x14ac:dyDescent="0.2">
      <c r="A135" t="str">
        <f ca="1">OFFSET(Canterbury_Reference,56,2)</f>
        <v>Other Household Travel</v>
      </c>
      <c r="B135" s="4">
        <f ca="1">OFFSET(Canterbury_Reference,56,7)</f>
        <v>0.91635513570000005</v>
      </c>
      <c r="C135" s="4">
        <f ca="1">$B135*('Updated Population'!C$125/'Updated Population'!$B$125)*('Total Duration Tables Sup #1'!C179/'Total Duration Tables Sup #1'!$B179)</f>
        <v>1.0441182992521358</v>
      </c>
      <c r="D135" s="4">
        <f ca="1">$B135*('Updated Population'!D$125/'Updated Population'!$B$125)*('Total Duration Tables Sup #1'!D179/'Total Duration Tables Sup #1'!$B179)</f>
        <v>1.13765893906473</v>
      </c>
      <c r="E135" s="4">
        <f ca="1">$B135*('Updated Population'!E$125/'Updated Population'!$B$125)*('Total Duration Tables Sup #1'!E179/'Total Duration Tables Sup #1'!$B179)</f>
        <v>1.1937879120333359</v>
      </c>
      <c r="F135" s="4">
        <f ca="1">$B135*('Updated Population'!F$125/'Updated Population'!$B$125)*('Total Duration Tables Sup #1'!F179/'Total Duration Tables Sup #1'!$B179)</f>
        <v>1.2462442236071263</v>
      </c>
      <c r="G135" s="4">
        <f ca="1">$B135*('Updated Population'!G$125/'Updated Population'!$B$125)*('Total Duration Tables Sup #1'!G179/'Total Duration Tables Sup #1'!$B179)</f>
        <v>1.3096728649748783</v>
      </c>
      <c r="H135" s="4">
        <f ca="1">$B135*('Updated Population'!H$125/'Updated Population'!$B$125)*('Total Duration Tables Sup #1'!H179/'Total Duration Tables Sup #1'!$B179)</f>
        <v>1.3683923608697632</v>
      </c>
      <c r="I135" s="1">
        <f ca="1">$B135*('Updated Population'!I$125/'Updated Population'!$B$125)*('Total Duration Tables Sup #1'!I179/'Total Duration Tables Sup #1'!$B179)</f>
        <v>1.4030117677860057</v>
      </c>
      <c r="J135" s="1">
        <f ca="1">$B135*('Updated Population'!J$125/'Updated Population'!$B$125)*('Total Duration Tables Sup #1'!J179/'Total Duration Tables Sup #1'!$B179)</f>
        <v>1.4339280067131424</v>
      </c>
      <c r="K135" s="1">
        <f ca="1">$B135*('Updated Population'!K$125/'Updated Population'!$B$125)*('Total Duration Tables Sup #1'!K179/'Total Duration Tables Sup #1'!$B179)</f>
        <v>1.4623759952801323</v>
      </c>
    </row>
    <row r="136" spans="1:11" x14ac:dyDescent="0.2">
      <c r="A136" t="str">
        <f ca="1">OFFSET(Otago_Reference,0,0)</f>
        <v>14 OTAGO</v>
      </c>
      <c r="I136" s="1"/>
      <c r="J136" s="1"/>
      <c r="K136" s="1"/>
    </row>
    <row r="137" spans="1:11" x14ac:dyDescent="0.2">
      <c r="A137" t="str">
        <f ca="1">OFFSET(Otago_Reference,0,2)</f>
        <v>Pedestrian</v>
      </c>
      <c r="B137" s="4">
        <f ca="1">OFFSET(Otago_Reference,0,7)</f>
        <v>11.651603939999999</v>
      </c>
      <c r="C137" s="4">
        <f ca="1">$B137*('Updated Population'!C$136/'Updated Population'!$B$136)*('Total Duration Tables Sup #1'!C170/'Total Duration Tables Sup #1'!$B170)</f>
        <v>12.511732724768647</v>
      </c>
      <c r="D137" s="4">
        <f ca="1">$B137*('Updated Population'!D$136/'Updated Population'!$B$136)*('Total Duration Tables Sup #1'!D170/'Total Duration Tables Sup #1'!$B170)</f>
        <v>12.972125746604444</v>
      </c>
      <c r="E137" s="4">
        <f ca="1">$B137*('Updated Population'!E$136/'Updated Population'!$B$136)*('Total Duration Tables Sup #1'!E170/'Total Duration Tables Sup #1'!$B170)</f>
        <v>13.225078364459831</v>
      </c>
      <c r="F137" s="4">
        <f ca="1">$B137*('Updated Population'!F$136/'Updated Population'!$B$136)*('Total Duration Tables Sup #1'!F170/'Total Duration Tables Sup #1'!$B170)</f>
        <v>13.36171957390712</v>
      </c>
      <c r="G137" s="4">
        <f ca="1">$B137*('Updated Population'!G$136/'Updated Population'!$B$136)*('Total Duration Tables Sup #1'!G170/'Total Duration Tables Sup #1'!$B170)</f>
        <v>13.462304651270701</v>
      </c>
      <c r="H137" s="4">
        <f ca="1">$B137*('Updated Population'!H$136/'Updated Population'!$B$136)*('Total Duration Tables Sup #1'!H170/'Total Duration Tables Sup #1'!$B170)</f>
        <v>13.502211299452146</v>
      </c>
      <c r="I137" s="1">
        <f ca="1">$B137*('Updated Population'!I$136/'Updated Population'!$B$136)*('Total Duration Tables Sup #1'!I170/'Total Duration Tables Sup #1'!$B170)</f>
        <v>13.636945037292969</v>
      </c>
      <c r="J137" s="1">
        <f ca="1">$B137*('Updated Population'!J$136/'Updated Population'!$B$136)*('Total Duration Tables Sup #1'!J170/'Total Duration Tables Sup #1'!$B170)</f>
        <v>13.729181328810954</v>
      </c>
      <c r="K137" s="1">
        <f ca="1">$B137*('Updated Population'!K$136/'Updated Population'!$B$136)*('Total Duration Tables Sup #1'!K170/'Total Duration Tables Sup #1'!$B170)</f>
        <v>13.792337019698827</v>
      </c>
    </row>
    <row r="138" spans="1:11" x14ac:dyDescent="0.2">
      <c r="A138" t="str">
        <f ca="1">OFFSET(Otago_Reference,7,2)</f>
        <v>Cyclist</v>
      </c>
      <c r="B138" s="4">
        <f ca="1">OFFSET(Otago_Reference,7,7)</f>
        <v>1.6089304994</v>
      </c>
      <c r="C138" s="4">
        <f ca="1">$B138*('Updated Population'!C$136/'Updated Population'!$B$136)*('Total Duration Tables Sup #1'!C171/'Total Duration Tables Sup #1'!$B171)</f>
        <v>1.7605853117027694</v>
      </c>
      <c r="D138" s="4">
        <f ca="1">$B138*('Updated Population'!D$136/'Updated Population'!$B$136)*('Total Duration Tables Sup #1'!D171/'Total Duration Tables Sup #1'!$B171)</f>
        <v>1.8327949883201786</v>
      </c>
      <c r="E138" s="4">
        <f ca="1">$B138*('Updated Population'!E$136/'Updated Population'!$B$136)*('Total Duration Tables Sup #1'!E171/'Total Duration Tables Sup #1'!$B171)</f>
        <v>1.8544726337643223</v>
      </c>
      <c r="F138" s="4">
        <f ca="1">$B138*('Updated Population'!F$136/'Updated Population'!$B$136)*('Total Duration Tables Sup #1'!F171/'Total Duration Tables Sup #1'!$B171)</f>
        <v>1.8890310217283737</v>
      </c>
      <c r="G138" s="4">
        <f ca="1">$B138*('Updated Population'!G$136/'Updated Population'!$B$136)*('Total Duration Tables Sup #1'!G171/'Total Duration Tables Sup #1'!$B171)</f>
        <v>1.9417219689221266</v>
      </c>
      <c r="H138" s="4">
        <f ca="1">$B138*('Updated Population'!H$136/'Updated Population'!$B$136)*('Total Duration Tables Sup #1'!H171/'Total Duration Tables Sup #1'!$B171)</f>
        <v>1.9914044192246942</v>
      </c>
      <c r="I138" s="1">
        <f ca="1">$B138*('Updated Population'!I$136/'Updated Population'!$B$136)*('Total Duration Tables Sup #1'!I171/'Total Duration Tables Sup #1'!$B171)</f>
        <v>2.0112759317498883</v>
      </c>
      <c r="J138" s="1">
        <f ca="1">$B138*('Updated Population'!J$136/'Updated Population'!$B$136)*('Total Duration Tables Sup #1'!J171/'Total Duration Tables Sup #1'!$B171)</f>
        <v>2.02487961150783</v>
      </c>
      <c r="K138" s="1">
        <f ca="1">$B138*('Updated Population'!K$136/'Updated Population'!$B$136)*('Total Duration Tables Sup #1'!K171/'Total Duration Tables Sup #1'!$B171)</f>
        <v>2.0341942725765989</v>
      </c>
    </row>
    <row r="139" spans="1:11" x14ac:dyDescent="0.2">
      <c r="A139" t="str">
        <f ca="1">OFFSET(Otago_Reference,14,2)</f>
        <v>Light Vehicle Driver</v>
      </c>
      <c r="B139" s="4">
        <f ca="1">OFFSET(Otago_Reference,14,7)</f>
        <v>32.522387277</v>
      </c>
      <c r="C139" s="4">
        <f ca="1">$B139*('Updated Population'!C$136/'Updated Population'!$B$136)*('Total Duration Tables Sup #1'!C172/'Total Duration Tables Sup #1'!$B172)</f>
        <v>36.227602693017602</v>
      </c>
      <c r="D139" s="4">
        <f ca="1">$B139*('Updated Population'!D$136/'Updated Population'!$B$136)*('Total Duration Tables Sup #1'!D172/'Total Duration Tables Sup #1'!$B172)</f>
        <v>38.383250594642043</v>
      </c>
      <c r="E139" s="4">
        <f ca="1">$B139*('Updated Population'!E$136/'Updated Population'!$B$136)*('Total Duration Tables Sup #1'!E172/'Total Duration Tables Sup #1'!$B172)</f>
        <v>39.539062673306596</v>
      </c>
      <c r="F139" s="4">
        <f ca="1">$B139*('Updated Population'!F$136/'Updated Population'!$B$136)*('Total Duration Tables Sup #1'!F172/'Total Duration Tables Sup #1'!$B172)</f>
        <v>40.586872503636883</v>
      </c>
      <c r="G139" s="4">
        <f ca="1">$B139*('Updated Population'!G$136/'Updated Population'!$B$136)*('Total Duration Tables Sup #1'!G172/'Total Duration Tables Sup #1'!$B172)</f>
        <v>41.327459650550061</v>
      </c>
      <c r="H139" s="4">
        <f ca="1">$B139*('Updated Population'!H$136/'Updated Population'!$B$136)*('Total Duration Tables Sup #1'!H172/'Total Duration Tables Sup #1'!$B172)</f>
        <v>41.90929513006774</v>
      </c>
      <c r="I139" s="1">
        <f ca="1">$B139*('Updated Population'!I$136/'Updated Population'!$B$136)*('Total Duration Tables Sup #1'!I172/'Total Duration Tables Sup #1'!$B172)</f>
        <v>42.327492998395968</v>
      </c>
      <c r="J139" s="1">
        <f ca="1">$B139*('Updated Population'!J$136/'Updated Population'!$B$136)*('Total Duration Tables Sup #1'!J172/'Total Duration Tables Sup #1'!$B172)</f>
        <v>42.613783730869322</v>
      </c>
      <c r="K139" s="1">
        <f ca="1">$B139*('Updated Population'!K$136/'Updated Population'!$B$136)*('Total Duration Tables Sup #1'!K172/'Total Duration Tables Sup #1'!$B172)</f>
        <v>42.809811657692727</v>
      </c>
    </row>
    <row r="140" spans="1:11" x14ac:dyDescent="0.2">
      <c r="A140" t="str">
        <f ca="1">OFFSET(Otago_Reference,21,2)</f>
        <v>Light Vehicle Passenger</v>
      </c>
      <c r="B140" s="4">
        <f ca="1">OFFSET(Otago_Reference,21,7)</f>
        <v>19.901766343999999</v>
      </c>
      <c r="C140" s="4">
        <f ca="1">$B140*('Updated Population'!C$136/'Updated Population'!$B$136)*('Total Duration Tables Sup #1'!C173/'Total Duration Tables Sup #1'!$B173)</f>
        <v>21.153503113015155</v>
      </c>
      <c r="D140" s="4">
        <f ca="1">$B140*('Updated Population'!D$136/'Updated Population'!$B$136)*('Total Duration Tables Sup #1'!D173/'Total Duration Tables Sup #1'!$B173)</f>
        <v>21.815216865300744</v>
      </c>
      <c r="E140" s="4">
        <f ca="1">$B140*('Updated Population'!E$136/'Updated Population'!$B$136)*('Total Duration Tables Sup #1'!E173/'Total Duration Tables Sup #1'!$B173)</f>
        <v>22.108400341008434</v>
      </c>
      <c r="F140" s="4">
        <f ca="1">$B140*('Updated Population'!F$136/'Updated Population'!$B$136)*('Total Duration Tables Sup #1'!F173/'Total Duration Tables Sup #1'!$B173)</f>
        <v>22.300713850979495</v>
      </c>
      <c r="G140" s="4">
        <f ca="1">$B140*('Updated Population'!G$136/'Updated Population'!$B$136)*('Total Duration Tables Sup #1'!G173/'Total Duration Tables Sup #1'!$B173)</f>
        <v>22.407347592959979</v>
      </c>
      <c r="H140" s="4">
        <f ca="1">$B140*('Updated Population'!H$136/'Updated Population'!$B$136)*('Total Duration Tables Sup #1'!H173/'Total Duration Tables Sup #1'!$B173)</f>
        <v>22.400339040588456</v>
      </c>
      <c r="I140" s="1">
        <f ca="1">$B140*('Updated Population'!I$136/'Updated Population'!$B$136)*('Total Duration Tables Sup #1'!I173/'Total Duration Tables Sup #1'!$B173)</f>
        <v>22.623864012972994</v>
      </c>
      <c r="J140" s="1">
        <f ca="1">$B140*('Updated Population'!J$136/'Updated Population'!$B$136)*('Total Duration Tables Sup #1'!J173/'Total Duration Tables Sup #1'!$B173)</f>
        <v>22.776885185285209</v>
      </c>
      <c r="K140" s="1">
        <f ca="1">$B140*('Updated Population'!K$136/'Updated Population'!$B$136)*('Total Duration Tables Sup #1'!K173/'Total Duration Tables Sup #1'!$B173)</f>
        <v>22.881661273946207</v>
      </c>
    </row>
    <row r="141" spans="1:11" x14ac:dyDescent="0.2">
      <c r="A141" t="str">
        <f ca="1">OFFSET(Otago_Reference,28,2)</f>
        <v>Taxi/Vehicle Share</v>
      </c>
      <c r="B141" s="4">
        <f ca="1">OFFSET(Otago_Reference,28,7)</f>
        <v>0.23496676969999999</v>
      </c>
      <c r="C141" s="4">
        <f ca="1">$B141*('Updated Population'!C$136/'Updated Population'!$B$136)*('Total Duration Tables Sup #1'!C174/'Total Duration Tables Sup #1'!$B174)</f>
        <v>0.27266528107641569</v>
      </c>
      <c r="D141" s="4">
        <f ca="1">$B141*('Updated Population'!D$136/'Updated Population'!$B$136)*('Total Duration Tables Sup #1'!D174/'Total Duration Tables Sup #1'!$B174)</f>
        <v>0.30179246594072429</v>
      </c>
      <c r="E141" s="4">
        <f ca="1">$B141*('Updated Population'!E$136/'Updated Population'!$B$136)*('Total Duration Tables Sup #1'!E174/'Total Duration Tables Sup #1'!$B174)</f>
        <v>0.3266356319617455</v>
      </c>
      <c r="F141" s="4">
        <f ca="1">$B141*('Updated Population'!F$136/'Updated Population'!$B$136)*('Total Duration Tables Sup #1'!F174/'Total Duration Tables Sup #1'!$B174)</f>
        <v>0.34893412577763405</v>
      </c>
      <c r="G141" s="4">
        <f ca="1">$B141*('Updated Population'!G$136/'Updated Population'!$B$136)*('Total Duration Tables Sup #1'!G174/'Total Duration Tables Sup #1'!$B174)</f>
        <v>0.36621050245463976</v>
      </c>
      <c r="H141" s="4">
        <f ca="1">$B141*('Updated Population'!H$136/'Updated Population'!$B$136)*('Total Duration Tables Sup #1'!H174/'Total Duration Tables Sup #1'!$B174)</f>
        <v>0.38228999533553054</v>
      </c>
      <c r="I141" s="1">
        <f ca="1">$B141*('Updated Population'!I$136/'Updated Population'!$B$136)*('Total Duration Tables Sup #1'!I174/'Total Duration Tables Sup #1'!$B174)</f>
        <v>0.38610473048286142</v>
      </c>
      <c r="J141" s="1">
        <f ca="1">$B141*('Updated Population'!J$136/'Updated Population'!$B$136)*('Total Duration Tables Sup #1'!J174/'Total Duration Tables Sup #1'!$B174)</f>
        <v>0.38871622949381285</v>
      </c>
      <c r="K141" s="1">
        <f ca="1">$B141*('Updated Population'!K$136/'Updated Population'!$B$136)*('Total Duration Tables Sup #1'!K174/'Total Duration Tables Sup #1'!$B174)</f>
        <v>0.39050436539536826</v>
      </c>
    </row>
    <row r="142" spans="1:11" x14ac:dyDescent="0.2">
      <c r="A142" t="str">
        <f ca="1">OFFSET(Otago_Reference,35,2)</f>
        <v>Motorcyclist</v>
      </c>
      <c r="B142" s="4">
        <f ca="1">OFFSET(Otago_Reference,35,7)</f>
        <v>0.42545310469999997</v>
      </c>
      <c r="C142" s="4">
        <f ca="1">$B142*('Updated Population'!C$136/'Updated Population'!$B$136)*('Total Duration Tables Sup #1'!C175/'Total Duration Tables Sup #1'!$B175)</f>
        <v>0.46533808690908074</v>
      </c>
      <c r="D142" s="4">
        <f ca="1">$B142*('Updated Population'!D$136/'Updated Population'!$B$136)*('Total Duration Tables Sup #1'!D175/'Total Duration Tables Sup #1'!$B175)</f>
        <v>0.48637920237945309</v>
      </c>
      <c r="E142" s="4">
        <f ca="1">$B142*('Updated Population'!E$136/'Updated Population'!$B$136)*('Total Duration Tables Sup #1'!E175/'Total Duration Tables Sup #1'!$B175)</f>
        <v>0.49227188106240155</v>
      </c>
      <c r="F142" s="4">
        <f ca="1">$B142*('Updated Population'!F$136/'Updated Population'!$B$136)*('Total Duration Tables Sup #1'!F175/'Total Duration Tables Sup #1'!$B175)</f>
        <v>0.49692697826832288</v>
      </c>
      <c r="G142" s="4">
        <f ca="1">$B142*('Updated Population'!G$136/'Updated Population'!$B$136)*('Total Duration Tables Sup #1'!G175/'Total Duration Tables Sup #1'!$B175)</f>
        <v>0.49504768480068423</v>
      </c>
      <c r="H142" s="4">
        <f ca="1">$B142*('Updated Population'!H$136/'Updated Population'!$B$136)*('Total Duration Tables Sup #1'!H175/'Total Duration Tables Sup #1'!$B175)</f>
        <v>0.49074288996182247</v>
      </c>
      <c r="I142" s="1">
        <f ca="1">$B142*('Updated Population'!I$136/'Updated Population'!$B$136)*('Total Duration Tables Sup #1'!I175/'Total Duration Tables Sup #1'!$B175)</f>
        <v>0.49563983775925824</v>
      </c>
      <c r="J142" s="1">
        <f ca="1">$B142*('Updated Population'!J$136/'Updated Population'!$B$136)*('Total Duration Tables Sup #1'!J175/'Total Duration Tables Sup #1'!$B175)</f>
        <v>0.49899220006903289</v>
      </c>
      <c r="K142" s="1">
        <f ca="1">$B142*('Updated Population'!K$136/'Updated Population'!$B$136)*('Total Duration Tables Sup #1'!K175/'Total Duration Tables Sup #1'!$B175)</f>
        <v>0.50128761713639192</v>
      </c>
    </row>
    <row r="143" spans="1:11" x14ac:dyDescent="0.2">
      <c r="A143" t="str">
        <f ca="1">OFFSET(Canterbury_Reference,42,2)</f>
        <v>Local Train</v>
      </c>
      <c r="B143" s="4">
        <v>0</v>
      </c>
      <c r="C143" s="4">
        <f ca="1">$B143*('Updated Population'!C$136/'Updated Population'!$B$136)*('Total Duration Tables Sup #1'!C176/'Total Duration Tables Sup #1'!$B176)</f>
        <v>0</v>
      </c>
      <c r="D143" s="4">
        <f ca="1">$B143*('Updated Population'!D$136/'Updated Population'!$B$136)*('Total Duration Tables Sup #1'!D176/'Total Duration Tables Sup #1'!$B176)</f>
        <v>0</v>
      </c>
      <c r="E143" s="4">
        <f ca="1">$B143*('Updated Population'!E$136/'Updated Population'!$B$136)*('Total Duration Tables Sup #1'!E176/'Total Duration Tables Sup #1'!$B176)</f>
        <v>0</v>
      </c>
      <c r="F143" s="4">
        <f ca="1">$B143*('Updated Population'!F$136/'Updated Population'!$B$136)*('Total Duration Tables Sup #1'!F176/'Total Duration Tables Sup #1'!$B176)</f>
        <v>0</v>
      </c>
      <c r="G143" s="4">
        <f ca="1">$B143*('Updated Population'!G$136/'Updated Population'!$B$136)*('Total Duration Tables Sup #1'!G176/'Total Duration Tables Sup #1'!$B176)</f>
        <v>0</v>
      </c>
      <c r="H143" s="4">
        <f ca="1">$B143*('Updated Population'!H$136/'Updated Population'!$B$136)*('Total Duration Tables Sup #1'!H176/'Total Duration Tables Sup #1'!$B176)</f>
        <v>0</v>
      </c>
      <c r="I143" s="1">
        <f ca="1">$B143*('Updated Population'!I$136/'Updated Population'!$B$136)*('Total Duration Tables Sup #1'!I176/'Total Duration Tables Sup #1'!$B176)</f>
        <v>0</v>
      </c>
      <c r="J143" s="1">
        <f ca="1">$B143*('Updated Population'!J$136/'Updated Population'!$B$136)*('Total Duration Tables Sup #1'!J176/'Total Duration Tables Sup #1'!$B176)</f>
        <v>0</v>
      </c>
      <c r="K143" s="1">
        <f ca="1">$B143*('Updated Population'!K$136/'Updated Population'!$B$136)*('Total Duration Tables Sup #1'!K176/'Total Duration Tables Sup #1'!$B176)</f>
        <v>0</v>
      </c>
    </row>
    <row r="144" spans="1:11" x14ac:dyDescent="0.2">
      <c r="A144" t="str">
        <f ca="1">OFFSET(Otago_Reference,42,2)</f>
        <v>Local Bus</v>
      </c>
      <c r="B144" s="4">
        <f ca="1">OFFSET(Otago_Reference,42,7)</f>
        <v>1.347401772</v>
      </c>
      <c r="C144" s="4">
        <f ca="1">$B144*('Updated Population'!C$136/'Updated Population'!$B$136)*('Total Duration Tables Sup #1'!C177/'Total Duration Tables Sup #1'!$B177)</f>
        <v>1.3433265201449303</v>
      </c>
      <c r="D144" s="4">
        <f ca="1">$B144*('Updated Population'!D$136/'Updated Population'!$B$136)*('Total Duration Tables Sup #1'!D177/'Total Duration Tables Sup #1'!$B177)</f>
        <v>1.3288668242280544</v>
      </c>
      <c r="E144" s="4">
        <f ca="1">$B144*('Updated Population'!E$136/'Updated Population'!$B$136)*('Total Duration Tables Sup #1'!E177/'Total Duration Tables Sup #1'!$B177)</f>
        <v>1.3128927656976501</v>
      </c>
      <c r="F144" s="4">
        <f ca="1">$B144*('Updated Population'!F$136/'Updated Population'!$B$136)*('Total Duration Tables Sup #1'!F177/'Total Duration Tables Sup #1'!$B177)</f>
        <v>1.2833677189651105</v>
      </c>
      <c r="G144" s="4">
        <f ca="1">$B144*('Updated Population'!G$136/'Updated Population'!$B$136)*('Total Duration Tables Sup #1'!G177/'Total Duration Tables Sup #1'!$B177)</f>
        <v>1.2640576124789109</v>
      </c>
      <c r="H144" s="4">
        <f ca="1">$B144*('Updated Population'!H$136/'Updated Population'!$B$136)*('Total Duration Tables Sup #1'!H177/'Total Duration Tables Sup #1'!$B177)</f>
        <v>1.2390789036528138</v>
      </c>
      <c r="I144" s="1">
        <f ca="1">$B144*('Updated Population'!I$136/'Updated Population'!$B$136)*('Total Duration Tables Sup #1'!I177/'Total Duration Tables Sup #1'!$B177)</f>
        <v>1.2514432289078652</v>
      </c>
      <c r="J144" s="1">
        <f ca="1">$B144*('Updated Population'!J$136/'Updated Population'!$B$136)*('Total Duration Tables Sup #1'!J177/'Total Duration Tables Sup #1'!$B177)</f>
        <v>1.259907623401213</v>
      </c>
      <c r="K144" s="1">
        <f ca="1">$B144*('Updated Population'!K$136/'Updated Population'!$B$136)*('Total Duration Tables Sup #1'!K177/'Total Duration Tables Sup #1'!$B177)</f>
        <v>1.2657033321550788</v>
      </c>
    </row>
    <row r="145" spans="1:11" x14ac:dyDescent="0.2">
      <c r="A145" t="str">
        <f ca="1">OFFSET(Wellington_Reference,56,2)</f>
        <v>Local Ferry</v>
      </c>
      <c r="B145" s="4">
        <v>0</v>
      </c>
      <c r="C145" s="4">
        <f ca="1">$B145*('Updated Population'!C$136/'Updated Population'!$B$136)*('Total Duration Tables Sup #1'!C178/'Total Duration Tables Sup #1'!$B178)</f>
        <v>0</v>
      </c>
      <c r="D145" s="4">
        <f ca="1">$B145*('Updated Population'!D$136/'Updated Population'!$B$136)*('Total Duration Tables Sup #1'!D178/'Total Duration Tables Sup #1'!$B178)</f>
        <v>0</v>
      </c>
      <c r="E145" s="4">
        <f ca="1">$B145*('Updated Population'!E$136/'Updated Population'!$B$136)*('Total Duration Tables Sup #1'!E178/'Total Duration Tables Sup #1'!$B178)</f>
        <v>0</v>
      </c>
      <c r="F145" s="4">
        <f ca="1">$B145*('Updated Population'!F$136/'Updated Population'!$B$136)*('Total Duration Tables Sup #1'!F178/'Total Duration Tables Sup #1'!$B178)</f>
        <v>0</v>
      </c>
      <c r="G145" s="4">
        <f ca="1">$B145*('Updated Population'!G$136/'Updated Population'!$B$136)*('Total Duration Tables Sup #1'!G178/'Total Duration Tables Sup #1'!$B178)</f>
        <v>0</v>
      </c>
      <c r="H145" s="4">
        <f ca="1">$B145*('Updated Population'!H$136/'Updated Population'!$B$136)*('Total Duration Tables Sup #1'!H178/'Total Duration Tables Sup #1'!$B178)</f>
        <v>0</v>
      </c>
      <c r="I145" s="1">
        <f ca="1">$B145*('Updated Population'!I$136/'Updated Population'!$B$136)*('Total Duration Tables Sup #1'!I178/'Total Duration Tables Sup #1'!$B178)</f>
        <v>0</v>
      </c>
      <c r="J145" s="1">
        <f ca="1">$B145*('Updated Population'!J$136/'Updated Population'!$B$136)*('Total Duration Tables Sup #1'!J178/'Total Duration Tables Sup #1'!$B178)</f>
        <v>0</v>
      </c>
      <c r="K145" s="1">
        <f ca="1">$B145*('Updated Population'!K$136/'Updated Population'!$B$136)*('Total Duration Tables Sup #1'!K178/'Total Duration Tables Sup #1'!$B178)</f>
        <v>0</v>
      </c>
    </row>
    <row r="146" spans="1:11" x14ac:dyDescent="0.2">
      <c r="A146" t="str">
        <f ca="1">OFFSET(Otago_Reference,49,2)</f>
        <v>Other Household Travel</v>
      </c>
      <c r="B146" s="4">
        <f ca="1">OFFSET(Otago_Reference,49,7)</f>
        <v>0.25154479130000001</v>
      </c>
      <c r="C146" s="4">
        <f ca="1">$B146*('Updated Population'!C$136/'Updated Population'!$B$136)*('Total Duration Tables Sup #1'!C179/'Total Duration Tables Sup #1'!$B179)</f>
        <v>0.27996159894538497</v>
      </c>
      <c r="D146" s="4">
        <f ca="1">$B146*('Updated Population'!D$136/'Updated Population'!$B$136)*('Total Duration Tables Sup #1'!D179/'Total Duration Tables Sup #1'!$B179)</f>
        <v>0.29914206020356476</v>
      </c>
      <c r="E146" s="4">
        <f ca="1">$B146*('Updated Population'!E$136/'Updated Population'!$B$136)*('Total Duration Tables Sup #1'!E179/'Total Duration Tables Sup #1'!$B179)</f>
        <v>0.3088176068521572</v>
      </c>
      <c r="F146" s="4">
        <f ca="1">$B146*('Updated Population'!F$136/'Updated Population'!$B$136)*('Total Duration Tables Sup #1'!F179/'Total Duration Tables Sup #1'!$B179)</f>
        <v>0.31730392013588843</v>
      </c>
      <c r="G146" s="4">
        <f ca="1">$B146*('Updated Population'!G$136/'Updated Population'!$B$136)*('Total Duration Tables Sup #1'!G179/'Total Duration Tables Sup #1'!$B179)</f>
        <v>0.32839607471924132</v>
      </c>
      <c r="H146" s="4">
        <f ca="1">$B146*('Updated Population'!H$136/'Updated Population'!$B$136)*('Total Duration Tables Sup #1'!H179/'Total Duration Tables Sup #1'!$B179)</f>
        <v>0.33799267345540951</v>
      </c>
      <c r="I146" s="1">
        <f ca="1">$B146*('Updated Population'!I$136/'Updated Population'!$B$136)*('Total Duration Tables Sup #1'!I179/'Total Duration Tables Sup #1'!$B179)</f>
        <v>0.34136538146948925</v>
      </c>
      <c r="J146" s="1">
        <f ca="1">$B146*('Updated Population'!J$136/'Updated Population'!$B$136)*('Total Duration Tables Sup #1'!J179/'Total Duration Tables Sup #1'!$B179)</f>
        <v>0.34367427666216344</v>
      </c>
      <c r="K146" s="1">
        <f ca="1">$B146*('Updated Population'!K$136/'Updated Population'!$B$136)*('Total Duration Tables Sup #1'!K179/'Total Duration Tables Sup #1'!$B179)</f>
        <v>0.34525521480138371</v>
      </c>
    </row>
    <row r="147" spans="1:11" x14ac:dyDescent="0.2">
      <c r="A147" t="str">
        <f ca="1">OFFSET(Southland_Reference,0,0)</f>
        <v>15 SOUTHLAND</v>
      </c>
      <c r="I147" s="1"/>
      <c r="J147" s="1"/>
      <c r="K147" s="1"/>
    </row>
    <row r="148" spans="1:11" x14ac:dyDescent="0.2">
      <c r="A148" t="str">
        <f ca="1">OFFSET(Southland_Reference,0,2)</f>
        <v>Pedestrian</v>
      </c>
      <c r="B148" s="4">
        <f ca="1">OFFSET(Southland_Reference,0,7)</f>
        <v>2.2528617661000001</v>
      </c>
      <c r="C148" s="4">
        <f ca="1">$B148*('Updated Population'!C$147/'Updated Population'!$B$147)*('Total Duration Tables Sup #1'!C170/'Total Duration Tables Sup #1'!$B170)</f>
        <v>2.3116031900464526</v>
      </c>
      <c r="D148" s="4">
        <f ca="1">$B148*('Updated Population'!D$147/'Updated Population'!$B$147)*('Total Duration Tables Sup #1'!D170/'Total Duration Tables Sup #1'!$B170)</f>
        <v>2.3138825801025353</v>
      </c>
      <c r="E148" s="4">
        <f ca="1">$B148*('Updated Population'!E$147/'Updated Population'!$B$147)*('Total Duration Tables Sup #1'!E170/'Total Duration Tables Sup #1'!$B170)</f>
        <v>2.3053376900129225</v>
      </c>
      <c r="F148" s="4">
        <f ca="1">$B148*('Updated Population'!F$147/'Updated Population'!$B$147)*('Total Duration Tables Sup #1'!F170/'Total Duration Tables Sup #1'!$B170)</f>
        <v>2.2766260775298286</v>
      </c>
      <c r="G148" s="4">
        <f ca="1">$B148*('Updated Population'!G$147/'Updated Population'!$B$147)*('Total Duration Tables Sup #1'!G170/'Total Duration Tables Sup #1'!$B170)</f>
        <v>2.2403829794608181</v>
      </c>
      <c r="H148" s="4">
        <f ca="1">$B148*('Updated Population'!H$147/'Updated Population'!$B$147)*('Total Duration Tables Sup #1'!H170/'Total Duration Tables Sup #1'!$B170)</f>
        <v>2.1950206401881962</v>
      </c>
      <c r="I148" s="1">
        <f ca="1">$B148*('Updated Population'!I$147/'Updated Population'!$B$147)*('Total Duration Tables Sup #1'!I170/'Total Duration Tables Sup #1'!$B170)</f>
        <v>2.1656170222070479</v>
      </c>
      <c r="J148" s="1">
        <f ca="1">$B148*('Updated Population'!J$147/'Updated Population'!$B$147)*('Total Duration Tables Sup #1'!J170/'Total Duration Tables Sup #1'!$B170)</f>
        <v>2.1298060941945676</v>
      </c>
      <c r="K148" s="1">
        <f ca="1">$B148*('Updated Population'!K$147/'Updated Population'!$B$147)*('Total Duration Tables Sup #1'!K170/'Total Duration Tables Sup #1'!$B170)</f>
        <v>2.0900859369285008</v>
      </c>
    </row>
    <row r="149" spans="1:11" x14ac:dyDescent="0.2">
      <c r="A149" t="str">
        <f ca="1">OFFSET(Southland_Reference,7,2)</f>
        <v>Cyclist</v>
      </c>
      <c r="B149" s="4">
        <f ca="1">OFFSET(Southland_Reference,7,7)</f>
        <v>0.50294231479999996</v>
      </c>
      <c r="C149" s="4">
        <f ca="1">$B149*('Updated Population'!C$147/'Updated Population'!$B$147)*('Total Duration Tables Sup #1'!C171/'Total Duration Tables Sup #1'!$B171)</f>
        <v>0.52587795094490575</v>
      </c>
      <c r="D149" s="4">
        <f ca="1">$B149*('Updated Population'!D$147/'Updated Population'!$B$147)*('Total Duration Tables Sup #1'!D171/'Total Duration Tables Sup #1'!$B171)</f>
        <v>0.52853787751672077</v>
      </c>
      <c r="E149" s="4">
        <f ca="1">$B149*('Updated Population'!E$147/'Updated Population'!$B$147)*('Total Duration Tables Sup #1'!E171/'Total Duration Tables Sup #1'!$B171)</f>
        <v>0.5226233223836545</v>
      </c>
      <c r="F149" s="4">
        <f ca="1">$B149*('Updated Population'!F$147/'Updated Population'!$B$147)*('Total Duration Tables Sup #1'!F171/'Total Duration Tables Sup #1'!$B171)</f>
        <v>0.52035592543515663</v>
      </c>
      <c r="G149" s="4">
        <f ca="1">$B149*('Updated Population'!G$147/'Updated Population'!$B$147)*('Total Duration Tables Sup #1'!G171/'Total Duration Tables Sup #1'!$B171)</f>
        <v>0.52242259922138223</v>
      </c>
      <c r="H149" s="4">
        <f ca="1">$B149*('Updated Population'!H$147/'Updated Population'!$B$147)*('Total Duration Tables Sup #1'!H171/'Total Duration Tables Sup #1'!$B171)</f>
        <v>0.5233897773343037</v>
      </c>
      <c r="I149" s="1">
        <f ca="1">$B149*('Updated Population'!I$147/'Updated Population'!$B$147)*('Total Duration Tables Sup #1'!I171/'Total Duration Tables Sup #1'!$B171)</f>
        <v>0.51637865735382971</v>
      </c>
      <c r="J149" s="1">
        <f ca="1">$B149*('Updated Population'!J$147/'Updated Population'!$B$147)*('Total Duration Tables Sup #1'!J171/'Total Duration Tables Sup #1'!$B171)</f>
        <v>0.50783975193516373</v>
      </c>
      <c r="K149" s="1">
        <f ca="1">$B149*('Updated Population'!K$147/'Updated Population'!$B$147)*('Total Duration Tables Sup #1'!K171/'Total Duration Tables Sup #1'!$B171)</f>
        <v>0.49836871376515907</v>
      </c>
    </row>
    <row r="150" spans="1:11" x14ac:dyDescent="0.2">
      <c r="A150" t="str">
        <f ca="1">OFFSET(Southland_Reference,14,2)</f>
        <v>Light Vehicle Driver</v>
      </c>
      <c r="B150" s="4">
        <f ca="1">OFFSET(Southland_Reference,14,7)</f>
        <v>14.603785903</v>
      </c>
      <c r="C150" s="4">
        <f ca="1">$B150*('Updated Population'!C$147/'Updated Population'!$B$147)*('Total Duration Tables Sup #1'!C172/'Total Duration Tables Sup #1'!$B172)</f>
        <v>15.544244985974682</v>
      </c>
      <c r="D150" s="4">
        <f ca="1">$B150*('Updated Population'!D$147/'Updated Population'!$B$147)*('Total Duration Tables Sup #1'!D172/'Total Duration Tables Sup #1'!$B172)</f>
        <v>15.900329620823221</v>
      </c>
      <c r="E150" s="4">
        <f ca="1">$B150*('Updated Population'!E$147/'Updated Population'!$B$147)*('Total Duration Tables Sup #1'!E172/'Total Duration Tables Sup #1'!$B172)</f>
        <v>16.006518302578762</v>
      </c>
      <c r="F150" s="4">
        <f ca="1">$B150*('Updated Population'!F$147/'Updated Population'!$B$147)*('Total Duration Tables Sup #1'!F172/'Total Duration Tables Sup #1'!$B172)</f>
        <v>16.060133462122764</v>
      </c>
      <c r="G150" s="4">
        <f ca="1">$B150*('Updated Population'!G$147/'Updated Population'!$B$147)*('Total Duration Tables Sup #1'!G172/'Total Duration Tables Sup #1'!$B172)</f>
        <v>15.972605679007199</v>
      </c>
      <c r="H150" s="4">
        <f ca="1">$B150*('Updated Population'!H$147/'Updated Population'!$B$147)*('Total Duration Tables Sup #1'!H172/'Total Duration Tables Sup #1'!$B172)</f>
        <v>15.822615488497473</v>
      </c>
      <c r="I150" s="1">
        <f ca="1">$B150*('Updated Population'!I$147/'Updated Population'!$B$147)*('Total Duration Tables Sup #1'!I172/'Total Duration Tables Sup #1'!$B172)</f>
        <v>15.610662064111223</v>
      </c>
      <c r="J150" s="1">
        <f ca="1">$B150*('Updated Population'!J$147/'Updated Population'!$B$147)*('Total Duration Tables Sup #1'!J172/'Total Duration Tables Sup #1'!$B172)</f>
        <v>15.352522102302412</v>
      </c>
      <c r="K150" s="1">
        <f ca="1">$B150*('Updated Population'!K$147/'Updated Population'!$B$147)*('Total Duration Tables Sup #1'!K172/'Total Duration Tables Sup #1'!$B172)</f>
        <v>15.066202801218418</v>
      </c>
    </row>
    <row r="151" spans="1:11" x14ac:dyDescent="0.2">
      <c r="A151" t="str">
        <f ca="1">OFFSET(Southland_Reference,21,2)</f>
        <v>Light Vehicle Passenger</v>
      </c>
      <c r="B151" s="4">
        <f ca="1">OFFSET(Southland_Reference,21,7)</f>
        <v>7.5859087797999996</v>
      </c>
      <c r="C151" s="4">
        <f ca="1">$B151*('Updated Population'!C$147/'Updated Population'!$B$147)*('Total Duration Tables Sup #1'!C173/'Total Duration Tables Sup #1'!$B173)</f>
        <v>7.7045146891297476</v>
      </c>
      <c r="D151" s="4">
        <f ca="1">$B151*('Updated Population'!D$147/'Updated Population'!$B$147)*('Total Duration Tables Sup #1'!D173/'Total Duration Tables Sup #1'!$B173)</f>
        <v>7.6710862078243078</v>
      </c>
      <c r="E151" s="4">
        <f ca="1">$B151*('Updated Population'!E$147/'Updated Population'!$B$147)*('Total Duration Tables Sup #1'!E173/'Total Duration Tables Sup #1'!$B173)</f>
        <v>7.5973262888237523</v>
      </c>
      <c r="F151" s="4">
        <f ca="1">$B151*('Updated Population'!F$147/'Updated Population'!$B$147)*('Total Duration Tables Sup #1'!F173/'Total Duration Tables Sup #1'!$B173)</f>
        <v>7.4905771339285963</v>
      </c>
      <c r="G151" s="4">
        <f ca="1">$B151*('Updated Population'!G$147/'Updated Population'!$B$147)*('Total Duration Tables Sup #1'!G173/'Total Duration Tables Sup #1'!$B173)</f>
        <v>7.3512376613012824</v>
      </c>
      <c r="H151" s="4">
        <f ca="1">$B151*('Updated Population'!H$147/'Updated Population'!$B$147)*('Total Duration Tables Sup #1'!H173/'Total Duration Tables Sup #1'!$B173)</f>
        <v>7.1788596372161662</v>
      </c>
      <c r="I151" s="1">
        <f ca="1">$B151*('Updated Population'!I$147/'Updated Population'!$B$147)*('Total Duration Tables Sup #1'!I173/'Total Duration Tables Sup #1'!$B173)</f>
        <v>7.0826945067165763</v>
      </c>
      <c r="J151" s="1">
        <f ca="1">$B151*('Updated Population'!J$147/'Updated Population'!$B$147)*('Total Duration Tables Sup #1'!J173/'Total Duration Tables Sup #1'!$B173)</f>
        <v>6.9655741384734764</v>
      </c>
      <c r="K151" s="1">
        <f ca="1">$B151*('Updated Population'!K$147/'Updated Population'!$B$147)*('Total Duration Tables Sup #1'!K173/'Total Duration Tables Sup #1'!$B173)</f>
        <v>6.8356685564663753</v>
      </c>
    </row>
    <row r="152" spans="1:11" x14ac:dyDescent="0.2">
      <c r="A152" t="str">
        <f ca="1">OFFSET(Southland_Reference,28,2)</f>
        <v>Taxi/Vehicle Share</v>
      </c>
      <c r="B152" s="4">
        <f ca="1">OFFSET(Southland_Reference,28,7)</f>
        <v>6.6688903300000005E-2</v>
      </c>
      <c r="C152" s="4">
        <f ca="1">$B152*('Updated Population'!C$147/'Updated Population'!$B$147)*('Total Duration Tables Sup #1'!C174/'Total Duration Tables Sup #1'!$B174)</f>
        <v>7.3947580203699306E-2</v>
      </c>
      <c r="D152" s="4">
        <f ca="1">$B152*('Updated Population'!D$147/'Updated Population'!$B$147)*('Total Duration Tables Sup #1'!D174/'Total Duration Tables Sup #1'!$B174)</f>
        <v>7.9019969678278207E-2</v>
      </c>
      <c r="E152" s="4">
        <f ca="1">$B152*('Updated Population'!E$147/'Updated Population'!$B$147)*('Total Duration Tables Sup #1'!E174/'Total Duration Tables Sup #1'!$B174)</f>
        <v>8.3579189268710372E-2</v>
      </c>
      <c r="F152" s="4">
        <f ca="1">$B152*('Updated Population'!F$147/'Updated Population'!$B$147)*('Total Duration Tables Sup #1'!F174/'Total Duration Tables Sup #1'!$B174)</f>
        <v>8.7271230053244914E-2</v>
      </c>
      <c r="G152" s="4">
        <f ca="1">$B152*('Updated Population'!G$147/'Updated Population'!$B$147)*('Total Duration Tables Sup #1'!G174/'Total Duration Tables Sup #1'!$B174)</f>
        <v>8.9460628250222496E-2</v>
      </c>
      <c r="H152" s="4">
        <f ca="1">$B152*('Updated Population'!H$147/'Updated Population'!$B$147)*('Total Duration Tables Sup #1'!H174/'Total Duration Tables Sup #1'!$B174)</f>
        <v>9.1227324715316735E-2</v>
      </c>
      <c r="I152" s="1">
        <f ca="1">$B152*('Updated Population'!I$147/'Updated Population'!$B$147)*('Total Duration Tables Sup #1'!I174/'Total Duration Tables Sup #1'!$B174)</f>
        <v>9.0005279985413231E-2</v>
      </c>
      <c r="J152" s="1">
        <f ca="1">$B152*('Updated Population'!J$147/'Updated Population'!$B$147)*('Total Duration Tables Sup #1'!J174/'Total Duration Tables Sup #1'!$B174)</f>
        <v>8.8516940833453711E-2</v>
      </c>
      <c r="K152" s="1">
        <f ca="1">$B152*('Updated Population'!K$147/'Updated Population'!$B$147)*('Total Duration Tables Sup #1'!K174/'Total Duration Tables Sup #1'!$B174)</f>
        <v>8.6866130076455883E-2</v>
      </c>
    </row>
    <row r="153" spans="1:11" x14ac:dyDescent="0.2">
      <c r="A153" t="str">
        <f ca="1">OFFSET(Southland_Reference,35,2)</f>
        <v>Motorcyclist</v>
      </c>
      <c r="B153" s="4">
        <f ca="1">OFFSET(Southland_Reference,35,7)</f>
        <v>0.2609239458</v>
      </c>
      <c r="C153" s="4">
        <f ca="1">$B153*('Updated Population'!C$147/'Updated Population'!$B$147)*('Total Duration Tables Sup #1'!C175/'Total Duration Tables Sup #1'!$B175)</f>
        <v>0.27269541514022411</v>
      </c>
      <c r="D153" s="4">
        <f ca="1">$B153*('Updated Population'!D$147/'Updated Population'!$B$147)*('Total Duration Tables Sup #1'!D175/'Total Duration Tables Sup #1'!$B175)</f>
        <v>0.27518108092188098</v>
      </c>
      <c r="E153" s="4">
        <f ca="1">$B153*('Updated Population'!E$147/'Updated Population'!$B$147)*('Total Duration Tables Sup #1'!E175/'Total Duration Tables Sup #1'!$B175)</f>
        <v>0.27217907587638052</v>
      </c>
      <c r="F153" s="4">
        <f ca="1">$B153*('Updated Population'!F$147/'Updated Population'!$B$147)*('Total Duration Tables Sup #1'!F175/'Total Duration Tables Sup #1'!$B175)</f>
        <v>0.26855629579004769</v>
      </c>
      <c r="G153" s="4">
        <f ca="1">$B153*('Updated Population'!G$147/'Updated Population'!$B$147)*('Total Duration Tables Sup #1'!G175/'Total Duration Tables Sup #1'!$B175)</f>
        <v>0.26131437038103111</v>
      </c>
      <c r="H153" s="4">
        <f ca="1">$B153*('Updated Population'!H$147/'Updated Population'!$B$147)*('Total Duration Tables Sup #1'!H175/'Total Duration Tables Sup #1'!$B175)</f>
        <v>0.25304696556728956</v>
      </c>
      <c r="I153" s="1">
        <f ca="1">$B153*('Updated Population'!I$147/'Updated Population'!$B$147)*('Total Duration Tables Sup #1'!I175/'Total Duration Tables Sup #1'!$B175)</f>
        <v>0.24965724969373335</v>
      </c>
      <c r="J153" s="1">
        <f ca="1">$B153*('Updated Population'!J$147/'Updated Population'!$B$147)*('Total Duration Tables Sup #1'!J175/'Total Duration Tables Sup #1'!$B175)</f>
        <v>0.24552888456504388</v>
      </c>
      <c r="K153" s="1">
        <f ca="1">$B153*('Updated Population'!K$147/'Updated Population'!$B$147)*('Total Duration Tables Sup #1'!K175/'Total Duration Tables Sup #1'!$B175)</f>
        <v>0.2409498546078713</v>
      </c>
    </row>
    <row r="154" spans="1:11" x14ac:dyDescent="0.2">
      <c r="A154" t="str">
        <f ca="1">OFFSET(Canterbury_Reference,42,2)</f>
        <v>Local Train</v>
      </c>
      <c r="B154" s="4">
        <v>0</v>
      </c>
      <c r="C154" s="4">
        <f ca="1">$B154*('Updated Population'!C$147/'Updated Population'!$B$147)*('Total Duration Tables Sup #1'!C176/'Total Duration Tables Sup #1'!$B176)</f>
        <v>0</v>
      </c>
      <c r="D154" s="4">
        <f ca="1">$B154*('Updated Population'!D$147/'Updated Population'!$B$147)*('Total Duration Tables Sup #1'!D176/'Total Duration Tables Sup #1'!$B176)</f>
        <v>0</v>
      </c>
      <c r="E154" s="4">
        <f ca="1">$B154*('Updated Population'!E$147/'Updated Population'!$B$147)*('Total Duration Tables Sup #1'!E176/'Total Duration Tables Sup #1'!$B176)</f>
        <v>0</v>
      </c>
      <c r="F154" s="4">
        <f ca="1">$B154*('Updated Population'!F$147/'Updated Population'!$B$147)*('Total Duration Tables Sup #1'!F176/'Total Duration Tables Sup #1'!$B176)</f>
        <v>0</v>
      </c>
      <c r="G154" s="4">
        <f ca="1">$B154*('Updated Population'!G$147/'Updated Population'!$B$147)*('Total Duration Tables Sup #1'!G176/'Total Duration Tables Sup #1'!$B176)</f>
        <v>0</v>
      </c>
      <c r="H154" s="4">
        <f ca="1">$B154*('Updated Population'!H$147/'Updated Population'!$B$147)*('Total Duration Tables Sup #1'!H176/'Total Duration Tables Sup #1'!$B176)</f>
        <v>0</v>
      </c>
      <c r="I154" s="1">
        <f ca="1">$B154*('Updated Population'!I$147/'Updated Population'!$B$147)*('Total Duration Tables Sup #1'!I176/'Total Duration Tables Sup #1'!$B176)</f>
        <v>0</v>
      </c>
      <c r="J154" s="1">
        <f ca="1">$B154*('Updated Population'!J$147/'Updated Population'!$B$147)*('Total Duration Tables Sup #1'!J176/'Total Duration Tables Sup #1'!$B176)</f>
        <v>0</v>
      </c>
      <c r="K154" s="1">
        <f ca="1">$B154*('Updated Population'!K$147/'Updated Population'!$B$147)*('Total Duration Tables Sup #1'!K176/'Total Duration Tables Sup #1'!$B176)</f>
        <v>0</v>
      </c>
    </row>
    <row r="155" spans="1:11" x14ac:dyDescent="0.2">
      <c r="A155" t="str">
        <f ca="1">OFFSET(Southland_Reference,42,2)</f>
        <v>Local Bus</v>
      </c>
      <c r="B155" s="4">
        <f ca="1">OFFSET(Southland_Reference,42,7)</f>
        <v>1.2152660816</v>
      </c>
      <c r="C155" s="4">
        <f ca="1">$B155*('Updated Population'!C$147/'Updated Population'!$B$147)*('Total Duration Tables Sup #1'!C177/'Total Duration Tables Sup #1'!$B177)</f>
        <v>1.1577181640622982</v>
      </c>
      <c r="D155" s="4">
        <f ca="1">$B155*('Updated Population'!D$147/'Updated Population'!$B$147)*('Total Duration Tables Sup #1'!D177/'Total Duration Tables Sup #1'!$B177)</f>
        <v>1.1056993585011705</v>
      </c>
      <c r="E155" s="4">
        <f ca="1">$B155*('Updated Population'!E$147/'Updated Population'!$B$147)*('Total Duration Tables Sup #1'!E177/'Total Duration Tables Sup #1'!$B177)</f>
        <v>1.0675567812741005</v>
      </c>
      <c r="F155" s="4">
        <f ca="1">$B155*('Updated Population'!F$147/'Updated Population'!$B$147)*('Total Duration Tables Sup #1'!F177/'Total Duration Tables Sup #1'!$B177)</f>
        <v>1.0200134447251215</v>
      </c>
      <c r="G155" s="4">
        <f ca="1">$B155*('Updated Population'!G$147/'Updated Population'!$B$147)*('Total Duration Tables Sup #1'!G177/'Total Duration Tables Sup #1'!$B177)</f>
        <v>0.98128497781703705</v>
      </c>
      <c r="H155" s="4">
        <f ca="1">$B155*('Updated Population'!H$147/'Updated Population'!$B$147)*('Total Duration Tables Sup #1'!H177/'Total Duration Tables Sup #1'!$B177)</f>
        <v>0.93963265821734476</v>
      </c>
      <c r="I155" s="1">
        <f ca="1">$B155*('Updated Population'!I$147/'Updated Population'!$B$147)*('Total Duration Tables Sup #1'!I177/'Total Duration Tables Sup #1'!$B177)</f>
        <v>0.92704571519777246</v>
      </c>
      <c r="J155" s="1">
        <f ca="1">$B155*('Updated Population'!J$147/'Updated Population'!$B$147)*('Total Duration Tables Sup #1'!J177/'Total Duration Tables Sup #1'!$B177)</f>
        <v>0.91171596527855914</v>
      </c>
      <c r="K155" s="1">
        <f ca="1">$B155*('Updated Population'!K$147/'Updated Population'!$B$147)*('Total Duration Tables Sup #1'!K177/'Total Duration Tables Sup #1'!$B177)</f>
        <v>0.89471277347553091</v>
      </c>
    </row>
    <row r="156" spans="1:11" x14ac:dyDescent="0.2">
      <c r="A156" t="str">
        <f ca="1">OFFSET(Wellington_Reference,56,2)</f>
        <v>Local Ferry</v>
      </c>
      <c r="B156" s="4">
        <v>0</v>
      </c>
      <c r="C156" s="4">
        <f ca="1">$B156*('Updated Population'!C$147/'Updated Population'!$B$147)*('Total Duration Tables Sup #1'!C178/'Total Duration Tables Sup #1'!$B178)</f>
        <v>0</v>
      </c>
      <c r="D156" s="4">
        <f ca="1">$B156*('Updated Population'!D$147/'Updated Population'!$B$147)*('Total Duration Tables Sup #1'!D178/'Total Duration Tables Sup #1'!$B178)</f>
        <v>0</v>
      </c>
      <c r="E156" s="4">
        <f ca="1">$B156*('Updated Population'!E$147/'Updated Population'!$B$147)*('Total Duration Tables Sup #1'!E178/'Total Duration Tables Sup #1'!$B178)</f>
        <v>0</v>
      </c>
      <c r="F156" s="4">
        <f ca="1">$B156*('Updated Population'!F$147/'Updated Population'!$B$147)*('Total Duration Tables Sup #1'!F178/'Total Duration Tables Sup #1'!$B178)</f>
        <v>0</v>
      </c>
      <c r="G156" s="4">
        <f ca="1">$B156*('Updated Population'!G$147/'Updated Population'!$B$147)*('Total Duration Tables Sup #1'!G178/'Total Duration Tables Sup #1'!$B178)</f>
        <v>0</v>
      </c>
      <c r="H156" s="4">
        <f ca="1">$B156*('Updated Population'!H$147/'Updated Population'!$B$147)*('Total Duration Tables Sup #1'!H178/'Total Duration Tables Sup #1'!$B178)</f>
        <v>0</v>
      </c>
      <c r="I156" s="1">
        <f ca="1">$B156*('Updated Population'!I$147/'Updated Population'!$B$147)*('Total Duration Tables Sup #1'!I178/'Total Duration Tables Sup #1'!$B178)</f>
        <v>0</v>
      </c>
      <c r="J156" s="1">
        <f ca="1">$B156*('Updated Population'!J$147/'Updated Population'!$B$147)*('Total Duration Tables Sup #1'!J178/'Total Duration Tables Sup #1'!$B178)</f>
        <v>0</v>
      </c>
      <c r="K156" s="1">
        <f ca="1">$B156*('Updated Population'!K$147/'Updated Population'!$B$147)*('Total Duration Tables Sup #1'!K178/'Total Duration Tables Sup #1'!$B178)</f>
        <v>0</v>
      </c>
    </row>
    <row r="157" spans="1:11" x14ac:dyDescent="0.2">
      <c r="A157" t="str">
        <f ca="1">OFFSET(Southland_Reference,49,2)</f>
        <v>Other Household Travel</v>
      </c>
      <c r="B157" s="4">
        <f ca="1">OFFSET(Southland_Reference,49,7)</f>
        <v>8.5162673699999997E-2</v>
      </c>
      <c r="C157" s="4">
        <f ca="1">$B157*('Updated Population'!C$147/'Updated Population'!$B$147)*('Total Duration Tables Sup #1'!C179/'Total Duration Tables Sup #1'!$B179)</f>
        <v>9.0568968168522057E-2</v>
      </c>
      <c r="D157" s="4">
        <f ca="1">$B157*('Updated Population'!D$147/'Updated Population'!$B$147)*('Total Duration Tables Sup #1'!D179/'Total Duration Tables Sup #1'!$B179)</f>
        <v>9.343138247077562E-2</v>
      </c>
      <c r="E157" s="4">
        <f ca="1">$B157*('Updated Population'!E$147/'Updated Population'!$B$147)*('Total Duration Tables Sup #1'!E179/'Total Duration Tables Sup #1'!$B179)</f>
        <v>9.4259141006568639E-2</v>
      </c>
      <c r="F157" s="4">
        <f ca="1">$B157*('Updated Population'!F$147/'Updated Population'!$B$147)*('Total Duration Tables Sup #1'!F179/'Total Duration Tables Sup #1'!$B179)</f>
        <v>9.4665104566345873E-2</v>
      </c>
      <c r="G157" s="4">
        <f ca="1">$B157*('Updated Population'!G$147/'Updated Population'!$B$147)*('Total Duration Tables Sup #1'!G179/'Total Duration Tables Sup #1'!$B179)</f>
        <v>9.5694270408177171E-2</v>
      </c>
      <c r="H157" s="4">
        <f ca="1">$B157*('Updated Population'!H$147/'Updated Population'!$B$147)*('Total Duration Tables Sup #1'!H179/'Total Duration Tables Sup #1'!$B179)</f>
        <v>9.6211308811481253E-2</v>
      </c>
      <c r="I157" s="1">
        <f ca="1">$B157*('Updated Population'!I$147/'Updated Population'!$B$147)*('Total Duration Tables Sup #1'!I179/'Total Duration Tables Sup #1'!$B179)</f>
        <v>9.4922500625369347E-2</v>
      </c>
      <c r="J157" s="1">
        <f ca="1">$B157*('Updated Population'!J$147/'Updated Population'!$B$147)*('Total Duration Tables Sup #1'!J179/'Total Duration Tables Sup #1'!$B179)</f>
        <v>9.3352849665941914E-2</v>
      </c>
      <c r="K157" s="1">
        <f ca="1">$B157*('Updated Population'!K$147/'Updated Population'!$B$147)*('Total Duration Tables Sup #1'!K179/'Total Duration Tables Sup #1'!$B179)</f>
        <v>9.1611850858550947E-2</v>
      </c>
    </row>
    <row r="158" spans="1:11" x14ac:dyDescent="0.2">
      <c r="A158" t="s">
        <v>19</v>
      </c>
      <c r="I158" s="1"/>
      <c r="J158" s="1"/>
      <c r="K158" s="1"/>
    </row>
    <row r="159" spans="1:11" x14ac:dyDescent="0.2">
      <c r="A159" t="str">
        <f t="shared" ref="A159:A165" ca="1" si="0">A5</f>
        <v>Pedestrian</v>
      </c>
      <c r="B159" s="4">
        <f t="shared" ref="B159:H164" ca="1" si="1">B5+B16+B27+B38+B49+B60+B71+B82+B93+B104+B115+B126+B137+B148</f>
        <v>205.0143830817</v>
      </c>
      <c r="C159" s="4">
        <f t="shared" ca="1" si="1"/>
        <v>223.15759728447384</v>
      </c>
      <c r="D159" s="4">
        <f t="shared" ca="1" si="1"/>
        <v>234.97703014665396</v>
      </c>
      <c r="E159" s="4">
        <f t="shared" ca="1" si="1"/>
        <v>243.6164048078289</v>
      </c>
      <c r="F159" s="4">
        <f t="shared" ca="1" si="1"/>
        <v>249.962721296815</v>
      </c>
      <c r="G159" s="4">
        <f t="shared" ca="1" si="1"/>
        <v>255.41010802245131</v>
      </c>
      <c r="H159" s="4">
        <f t="shared" ca="1" si="1"/>
        <v>259.69097999683697</v>
      </c>
      <c r="I159" s="1">
        <f t="shared" ref="I159:K159" ca="1" si="2">I5+I16+I27+I38+I49+I60+I71+I82+I93+I104+I115+I126+I137+I148</f>
        <v>265.97434157830105</v>
      </c>
      <c r="J159" s="1">
        <f t="shared" ca="1" si="2"/>
        <v>271.62792276915661</v>
      </c>
      <c r="K159" s="1">
        <f t="shared" ca="1" si="2"/>
        <v>276.89185437672245</v>
      </c>
    </row>
    <row r="160" spans="1:11" x14ac:dyDescent="0.2">
      <c r="A160" t="str">
        <f t="shared" ca="1" si="0"/>
        <v>Cyclist</v>
      </c>
      <c r="B160" s="4">
        <f t="shared" ca="1" si="1"/>
        <v>24.928098629399997</v>
      </c>
      <c r="C160" s="4">
        <f t="shared" ca="1" si="1"/>
        <v>27.449098403491991</v>
      </c>
      <c r="D160" s="4">
        <f t="shared" ca="1" si="1"/>
        <v>28.829396310570708</v>
      </c>
      <c r="E160" s="4">
        <f t="shared" ca="1" si="1"/>
        <v>29.491727933067605</v>
      </c>
      <c r="F160" s="4">
        <f t="shared" ca="1" si="1"/>
        <v>30.346419859247828</v>
      </c>
      <c r="G160" s="4">
        <f t="shared" ca="1" si="1"/>
        <v>31.48019641500521</v>
      </c>
      <c r="H160" s="4">
        <f t="shared" ca="1" si="1"/>
        <v>32.576147736351011</v>
      </c>
      <c r="I160" s="1">
        <f t="shared" ref="I160:K160" ca="1" si="3">I6+I17+I28+I39+I50+I61+I72+I83+I94+I105+I116+I127+I138+I149</f>
        <v>33.20615888144463</v>
      </c>
      <c r="J160" s="1">
        <f t="shared" ca="1" si="3"/>
        <v>33.749652140410262</v>
      </c>
      <c r="K160" s="1">
        <f t="shared" ca="1" si="3"/>
        <v>34.23745838247649</v>
      </c>
    </row>
    <row r="161" spans="1:20" x14ac:dyDescent="0.2">
      <c r="A161" t="str">
        <f t="shared" ca="1" si="0"/>
        <v>Light Vehicle Driver</v>
      </c>
      <c r="B161" s="4">
        <f t="shared" ca="1" si="1"/>
        <v>820.39837236829999</v>
      </c>
      <c r="C161" s="4">
        <f t="shared" ca="1" si="1"/>
        <v>927.49955006995469</v>
      </c>
      <c r="D161" s="4">
        <f t="shared" ca="1" si="1"/>
        <v>998.63260207225665</v>
      </c>
      <c r="E161" s="4">
        <f t="shared" ca="1" si="1"/>
        <v>1046.668220306088</v>
      </c>
      <c r="F161" s="4">
        <f t="shared" ca="1" si="1"/>
        <v>1091.59043310985</v>
      </c>
      <c r="G161" s="4">
        <f t="shared" ca="1" si="1"/>
        <v>1127.683084329409</v>
      </c>
      <c r="H161" s="4">
        <f t="shared" ca="1" si="1"/>
        <v>1159.7667162020571</v>
      </c>
      <c r="I161" s="1">
        <f t="shared" ref="I161:K161" ca="1" si="4">I7+I18+I29+I40+I51+I62+I73+I84+I95+I106+I117+I128+I139+I150</f>
        <v>1188.31461866883</v>
      </c>
      <c r="J161" s="1">
        <f t="shared" ca="1" si="4"/>
        <v>1214.0681800656469</v>
      </c>
      <c r="K161" s="1">
        <f t="shared" ca="1" si="4"/>
        <v>1238.0968486752024</v>
      </c>
    </row>
    <row r="162" spans="1:20" x14ac:dyDescent="0.2">
      <c r="A162" t="str">
        <f t="shared" ca="1" si="0"/>
        <v>Light Vehicle Passenger</v>
      </c>
      <c r="B162" s="4">
        <f t="shared" ca="1" si="1"/>
        <v>430.09037615619997</v>
      </c>
      <c r="C162" s="4">
        <f t="shared" ca="1" si="1"/>
        <v>463.06743791571211</v>
      </c>
      <c r="D162" s="4">
        <f t="shared" ca="1" si="1"/>
        <v>484.60120744841805</v>
      </c>
      <c r="E162" s="4">
        <f t="shared" ca="1" si="1"/>
        <v>499.13461790948293</v>
      </c>
      <c r="F162" s="4">
        <f t="shared" ca="1" si="1"/>
        <v>510.98082498721669</v>
      </c>
      <c r="G162" s="4">
        <f t="shared" ca="1" si="1"/>
        <v>520.35879895950313</v>
      </c>
      <c r="H162" s="4">
        <f t="shared" ca="1" si="1"/>
        <v>527.04442760253892</v>
      </c>
      <c r="I162" s="1">
        <f t="shared" ref="I162:K162" ca="1" si="5">I8+I19+I30+I41+I52+I63+I74+I85+I96+I107+I118+I129+I140+I151</f>
        <v>539.48365484851979</v>
      </c>
      <c r="J162" s="1">
        <f t="shared" ca="1" si="5"/>
        <v>550.63321307484148</v>
      </c>
      <c r="K162" s="1">
        <f t="shared" ca="1" si="5"/>
        <v>560.98186665414528</v>
      </c>
    </row>
    <row r="163" spans="1:20" x14ac:dyDescent="0.2">
      <c r="A163" t="str">
        <f t="shared" ca="1" si="0"/>
        <v>Taxi/Vehicle Share</v>
      </c>
      <c r="B163" s="4">
        <f t="shared" ca="1" si="1"/>
        <v>4.6704390591000005</v>
      </c>
      <c r="C163" s="4">
        <f t="shared" ca="1" si="1"/>
        <v>5.5143840338286791</v>
      </c>
      <c r="D163" s="4">
        <f t="shared" ca="1" si="1"/>
        <v>6.218038965456353</v>
      </c>
      <c r="E163" s="4">
        <f t="shared" ca="1" si="1"/>
        <v>6.8592152466679366</v>
      </c>
      <c r="F163" s="4">
        <f t="shared" ca="1" si="1"/>
        <v>7.4581609788808931</v>
      </c>
      <c r="G163" s="4">
        <f t="shared" ca="1" si="1"/>
        <v>7.9558760899520289</v>
      </c>
      <c r="H163" s="4">
        <f t="shared" ca="1" si="1"/>
        <v>8.4378955615853819</v>
      </c>
      <c r="I163" s="1">
        <f t="shared" ref="I163:K163" ca="1" si="6">I9+I20+I31+I42+I53+I64+I75+I86+I97+I108+I119+I130+I141+I152</f>
        <v>8.6609800079172725</v>
      </c>
      <c r="J163" s="1">
        <f t="shared" ca="1" si="6"/>
        <v>8.86441896590512</v>
      </c>
      <c r="K163" s="1">
        <f t="shared" ca="1" si="6"/>
        <v>9.0559168969399906</v>
      </c>
    </row>
    <row r="164" spans="1:20" x14ac:dyDescent="0.2">
      <c r="A164" t="str">
        <f t="shared" ca="1" si="0"/>
        <v>Motorcyclist</v>
      </c>
      <c r="B164" s="4">
        <f t="shared" ca="1" si="1"/>
        <v>6.0136150244</v>
      </c>
      <c r="C164" s="4">
        <f t="shared" ca="1" si="1"/>
        <v>6.6134427033713656</v>
      </c>
      <c r="D164" s="4">
        <f t="shared" ca="1" si="1"/>
        <v>6.9737224014412531</v>
      </c>
      <c r="E164" s="4">
        <f t="shared" ca="1" si="1"/>
        <v>7.1419131840969605</v>
      </c>
      <c r="F164" s="4">
        <f t="shared" ca="1" si="1"/>
        <v>7.285786046936038</v>
      </c>
      <c r="G164" s="4">
        <f t="shared" ca="1" si="1"/>
        <v>7.3257997451592249</v>
      </c>
      <c r="H164" s="4">
        <f t="shared" ca="1" si="1"/>
        <v>7.3271922316387581</v>
      </c>
      <c r="I164" s="1">
        <f t="shared" ref="I164:K164" ca="1" si="7">I10+I21+I32+I43+I54+I65+I76+I87+I98+I109+I120+I131+I142+I153</f>
        <v>7.4690175789161781</v>
      </c>
      <c r="J164" s="1">
        <f t="shared" ca="1" si="7"/>
        <v>7.5917676473784539</v>
      </c>
      <c r="K164" s="1">
        <f t="shared" ca="1" si="7"/>
        <v>7.7024013346026301</v>
      </c>
    </row>
    <row r="165" spans="1:20" x14ac:dyDescent="0.2">
      <c r="A165" t="str">
        <f t="shared" ca="1" si="0"/>
        <v>Local Train</v>
      </c>
      <c r="B165" s="4">
        <f t="shared" ref="B165:H165" ca="1" si="8">B22+B99</f>
        <v>9.8112189659999984</v>
      </c>
      <c r="C165" s="4">
        <f t="shared" ca="1" si="8"/>
        <v>10.7854497057</v>
      </c>
      <c r="D165" s="4">
        <f t="shared" ca="1" si="8"/>
        <v>11.484151662799999</v>
      </c>
      <c r="E165" s="4">
        <f t="shared" ca="1" si="8"/>
        <v>12.115259650400001</v>
      </c>
      <c r="F165" s="4">
        <f t="shared" ca="1" si="8"/>
        <v>12.5992635689</v>
      </c>
      <c r="G165" s="4">
        <f t="shared" ca="1" si="8"/>
        <v>13.027962245400001</v>
      </c>
      <c r="H165" s="4">
        <f t="shared" ca="1" si="8"/>
        <v>13.3852463352</v>
      </c>
      <c r="I165" s="1">
        <f t="shared" ref="I165:K165" ca="1" si="9">I22+I99</f>
        <v>13.713279598950471</v>
      </c>
      <c r="J165" s="1">
        <f t="shared" ca="1" si="9"/>
        <v>14.009039794151592</v>
      </c>
      <c r="K165" s="1">
        <f t="shared" ca="1" si="9"/>
        <v>14.28491753985819</v>
      </c>
    </row>
    <row r="166" spans="1:20" x14ac:dyDescent="0.2">
      <c r="A166" t="s">
        <v>16</v>
      </c>
      <c r="B166" s="4">
        <f t="shared" ref="B166:H166" ca="1" si="10">B12+B34+B45+B56+B67+B78+B89+B111+B122+B144+B155</f>
        <v>14.151701071899998</v>
      </c>
      <c r="C166" s="4">
        <f t="shared" ca="1" si="10"/>
        <v>13.898922945709312</v>
      </c>
      <c r="D166" s="4">
        <f t="shared" ca="1" si="10"/>
        <v>13.631306234304649</v>
      </c>
      <c r="E166" s="4">
        <f t="shared" ca="1" si="10"/>
        <v>13.438587269950627</v>
      </c>
      <c r="F166" s="4">
        <f t="shared" ca="1" si="10"/>
        <v>13.093175619113074</v>
      </c>
      <c r="G166" s="4">
        <f t="shared" ca="1" si="10"/>
        <v>12.840550220757782</v>
      </c>
      <c r="H166" s="4">
        <f t="shared" ca="1" si="10"/>
        <v>12.53109829360303</v>
      </c>
      <c r="I166" s="1">
        <f t="shared" ref="I166:K166" ca="1" si="11">I12+I34+I45+I56+I67+I78+I89+I111+I122+I144+I155</f>
        <v>12.60191203192154</v>
      </c>
      <c r="J166" s="1">
        <f t="shared" ca="1" si="11"/>
        <v>12.63457232151918</v>
      </c>
      <c r="K166" s="1">
        <f t="shared" ca="1" si="11"/>
        <v>12.641874275810013</v>
      </c>
    </row>
    <row r="167" spans="1:20" x14ac:dyDescent="0.2">
      <c r="A167" t="str">
        <f ca="1">A13</f>
        <v>Local Ferry</v>
      </c>
      <c r="B167" s="4">
        <f t="shared" ref="B167:H168" ca="1" si="12">B13+B24+B35+B46+B57+B68+B79+B90+B101+B112+B123+B134+B145+B156</f>
        <v>1.3964695746999998</v>
      </c>
      <c r="C167" s="4">
        <f t="shared" ca="1" si="12"/>
        <v>1.704962655852178</v>
      </c>
      <c r="D167" s="4">
        <f t="shared" ca="1" si="12"/>
        <v>1.951699976226831</v>
      </c>
      <c r="E167" s="4">
        <f t="shared" ca="1" si="12"/>
        <v>2.1509716766827078</v>
      </c>
      <c r="F167" s="4">
        <f t="shared" ca="1" si="12"/>
        <v>2.3392008163823284</v>
      </c>
      <c r="G167" s="4">
        <f t="shared" ca="1" si="12"/>
        <v>2.5774777711080419</v>
      </c>
      <c r="H167" s="4">
        <f t="shared" ca="1" si="12"/>
        <v>2.8129110021574353</v>
      </c>
      <c r="I167" s="1">
        <f t="shared" ref="I167:K167" ca="1" si="13">I13+I24+I35+I46+I57+I68+I79+I90+I101+I112+I123+I134+I145+I156</f>
        <v>2.9247052516438163</v>
      </c>
      <c r="J167" s="1">
        <f t="shared" ca="1" si="13"/>
        <v>3.0315346027145935</v>
      </c>
      <c r="K167" s="1">
        <f t="shared" ca="1" si="13"/>
        <v>3.1357860316256461</v>
      </c>
    </row>
    <row r="168" spans="1:20" x14ac:dyDescent="0.2">
      <c r="A168" t="str">
        <f ca="1">A14</f>
        <v>Other Household Travel</v>
      </c>
      <c r="B168" s="4">
        <f t="shared" ca="1" si="12"/>
        <v>5.6740244923000009</v>
      </c>
      <c r="C168" s="4">
        <f t="shared" ca="1" si="12"/>
        <v>6.4537506788314944</v>
      </c>
      <c r="D168" s="4">
        <f t="shared" ca="1" si="12"/>
        <v>7.0451693919353611</v>
      </c>
      <c r="E168" s="4">
        <f t="shared" ca="1" si="12"/>
        <v>7.4291162195383444</v>
      </c>
      <c r="F168" s="4">
        <f t="shared" ca="1" si="12"/>
        <v>7.7840649531386026</v>
      </c>
      <c r="G168" s="4">
        <f t="shared" ca="1" si="12"/>
        <v>8.2017495737719557</v>
      </c>
      <c r="H168" s="4">
        <f t="shared" ca="1" si="12"/>
        <v>8.5889173000789309</v>
      </c>
      <c r="I168" s="1">
        <f t="shared" ref="I168:K168" ca="1" si="14">I14+I25+I36+I47+I58+I69+I80+I91+I102+I113+I124+I135+I146+I157</f>
        <v>8.8286043534207383</v>
      </c>
      <c r="J168" s="1">
        <f t="shared" ca="1" si="14"/>
        <v>9.0485377631298327</v>
      </c>
      <c r="K168" s="1">
        <f t="shared" ca="1" si="14"/>
        <v>9.2564882936712571</v>
      </c>
    </row>
    <row r="169" spans="1:20" x14ac:dyDescent="0.2">
      <c r="A169" s="59" t="s">
        <v>114</v>
      </c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 t="s">
        <v>115</v>
      </c>
      <c r="N169" s="59"/>
      <c r="O169" s="59"/>
      <c r="P169" s="59"/>
      <c r="Q169" s="59"/>
      <c r="R169" s="59"/>
      <c r="S169" s="59"/>
      <c r="T169" s="59"/>
    </row>
    <row r="170" spans="1:20" x14ac:dyDescent="0.2">
      <c r="A170" s="59" t="str">
        <f t="shared" ref="A170:A179" ca="1" si="15">A16</f>
        <v>Pedestrian</v>
      </c>
      <c r="B170" s="60">
        <f ca="1">B181*1000000/'Original Population'!B$158</f>
        <v>46.157777170771794</v>
      </c>
      <c r="C170" s="60">
        <f ca="1">(C181*1000000/'Original Population'!C$158)</f>
        <v>45.833517413685392</v>
      </c>
      <c r="D170" s="60">
        <f ca="1">(D181*1000000/'Original Population'!D$158)</f>
        <v>45.466216308239531</v>
      </c>
      <c r="E170" s="60">
        <f ca="1">(E181*1000000/'Original Population'!E$158)</f>
        <v>45.073174308588065</v>
      </c>
      <c r="F170" s="60">
        <f ca="1">(F181*1000000/'Original Population'!F$158)</f>
        <v>44.511814677963251</v>
      </c>
      <c r="G170" s="60">
        <f ca="1">(G181*1000000/'Original Population'!G$158)</f>
        <v>44.06602122831265</v>
      </c>
      <c r="H170" s="60">
        <f ca="1">(H181*1000000/'Original Population'!H$158)</f>
        <v>43.609889724019297</v>
      </c>
      <c r="I170" s="60">
        <f ca="1">H170</f>
        <v>43.609889724019297</v>
      </c>
      <c r="J170" s="60">
        <f t="shared" ref="J170:K170" ca="1" si="16">I170</f>
        <v>43.609889724019297</v>
      </c>
      <c r="K170" s="60">
        <f t="shared" ca="1" si="16"/>
        <v>43.609889724019297</v>
      </c>
      <c r="L170" s="60"/>
      <c r="M170" s="60">
        <f ca="1">B159*'Total Duration Tables Sup #2'!B159*1000000/'Updated Population'!B$158</f>
        <v>46.157777170771794</v>
      </c>
      <c r="N170" s="60">
        <f ca="1">C159*'Total Duration Tables Sup #2'!C159*1000000/'Updated Population'!C$158</f>
        <v>45.833517413685392</v>
      </c>
      <c r="O170" s="60">
        <f ca="1">D159*'Total Duration Tables Sup #2'!D159*1000000/'Updated Population'!D$158</f>
        <v>45.466216308239531</v>
      </c>
      <c r="P170" s="60">
        <f ca="1">E159*'Total Duration Tables Sup #2'!E159*1000000/'Updated Population'!E$158</f>
        <v>45.073174308588065</v>
      </c>
      <c r="Q170" s="60">
        <f ca="1">F159*'Total Duration Tables Sup #2'!F159*1000000/'Updated Population'!F$158</f>
        <v>44.511814677963251</v>
      </c>
      <c r="R170" s="60">
        <f ca="1">G159*'Total Duration Tables Sup #2'!G159*1000000/'Updated Population'!G$158</f>
        <v>44.06602122831265</v>
      </c>
      <c r="S170" s="60">
        <f ca="1">H159*'Total Duration Tables Sup #2'!H159*1000000/'Updated Population'!H$158</f>
        <v>43.609889724019297</v>
      </c>
      <c r="T170" s="59"/>
    </row>
    <row r="171" spans="1:20" x14ac:dyDescent="0.2">
      <c r="A171" s="59" t="str">
        <f t="shared" ca="1" si="15"/>
        <v>Cyclist</v>
      </c>
      <c r="B171" s="60">
        <f ca="1">B182*1000000/'Original Population'!B$158</f>
        <v>5.6124141366624629</v>
      </c>
      <c r="C171" s="60">
        <f ca="1">(C182*1000000/'Original Population'!C$158)</f>
        <v>5.6790547618143066</v>
      </c>
      <c r="D171" s="60">
        <f ca="1">(D182*1000000/'Original Population'!D$158)</f>
        <v>5.6564611088700723</v>
      </c>
      <c r="E171" s="60">
        <f ca="1">(E182*1000000/'Original Population'!E$158)</f>
        <v>5.5653639735274139</v>
      </c>
      <c r="F171" s="60">
        <f ca="1">(F182*1000000/'Original Population'!F$158)</f>
        <v>5.5412186880983167</v>
      </c>
      <c r="G171" s="60">
        <f ca="1">(G182*1000000/'Original Population'!G$158)</f>
        <v>5.5966058514167241</v>
      </c>
      <c r="H171" s="60">
        <f ca="1">(H182*1000000/'Original Population'!H$158)</f>
        <v>5.6636030622295523</v>
      </c>
      <c r="I171" s="60">
        <f t="shared" ref="I171:K179" ca="1" si="17">H171</f>
        <v>5.6636030622295523</v>
      </c>
      <c r="J171" s="60">
        <f t="shared" ca="1" si="17"/>
        <v>5.6636030622295523</v>
      </c>
      <c r="K171" s="60">
        <f t="shared" ca="1" si="17"/>
        <v>5.6636030622295523</v>
      </c>
      <c r="L171" s="60"/>
      <c r="M171" s="60">
        <f ca="1">B160*'Total Duration Tables Sup #2'!B160*1000000/'Updated Population'!B$158</f>
        <v>5.6124141366624629</v>
      </c>
      <c r="N171" s="60">
        <f ca="1">C160*'Total Duration Tables Sup #2'!C160*1000000/'Updated Population'!C$158</f>
        <v>5.6790547618143075</v>
      </c>
      <c r="O171" s="60">
        <f ca="1">D160*'Total Duration Tables Sup #2'!D160*1000000/'Updated Population'!D$158</f>
        <v>5.6564611088700723</v>
      </c>
      <c r="P171" s="60">
        <f ca="1">E160*'Total Duration Tables Sup #2'!E160*1000000/'Updated Population'!E$158</f>
        <v>5.5653639735274139</v>
      </c>
      <c r="Q171" s="60">
        <f ca="1">F160*'Total Duration Tables Sup #2'!F160*1000000/'Updated Population'!F$158</f>
        <v>5.5412186880983167</v>
      </c>
      <c r="R171" s="60">
        <f ca="1">G160*'Total Duration Tables Sup #2'!G160*1000000/'Updated Population'!G$158</f>
        <v>5.5966058514167241</v>
      </c>
      <c r="S171" s="60">
        <f ca="1">H160*'Total Duration Tables Sup #2'!H160*1000000/'Updated Population'!H$158</f>
        <v>5.6636030622295532</v>
      </c>
      <c r="T171" s="59"/>
    </row>
    <row r="172" spans="1:20" x14ac:dyDescent="0.2">
      <c r="A172" s="59" t="str">
        <f t="shared" ca="1" si="15"/>
        <v>Light Vehicle Driver</v>
      </c>
      <c r="B172" s="60">
        <f ca="1">B183*1000000/'Original Population'!B$158</f>
        <v>184.70784680482257</v>
      </c>
      <c r="C172" s="60">
        <f ca="1">C183*1000000/'Original Population'!C$158</f>
        <v>190.26069616047198</v>
      </c>
      <c r="D172" s="60">
        <f ca="1">D183*1000000/'Original Population'!D$158</f>
        <v>192.86932978531149</v>
      </c>
      <c r="E172" s="60">
        <f ca="1">E183*1000000/'Original Population'!E$158</f>
        <v>193.19239039697234</v>
      </c>
      <c r="F172" s="60">
        <f ca="1">F183*1000000/'Original Population'!F$158</f>
        <v>193.83950431881456</v>
      </c>
      <c r="G172" s="60">
        <f ca="1">G183*1000000/'Original Population'!G$158</f>
        <v>193.93977681751721</v>
      </c>
      <c r="H172" s="60">
        <f ca="1">H183*1000000/'Original Population'!H$158</f>
        <v>194.05918402092647</v>
      </c>
      <c r="I172" s="60">
        <f t="shared" ca="1" si="17"/>
        <v>194.05918402092647</v>
      </c>
      <c r="J172" s="60">
        <f t="shared" ca="1" si="17"/>
        <v>194.05918402092647</v>
      </c>
      <c r="K172" s="60">
        <f t="shared" ca="1" si="17"/>
        <v>194.05918402092647</v>
      </c>
      <c r="L172" s="60"/>
      <c r="M172" s="60">
        <f ca="1">B161*'Total Duration Tables Sup #2'!B161*1000000/'Updated Population'!B$158</f>
        <v>184.70784680482257</v>
      </c>
      <c r="N172" s="60">
        <f ca="1">C161*'Total Duration Tables Sup #2'!C161*1000000/'Updated Population'!C$158</f>
        <v>190.26069616047198</v>
      </c>
      <c r="O172" s="60">
        <f ca="1">D161*'Total Duration Tables Sup #2'!D161*1000000/'Updated Population'!D$158</f>
        <v>192.86932978531149</v>
      </c>
      <c r="P172" s="60">
        <f ca="1">E161*'Total Duration Tables Sup #2'!E161*1000000/'Updated Population'!E$158</f>
        <v>193.19239039697234</v>
      </c>
      <c r="Q172" s="60">
        <f ca="1">F161*'Total Duration Tables Sup #2'!F161*1000000/'Updated Population'!F$158</f>
        <v>193.83950431881456</v>
      </c>
      <c r="R172" s="60">
        <f ca="1">G161*'Total Duration Tables Sup #2'!G161*1000000/'Updated Population'!G$158</f>
        <v>193.93977681751721</v>
      </c>
      <c r="S172" s="60">
        <f ca="1">H161*'Total Duration Tables Sup #2'!H161*1000000/'Updated Population'!H$158</f>
        <v>194.05918402092644</v>
      </c>
      <c r="T172" s="59"/>
    </row>
    <row r="173" spans="1:20" x14ac:dyDescent="0.2">
      <c r="A173" s="59" t="str">
        <f t="shared" ca="1" si="15"/>
        <v>Light Vehicle Passenger</v>
      </c>
      <c r="B173" s="60">
        <f ca="1">B184*1000000/'Original Population'!B$158</f>
        <v>96.832307311824565</v>
      </c>
      <c r="C173" s="60">
        <f ca="1">C184*1000000/'Original Population'!C$158</f>
        <v>95.173822563709663</v>
      </c>
      <c r="D173" s="60">
        <f ca="1">D184*1000000/'Original Population'!D$158</f>
        <v>93.908884809037787</v>
      </c>
      <c r="E173" s="60">
        <f ca="1">E184*1000000/'Original Population'!E$158</f>
        <v>92.543665123998053</v>
      </c>
      <c r="F173" s="60">
        <f ca="1">F184*1000000/'Original Population'!F$158</f>
        <v>91.24334476558198</v>
      </c>
      <c r="G173" s="60">
        <f ca="1">G184*1000000/'Original Population'!G$158</f>
        <v>90.08331526308514</v>
      </c>
      <c r="H173" s="60">
        <f ca="1">H184*1000000/'Original Population'!H$158</f>
        <v>88.859561282063581</v>
      </c>
      <c r="I173" s="60">
        <f t="shared" ca="1" si="17"/>
        <v>88.859561282063581</v>
      </c>
      <c r="J173" s="60">
        <f t="shared" ca="1" si="17"/>
        <v>88.859561282063581</v>
      </c>
      <c r="K173" s="60">
        <f t="shared" ca="1" si="17"/>
        <v>88.859561282063581</v>
      </c>
      <c r="L173" s="60"/>
      <c r="M173" s="60">
        <f ca="1">B162*'Total Duration Tables Sup #2'!B162*1000000/'Updated Population'!B$158</f>
        <v>96.832307311824565</v>
      </c>
      <c r="N173" s="60">
        <f ca="1">C162*'Total Duration Tables Sup #2'!C162*1000000/'Updated Population'!C$158</f>
        <v>95.173822563709663</v>
      </c>
      <c r="O173" s="60">
        <f ca="1">D162*'Total Duration Tables Sup #2'!D162*1000000/'Updated Population'!D$158</f>
        <v>93.908884809037787</v>
      </c>
      <c r="P173" s="60">
        <f ca="1">E162*'Total Duration Tables Sup #2'!E162*1000000/'Updated Population'!E$158</f>
        <v>92.543665123998053</v>
      </c>
      <c r="Q173" s="60">
        <f ca="1">F162*'Total Duration Tables Sup #2'!F162*1000000/'Updated Population'!F$158</f>
        <v>91.24334476558198</v>
      </c>
      <c r="R173" s="60">
        <f ca="1">G162*'Total Duration Tables Sup #2'!G162*1000000/'Updated Population'!G$158</f>
        <v>90.083315263085126</v>
      </c>
      <c r="S173" s="60">
        <f ca="1">H162*'Total Duration Tables Sup #2'!H162*1000000/'Updated Population'!H$158</f>
        <v>88.859561282063567</v>
      </c>
      <c r="T173" s="59"/>
    </row>
    <row r="174" spans="1:20" x14ac:dyDescent="0.2">
      <c r="A174" s="59" t="str">
        <f t="shared" ca="1" si="15"/>
        <v>Taxi/Vehicle Share</v>
      </c>
      <c r="B174" s="60">
        <f ca="1">B185*1000000/'Original Population'!B$158</f>
        <v>1.0515217622253243</v>
      </c>
      <c r="C174" s="60">
        <f ca="1">C185*1000000/'Original Population'!C$158</f>
        <v>1.1283613914814579</v>
      </c>
      <c r="D174" s="60">
        <f ca="1">D185*1000000/'Original Population'!D$158</f>
        <v>1.1949196527758128</v>
      </c>
      <c r="E174" s="60">
        <f ca="1">E185*1000000/'Original Population'!E$158</f>
        <v>1.2575813732751093</v>
      </c>
      <c r="F174" s="60">
        <f ca="1">F185*1000000/'Original Population'!F$158</f>
        <v>1.3131339786620209</v>
      </c>
      <c r="G174" s="60">
        <f ca="1">G185*1000000/'Original Population'!G$158</f>
        <v>1.3541534063397955</v>
      </c>
      <c r="H174" s="60">
        <f ca="1">H185*1000000/'Original Population'!H$158</f>
        <v>1.3948440922359364</v>
      </c>
      <c r="I174" s="60">
        <f t="shared" ca="1" si="17"/>
        <v>1.3948440922359364</v>
      </c>
      <c r="J174" s="60">
        <f t="shared" ca="1" si="17"/>
        <v>1.3948440922359364</v>
      </c>
      <c r="K174" s="60">
        <f t="shared" ca="1" si="17"/>
        <v>1.3948440922359364</v>
      </c>
      <c r="L174" s="60"/>
      <c r="M174" s="60">
        <f ca="1">B163*'Total Duration Tables Sup #2'!B163*1000000/'Updated Population'!B$158</f>
        <v>1.0515217622253243</v>
      </c>
      <c r="N174" s="60">
        <f ca="1">C163*'Total Duration Tables Sup #2'!C163*1000000/'Updated Population'!C$158</f>
        <v>1.1283613914814579</v>
      </c>
      <c r="O174" s="60">
        <f ca="1">D163*'Total Duration Tables Sup #2'!D163*1000000/'Updated Population'!D$158</f>
        <v>1.1949196527758126</v>
      </c>
      <c r="P174" s="60">
        <f ca="1">E163*'Total Duration Tables Sup #2'!E163*1000000/'Updated Population'!E$158</f>
        <v>1.2575813732751093</v>
      </c>
      <c r="Q174" s="60">
        <f ca="1">F163*'Total Duration Tables Sup #2'!F163*1000000/'Updated Population'!F$158</f>
        <v>1.3131339786620209</v>
      </c>
      <c r="R174" s="60">
        <f ca="1">G163*'Total Duration Tables Sup #2'!G163*1000000/'Updated Population'!G$158</f>
        <v>1.3541534063397955</v>
      </c>
      <c r="S174" s="60">
        <f ca="1">H163*'Total Duration Tables Sup #2'!H163*1000000/'Updated Population'!H$158</f>
        <v>1.3948440922359364</v>
      </c>
      <c r="T174" s="59"/>
    </row>
    <row r="175" spans="1:20" x14ac:dyDescent="0.2">
      <c r="A175" s="59" t="str">
        <f t="shared" ca="1" si="15"/>
        <v>Motorcyclist</v>
      </c>
      <c r="B175" s="60">
        <f ca="1">B186*1000000/'Original Population'!B$158</f>
        <v>1.3539298956231987</v>
      </c>
      <c r="C175" s="60">
        <f ca="1">C186*1000000/'Original Population'!C$158</f>
        <v>1.3693663053462506</v>
      </c>
      <c r="D175" s="60">
        <f ca="1">D186*1000000/'Original Population'!D$158</f>
        <v>1.3694241049695843</v>
      </c>
      <c r="E175" s="60">
        <f ca="1">E186*1000000/'Original Population'!E$158</f>
        <v>1.3477527537894229</v>
      </c>
      <c r="F175" s="60">
        <f ca="1">F186*1000000/'Original Population'!F$158</f>
        <v>1.3298137854024992</v>
      </c>
      <c r="G175" s="60">
        <f ca="1">G186*1000000/'Original Population'!G$158</f>
        <v>1.3017175700178227</v>
      </c>
      <c r="H175" s="60">
        <f ca="1">H186*1000000/'Original Population'!H$158</f>
        <v>1.2732667925445127</v>
      </c>
      <c r="I175" s="60">
        <f t="shared" ca="1" si="17"/>
        <v>1.2732667925445127</v>
      </c>
      <c r="J175" s="60">
        <f t="shared" ca="1" si="17"/>
        <v>1.2732667925445127</v>
      </c>
      <c r="K175" s="60">
        <f t="shared" ca="1" si="17"/>
        <v>1.2732667925445127</v>
      </c>
      <c r="L175" s="60"/>
      <c r="M175" s="60">
        <f ca="1">B164*'Total Duration Tables Sup #2'!B164*1000000/'Updated Population'!B$158</f>
        <v>1.3539298956231987</v>
      </c>
      <c r="N175" s="60">
        <f ca="1">C164*'Total Duration Tables Sup #2'!C164*1000000/'Updated Population'!C$158</f>
        <v>1.3693663053462506</v>
      </c>
      <c r="O175" s="60">
        <f ca="1">D164*'Total Duration Tables Sup #2'!D164*1000000/'Updated Population'!D$158</f>
        <v>1.3694241049695843</v>
      </c>
      <c r="P175" s="60">
        <f ca="1">E164*'Total Duration Tables Sup #2'!E164*1000000/'Updated Population'!E$158</f>
        <v>1.3477527537894227</v>
      </c>
      <c r="Q175" s="60">
        <f ca="1">F164*'Total Duration Tables Sup #2'!F164*1000000/'Updated Population'!F$158</f>
        <v>1.3298137854024992</v>
      </c>
      <c r="R175" s="60">
        <f ca="1">G164*'Total Duration Tables Sup #2'!G164*1000000/'Updated Population'!G$158</f>
        <v>1.3017175700178227</v>
      </c>
      <c r="S175" s="60">
        <f ca="1">H164*'Total Duration Tables Sup #2'!H164*1000000/'Updated Population'!H$158</f>
        <v>1.2732667925445127</v>
      </c>
      <c r="T175" s="59"/>
    </row>
    <row r="176" spans="1:20" x14ac:dyDescent="0.2">
      <c r="A176" s="59" t="str">
        <f t="shared" ca="1" si="15"/>
        <v>Local Train</v>
      </c>
      <c r="B176" s="60">
        <f ca="1">B187*1000000/'Original Population'!B$158</f>
        <v>2.2089379876621034</v>
      </c>
      <c r="C176" s="60">
        <f ca="1">C187*1000000/'Original Population'!C$158</f>
        <v>2.2764198707655288</v>
      </c>
      <c r="D176" s="60">
        <f ca="1">D187*1000000/'Original Population'!D$158</f>
        <v>2.3209214977061903</v>
      </c>
      <c r="E176" s="60">
        <f ca="1">E187*1000000/'Original Population'!E$158</f>
        <v>2.3513361766909266</v>
      </c>
      <c r="F176" s="60">
        <f ca="1">F187*1000000/'Original Population'!F$158</f>
        <v>2.3603408772925683</v>
      </c>
      <c r="G176" s="60">
        <f ca="1">G187*1000000/'Original Population'!G$158</f>
        <v>2.3693235087840541</v>
      </c>
      <c r="H176" s="60">
        <f ca="1">H187*1000000/'Original Population'!H$158</f>
        <v>2.3737756854649925</v>
      </c>
      <c r="I176" s="60">
        <f t="shared" ca="1" si="17"/>
        <v>2.3737756854649925</v>
      </c>
      <c r="J176" s="60">
        <f t="shared" ca="1" si="17"/>
        <v>2.3737756854649925</v>
      </c>
      <c r="K176" s="60">
        <f t="shared" ca="1" si="17"/>
        <v>2.3737756854649925</v>
      </c>
      <c r="L176" s="60"/>
      <c r="M176" s="60">
        <f ca="1">B165*'Total Duration Tables Sup #2'!B165*1000000/'Updated Population'!B$158</f>
        <v>2.2089379876621034</v>
      </c>
      <c r="N176" s="60">
        <f ca="1">C165*'Total Duration Tables Sup #2'!C165*1000000/'Updated Population'!C$158</f>
        <v>2.2764198707655288</v>
      </c>
      <c r="O176" s="60">
        <f ca="1">D165*'Total Duration Tables Sup #2'!D165*1000000/'Updated Population'!D$158</f>
        <v>2.3209214977061903</v>
      </c>
      <c r="P176" s="60">
        <f ca="1">E165*'Total Duration Tables Sup #2'!E165*1000000/'Updated Population'!E$158</f>
        <v>2.3513361766909271</v>
      </c>
      <c r="Q176" s="60">
        <f ca="1">F165*'Total Duration Tables Sup #2'!F165*1000000/'Updated Population'!F$158</f>
        <v>2.3603408772925683</v>
      </c>
      <c r="R176" s="60">
        <f ca="1">G165*'Total Duration Tables Sup #2'!G165*1000000/'Updated Population'!G$158</f>
        <v>2.3693235087840541</v>
      </c>
      <c r="S176" s="60">
        <f ca="1">H165*'Total Duration Tables Sup #2'!H165*1000000/'Updated Population'!H$158</f>
        <v>2.3737756854649921</v>
      </c>
      <c r="T176" s="59"/>
    </row>
    <row r="177" spans="1:20" x14ac:dyDescent="0.2">
      <c r="A177" s="59" t="s">
        <v>16</v>
      </c>
      <c r="B177" s="60">
        <f ca="1">B188*1000000/'Original Population'!B$169</f>
        <v>7.4529708615441326</v>
      </c>
      <c r="C177" s="60">
        <f ca="1">C188*1000000/'Original Population'!C$169</f>
        <v>6.8710080065359493</v>
      </c>
      <c r="D177" s="60">
        <f ca="1">D188*1000000/'Original Population'!D$169</f>
        <v>6.5032771045712874</v>
      </c>
      <c r="E177" s="60">
        <f ca="1">E188*1000000/'Original Population'!E$169</f>
        <v>6.2477304240239935</v>
      </c>
      <c r="F177" s="60">
        <f ca="1">F188*1000000/'Original Population'!F$169</f>
        <v>5.9694895328348974</v>
      </c>
      <c r="G177" s="60">
        <f ca="1">G188*1000000/'Original Population'!G$169</f>
        <v>5.7772934824577939</v>
      </c>
      <c r="H177" s="60">
        <f ca="1">H188*1000000/'Original Population'!H$169</f>
        <v>5.5879458355457565</v>
      </c>
      <c r="I177" s="60">
        <f t="shared" ca="1" si="17"/>
        <v>5.5879458355457565</v>
      </c>
      <c r="J177" s="60">
        <f t="shared" ca="1" si="17"/>
        <v>5.5879458355457565</v>
      </c>
      <c r="K177" s="60">
        <f t="shared" ca="1" si="17"/>
        <v>5.5879458355457565</v>
      </c>
      <c r="L177" s="60"/>
      <c r="M177" s="60">
        <f ca="1">B166*'Total Duration Tables Sup #2'!B166*1000000/'Updated Population'!B$169</f>
        <v>7.4529708615441326</v>
      </c>
      <c r="N177" s="60">
        <f ca="1">C166*'Total Duration Tables Sup #2'!C166*1000000/'Updated Population'!C$169</f>
        <v>6.8710080065359493</v>
      </c>
      <c r="O177" s="60">
        <f ca="1">D166*'Total Duration Tables Sup #2'!D166*1000000/'Updated Population'!D$169</f>
        <v>6.5032771045712883</v>
      </c>
      <c r="P177" s="60">
        <f ca="1">E166*'Total Duration Tables Sup #2'!E166*1000000/'Updated Population'!E$169</f>
        <v>6.2477304240239935</v>
      </c>
      <c r="Q177" s="60">
        <f ca="1">F166*'Total Duration Tables Sup #2'!F166*1000000/'Updated Population'!F$169</f>
        <v>5.9694895328348974</v>
      </c>
      <c r="R177" s="60">
        <f ca="1">G166*'Total Duration Tables Sup #2'!G166*1000000/'Updated Population'!G$169</f>
        <v>5.7772934824577948</v>
      </c>
      <c r="S177" s="60">
        <f ca="1">H166*'Total Duration Tables Sup #2'!H166*1000000/'Updated Population'!H$169</f>
        <v>5.5879458355457574</v>
      </c>
      <c r="T177" s="59"/>
    </row>
    <row r="178" spans="1:20" x14ac:dyDescent="0.2">
      <c r="A178" s="59" t="str">
        <f t="shared" ca="1" si="15"/>
        <v>Local Ferry</v>
      </c>
      <c r="B178" s="60">
        <f ca="1">IF(B189=0,1,B189*1000000/'Original Population'!B$158)</f>
        <v>0.3144068747073126</v>
      </c>
      <c r="C178" s="60">
        <f ca="1">C189*1000000/'Original Population'!C$158</f>
        <v>0.33955038825217926</v>
      </c>
      <c r="D178" s="60">
        <f ca="1">D189*1000000/'Original Population'!D$158</f>
        <v>0.35740152941533115</v>
      </c>
      <c r="E178" s="60">
        <f ca="1">E189*1000000/'Original Population'!E$158</f>
        <v>0.36954018049490539</v>
      </c>
      <c r="F178" s="60">
        <f ca="1">F189*1000000/'Original Population'!F$158</f>
        <v>0.38011396301916484</v>
      </c>
      <c r="G178" s="60">
        <f ca="1">G189*1000000/'Original Population'!G$158</f>
        <v>0.39933962335867312</v>
      </c>
      <c r="H178" s="60">
        <f ca="1">H189*1000000/'Original Population'!H$158</f>
        <v>0.41775854688940917</v>
      </c>
      <c r="I178" s="60">
        <f t="shared" ca="1" si="17"/>
        <v>0.41775854688940917</v>
      </c>
      <c r="J178" s="60">
        <f t="shared" ca="1" si="17"/>
        <v>0.41775854688940917</v>
      </c>
      <c r="K178" s="60">
        <f t="shared" ca="1" si="17"/>
        <v>0.41775854688940917</v>
      </c>
      <c r="L178" s="60"/>
      <c r="M178" s="60">
        <f ca="1">B167*'Total Duration Tables Sup #2'!B167*1000000/'Updated Population'!B$158</f>
        <v>0.3144068747073126</v>
      </c>
      <c r="N178" s="60">
        <f ca="1">C167*'Total Duration Tables Sup #2'!C167*1000000/'Updated Population'!C$158</f>
        <v>0.33955038825217931</v>
      </c>
      <c r="O178" s="60">
        <f ca="1">D167*'Total Duration Tables Sup #2'!D167*1000000/'Updated Population'!D$158</f>
        <v>0.35740152941533115</v>
      </c>
      <c r="P178" s="60">
        <f ca="1">E167*'Total Duration Tables Sup #2'!E167*1000000/'Updated Population'!E$158</f>
        <v>0.36954018049490533</v>
      </c>
      <c r="Q178" s="60">
        <f ca="1">F167*'Total Duration Tables Sup #2'!F167*1000000/'Updated Population'!F$158</f>
        <v>0.38011396301916484</v>
      </c>
      <c r="R178" s="60">
        <f ca="1">G167*'Total Duration Tables Sup #2'!G167*1000000/'Updated Population'!G$158</f>
        <v>0.39933962335867301</v>
      </c>
      <c r="S178" s="60">
        <f ca="1">H167*'Total Duration Tables Sup #2'!H167*1000000/'Updated Population'!H$158</f>
        <v>0.41775854688940917</v>
      </c>
      <c r="T178" s="59"/>
    </row>
    <row r="179" spans="1:20" x14ac:dyDescent="0.2">
      <c r="A179" s="59" t="str">
        <f t="shared" ca="1" si="15"/>
        <v>Other Household Travel</v>
      </c>
      <c r="B179" s="60">
        <f ca="1">B190*1000000/'Original Population'!B$158</f>
        <v>1.2774730935473706</v>
      </c>
      <c r="C179" s="60">
        <f ca="1">C190*1000000/'Original Population'!C$158</f>
        <v>1.3147447787627431</v>
      </c>
      <c r="D179" s="60">
        <f ca="1">D190*1000000/'Original Population'!D$158</f>
        <v>1.3441025483518925</v>
      </c>
      <c r="E179" s="60">
        <f ca="1">E190*1000000/'Original Population'!E$158</f>
        <v>1.3492710552935467</v>
      </c>
      <c r="F179" s="60">
        <f ca="1">F190*1000000/'Original Population'!F$158</f>
        <v>1.355082214560033</v>
      </c>
      <c r="G179" s="60">
        <f ca="1">G190*1000000/'Original Population'!G$158</f>
        <v>1.3780330786745718</v>
      </c>
      <c r="H179" s="60">
        <f ca="1">H190*1000000/'Original Population'!H$158</f>
        <v>1.3994733575228768</v>
      </c>
      <c r="I179" s="60">
        <f t="shared" ca="1" si="17"/>
        <v>1.3994733575228768</v>
      </c>
      <c r="J179" s="60">
        <f t="shared" ca="1" si="17"/>
        <v>1.3994733575228768</v>
      </c>
      <c r="K179" s="60">
        <f t="shared" ca="1" si="17"/>
        <v>1.3994733575228768</v>
      </c>
      <c r="L179" s="60"/>
      <c r="M179" s="60">
        <f ca="1">B168*'Total Duration Tables Sup #2'!B168*1000000/'Updated Population'!B$158</f>
        <v>1.2774730935473706</v>
      </c>
      <c r="N179" s="60">
        <f ca="1">C168*'Total Duration Tables Sup #2'!C168*1000000/'Updated Population'!C$158</f>
        <v>1.3147447787627433</v>
      </c>
      <c r="O179" s="60">
        <f ca="1">D168*'Total Duration Tables Sup #2'!D168*1000000/'Updated Population'!D$158</f>
        <v>1.3441025483518925</v>
      </c>
      <c r="P179" s="60">
        <f ca="1">E168*'Total Duration Tables Sup #2'!E168*1000000/'Updated Population'!E$158</f>
        <v>1.349271055293547</v>
      </c>
      <c r="Q179" s="60">
        <f ca="1">F168*'Total Duration Tables Sup #2'!F168*1000000/'Updated Population'!F$158</f>
        <v>1.3550822145600327</v>
      </c>
      <c r="R179" s="60">
        <f ca="1">G168*'Total Duration Tables Sup #2'!G168*1000000/'Updated Population'!G$158</f>
        <v>1.3780330786745718</v>
      </c>
      <c r="S179" s="60">
        <f ca="1">H168*'Total Duration Tables Sup #2'!H168*1000000/'Updated Population'!H$158</f>
        <v>1.3994733575228768</v>
      </c>
      <c r="T179" s="59"/>
    </row>
    <row r="180" spans="1:20" x14ac:dyDescent="0.2">
      <c r="A180" t="s">
        <v>21</v>
      </c>
    </row>
    <row r="181" spans="1:20" x14ac:dyDescent="0.2">
      <c r="A181" t="str">
        <f t="shared" ref="A181:A187" ca="1" si="18">A27</f>
        <v>Pedestrian</v>
      </c>
      <c r="B181" s="4">
        <f ca="1">'Total Duration Tables Original'!B159</f>
        <v>205.0143830817</v>
      </c>
      <c r="C181" s="4">
        <f ca="1">'Total Duration Tables Original'!C159</f>
        <v>217.1546221543</v>
      </c>
      <c r="D181" s="4">
        <f ca="1">'Total Duration Tables Original'!D159</f>
        <v>224.97138491480001</v>
      </c>
      <c r="E181" s="4">
        <f ca="1">'Total Duration Tables Original'!E159</f>
        <v>232.23953062500001</v>
      </c>
      <c r="F181" s="4">
        <f ca="1">'Total Duration Tables Original'!F159</f>
        <v>237.59961556950003</v>
      </c>
      <c r="G181" s="4">
        <f ca="1">'Total Duration Tables Original'!G159</f>
        <v>242.30142432599993</v>
      </c>
      <c r="H181" s="4">
        <f ca="1">'Total Duration Tables Original'!H159</f>
        <v>245.90744617580003</v>
      </c>
      <c r="I181" s="1">
        <f ca="1">'Total Duration Tables Original'!I159</f>
        <v>251.86290453050788</v>
      </c>
      <c r="J181" s="1">
        <f ca="1">'Total Duration Tables Original'!J159</f>
        <v>257.22304807833933</v>
      </c>
      <c r="K181" s="1">
        <f ca="1">'Total Duration Tables Original'!K159</f>
        <v>262.21529693965687</v>
      </c>
    </row>
    <row r="182" spans="1:20" x14ac:dyDescent="0.2">
      <c r="A182" t="str">
        <f t="shared" ca="1" si="18"/>
        <v>Cyclist</v>
      </c>
      <c r="B182" s="4">
        <f ca="1">'Total Duration Tables Original'!B160</f>
        <v>24.928098629399997</v>
      </c>
      <c r="C182" s="4">
        <f ca="1">'Total Duration Tables Original'!C160</f>
        <v>26.906793556</v>
      </c>
      <c r="D182" s="4">
        <f ca="1">'Total Duration Tables Original'!D160</f>
        <v>27.988735212800002</v>
      </c>
      <c r="E182" s="4">
        <f ca="1">'Total Duration Tables Original'!E160</f>
        <v>28.6755378736</v>
      </c>
      <c r="F182" s="4">
        <f ca="1">'Total Duration Tables Original'!F160</f>
        <v>29.578471235200002</v>
      </c>
      <c r="G182" s="4">
        <f ca="1">'Total Duration Tables Original'!G160</f>
        <v>30.773496934600001</v>
      </c>
      <c r="H182" s="4">
        <f ca="1">'Total Duration Tables Original'!H160</f>
        <v>31.935924947299998</v>
      </c>
      <c r="I182" s="1">
        <f ca="1">'Total Duration Tables Original'!I160</f>
        <v>32.550340446302769</v>
      </c>
      <c r="J182" s="1">
        <f ca="1">'Total Duration Tables Original'!J160</f>
        <v>33.080201265461127</v>
      </c>
      <c r="K182" s="1">
        <f ca="1">'Total Duration Tables Original'!K160</f>
        <v>33.555770534923695</v>
      </c>
    </row>
    <row r="183" spans="1:20" x14ac:dyDescent="0.2">
      <c r="A183" t="str">
        <f t="shared" ca="1" si="18"/>
        <v>Light Vehicle Driver</v>
      </c>
      <c r="B183" s="4">
        <f ca="1">'Total Duration Tables Original'!B161</f>
        <v>820.39837236829999</v>
      </c>
      <c r="C183" s="4">
        <f ca="1">'Total Duration Tables Original'!C161</f>
        <v>901.43615233870014</v>
      </c>
      <c r="D183" s="4">
        <f ca="1">'Total Duration Tables Original'!D161</f>
        <v>954.33673071069984</v>
      </c>
      <c r="E183" s="4">
        <f ca="1">'Total Duration Tables Original'!E161</f>
        <v>995.42379152039996</v>
      </c>
      <c r="F183" s="4">
        <f ca="1">'Total Duration Tables Original'!F161</f>
        <v>1034.6958901034002</v>
      </c>
      <c r="G183" s="4">
        <f ca="1">'Total Duration Tables Original'!G161</f>
        <v>1066.3972568088002</v>
      </c>
      <c r="H183" s="4">
        <f ca="1">'Total Duration Tables Original'!H161</f>
        <v>1094.2609268572</v>
      </c>
      <c r="I183" s="1">
        <f ca="1">'Total Duration Tables Original'!I161</f>
        <v>1120.7968907743705</v>
      </c>
      <c r="J183" s="1">
        <f ca="1">'Total Duration Tables Original'!J161</f>
        <v>1144.6837021709609</v>
      </c>
      <c r="K183" s="1">
        <f ca="1">'Total Duration Tables Original'!K161</f>
        <v>1166.9324935641007</v>
      </c>
    </row>
    <row r="184" spans="1:20" x14ac:dyDescent="0.2">
      <c r="A184" t="str">
        <f t="shared" ca="1" si="18"/>
        <v>Light Vehicle Passenger</v>
      </c>
      <c r="B184" s="4">
        <f ca="1">'Total Duration Tables Original'!B162</f>
        <v>430.09037615619997</v>
      </c>
      <c r="C184" s="4">
        <f ca="1">'Total Duration Tables Original'!C162</f>
        <v>450.9240539246</v>
      </c>
      <c r="D184" s="4">
        <f ca="1">'Total Duration Tables Original'!D162</f>
        <v>464.67055292359987</v>
      </c>
      <c r="E184" s="4">
        <f ca="1">'Total Duration Tables Original'!E162</f>
        <v>476.83123455139997</v>
      </c>
      <c r="F184" s="4">
        <f ca="1">'Total Duration Tables Original'!F162</f>
        <v>487.04785002420005</v>
      </c>
      <c r="G184" s="4">
        <f ca="1">'Total Duration Tables Original'!G162</f>
        <v>495.33211730559998</v>
      </c>
      <c r="H184" s="4">
        <f ca="1">'Total Duration Tables Original'!H162</f>
        <v>501.0612941573001</v>
      </c>
      <c r="I184" s="1">
        <f ca="1">'Total Duration Tables Original'!I162</f>
        <v>512.99859459489164</v>
      </c>
      <c r="J184" s="1">
        <f ca="1">'Total Duration Tables Original'!J162</f>
        <v>523.71626793861299</v>
      </c>
      <c r="K184" s="1">
        <f ca="1">'Total Duration Tables Original'!K162</f>
        <v>533.67848515788762</v>
      </c>
    </row>
    <row r="185" spans="1:20" x14ac:dyDescent="0.2">
      <c r="A185" t="str">
        <f t="shared" ca="1" si="18"/>
        <v>Taxi/Vehicle Share</v>
      </c>
      <c r="B185" s="4">
        <f ca="1">'Total Duration Tables Original'!B163</f>
        <v>4.6704390591000005</v>
      </c>
      <c r="C185" s="4">
        <f ca="1">'Total Duration Tables Original'!C163</f>
        <v>5.3460634366999997</v>
      </c>
      <c r="D185" s="4">
        <f ca="1">'Total Duration Tables Original'!D163</f>
        <v>5.9125819338999994</v>
      </c>
      <c r="E185" s="4">
        <f ca="1">'Total Duration Tables Original'!E163</f>
        <v>6.4796880258000007</v>
      </c>
      <c r="F185" s="4">
        <f ca="1">'Total Duration Tables Original'!F163</f>
        <v>7.0093778647000011</v>
      </c>
      <c r="G185" s="4">
        <f ca="1">'Total Duration Tables Original'!G163</f>
        <v>7.4459479201000001</v>
      </c>
      <c r="H185" s="4">
        <f ca="1">'Total Duration Tables Original'!H163</f>
        <v>7.865246867299998</v>
      </c>
      <c r="I185" s="1">
        <f ca="1">'Total Duration Tables Original'!I163</f>
        <v>8.0805061604271113</v>
      </c>
      <c r="J185" s="1">
        <f ca="1">'Total Duration Tables Original'!J163</f>
        <v>8.277963393049717</v>
      </c>
      <c r="K185" s="1">
        <f ca="1">'Total Duration Tables Original'!K163</f>
        <v>8.4647710715932725</v>
      </c>
    </row>
    <row r="186" spans="1:20" x14ac:dyDescent="0.2">
      <c r="A186" t="str">
        <f t="shared" ca="1" si="18"/>
        <v>Motorcyclist</v>
      </c>
      <c r="B186" s="4">
        <f ca="1">'Total Duration Tables Original'!B164</f>
        <v>6.0136150244</v>
      </c>
      <c r="C186" s="4">
        <f ca="1">'Total Duration Tables Original'!C164</f>
        <v>6.4879206181000004</v>
      </c>
      <c r="D186" s="4">
        <f ca="1">'Total Duration Tables Original'!D164</f>
        <v>6.7760474137999998</v>
      </c>
      <c r="E186" s="4">
        <f ca="1">'Total Duration Tables Original'!E164</f>
        <v>6.9442960639000013</v>
      </c>
      <c r="F186" s="4">
        <f ca="1">'Total Duration Tables Original'!F164</f>
        <v>7.0984130051000003</v>
      </c>
      <c r="G186" s="4">
        <f ca="1">'Total Duration Tables Original'!G164</f>
        <v>7.1576242305000006</v>
      </c>
      <c r="H186" s="4">
        <f ca="1">'Total Duration Tables Original'!H164</f>
        <v>7.1796967897999986</v>
      </c>
      <c r="I186" s="1">
        <f ca="1">'Total Duration Tables Original'!I164</f>
        <v>7.3259276426807478</v>
      </c>
      <c r="J186" s="1">
        <f ca="1">'Total Duration Tables Original'!J164</f>
        <v>7.4540052033408415</v>
      </c>
      <c r="K186" s="1">
        <f ca="1">'Total Duration Tables Original'!K164</f>
        <v>7.5707190229768271</v>
      </c>
    </row>
    <row r="187" spans="1:20" x14ac:dyDescent="0.2">
      <c r="A187" t="str">
        <f t="shared" ca="1" si="18"/>
        <v>Local Train</v>
      </c>
      <c r="B187" s="4">
        <f ca="1">'Total Duration Tables Original'!B22+'Total Duration Tables Original'!B99</f>
        <v>9.8112189659999984</v>
      </c>
      <c r="C187" s="4">
        <f ca="1">'Total Duration Tables Original'!C22+'Total Duration Tables Original'!C99</f>
        <v>10.7854497057</v>
      </c>
      <c r="D187" s="4">
        <f ca="1">'Total Duration Tables Original'!D22+'Total Duration Tables Original'!D99</f>
        <v>11.484151662799999</v>
      </c>
      <c r="E187" s="4">
        <f ca="1">'Total Duration Tables Original'!E22+'Total Duration Tables Original'!E99</f>
        <v>12.115259650400001</v>
      </c>
      <c r="F187" s="4">
        <f ca="1">'Total Duration Tables Original'!F22+'Total Duration Tables Original'!F99</f>
        <v>12.5992635689</v>
      </c>
      <c r="G187" s="4">
        <f ca="1">'Total Duration Tables Original'!G22+'Total Duration Tables Original'!G99</f>
        <v>13.027962245400001</v>
      </c>
      <c r="H187" s="4">
        <f ca="1">'Total Duration Tables Original'!H22+'Total Duration Tables Original'!H99</f>
        <v>13.3852463352</v>
      </c>
      <c r="I187" s="1">
        <f ca="1">'Total Duration Tables Original'!I22+'Total Duration Tables Original'!I99</f>
        <v>13.713279598950471</v>
      </c>
      <c r="J187" s="1">
        <f ca="1">'Total Duration Tables Original'!J22+'Total Duration Tables Original'!J99</f>
        <v>14.00903979415159</v>
      </c>
      <c r="K187" s="1">
        <f ca="1">'Total Duration Tables Original'!K22+'Total Duration Tables Original'!K99</f>
        <v>14.284917539858185</v>
      </c>
    </row>
    <row r="188" spans="1:20" x14ac:dyDescent="0.2">
      <c r="A188" t="s">
        <v>16</v>
      </c>
      <c r="B188" s="4">
        <f ca="1">'Total Duration Tables Original'!B12+'Total Duration Tables Original'!B34+'Total Duration Tables Original'!B45+'Total Duration Tables Original'!B56+'Total Duration Tables Original'!B67+'Total Duration Tables Original'!B78+'Total Duration Tables Original'!B89+'Total Duration Tables Original'!B111+'Total Duration Tables Original'!B122+'Total Duration Tables Original'!B144+'Total Duration Tables Original'!B155</f>
        <v>14.151701071899998</v>
      </c>
      <c r="C188" s="4">
        <f ca="1">'Total Duration Tables Original'!C12+'Total Duration Tables Original'!C34+'Total Duration Tables Original'!C45+'Total Duration Tables Original'!C56+'Total Duration Tables Original'!C67+'Total Duration Tables Original'!C78+'Total Duration Tables Original'!C89+'Total Duration Tables Original'!C111+'Total Duration Tables Original'!C122+'Total Duration Tables Original'!C144+'Total Duration Tables Original'!C155</f>
        <v>13.561308502500003</v>
      </c>
      <c r="D188" s="4">
        <f ca="1">'Total Duration Tables Original'!D12+'Total Duration Tables Original'!D34+'Total Duration Tables Original'!D45+'Total Duration Tables Original'!D56+'Total Duration Tables Original'!D67+'Total Duration Tables Original'!D78+'Total Duration Tables Original'!D89+'Total Duration Tables Original'!D111+'Total Duration Tables Original'!D122+'Total Duration Tables Original'!D144+'Total Duration Tables Original'!D155</f>
        <v>13.1593812211</v>
      </c>
      <c r="E188" s="4">
        <f ca="1">'Total Duration Tables Original'!E12+'Total Duration Tables Original'!E34+'Total Duration Tables Original'!E45+'Total Duration Tables Original'!E56+'Total Duration Tables Original'!E67+'Total Duration Tables Original'!E78+'Total Duration Tables Original'!E89+'Total Duration Tables Original'!E111+'Total Duration Tables Original'!E122+'Total Duration Tables Original'!E144+'Total Duration Tables Original'!E155</f>
        <v>12.914683559499998</v>
      </c>
      <c r="F188" s="4">
        <f ca="1">'Total Duration Tables Original'!F12+'Total Duration Tables Original'!F34+'Total Duration Tables Original'!F45+'Total Duration Tables Original'!F56+'Total Duration Tables Original'!F67+'Total Duration Tables Original'!F78+'Total Duration Tables Original'!F89+'Total Duration Tables Original'!F111+'Total Duration Tables Original'!F122+'Total Duration Tables Original'!F144+'Total Duration Tables Original'!F155</f>
        <v>12.53533107</v>
      </c>
      <c r="G188" s="4">
        <f ca="1">'Total Duration Tables Original'!G12+'Total Duration Tables Original'!G34+'Total Duration Tables Original'!G45+'Total Duration Tables Original'!G56+'Total Duration Tables Original'!G67+'Total Duration Tables Original'!G78+'Total Duration Tables Original'!G89+'Total Duration Tables Original'!G111+'Total Duration Tables Original'!G122+'Total Duration Tables Original'!G144+'Total Duration Tables Original'!G155</f>
        <v>12.251328558899999</v>
      </c>
      <c r="H188" s="4">
        <f ca="1">'Total Duration Tables Original'!H12+'Total Duration Tables Original'!H34+'Total Duration Tables Original'!H45+'Total Duration Tables Original'!H56+'Total Duration Tables Original'!H67+'Total Duration Tables Original'!H78+'Total Duration Tables Original'!H89+'Total Duration Tables Original'!H111+'Total Duration Tables Original'!H122+'Total Duration Tables Original'!H144+'Total Duration Tables Original'!H155</f>
        <v>11.912941726799998</v>
      </c>
      <c r="I188" s="1">
        <f ca="1">'Total Duration Tables Original'!I12+'Total Duration Tables Original'!I34+'Total Duration Tables Original'!I45+'Total Duration Tables Original'!I56+'Total Duration Tables Original'!I67+'Total Duration Tables Original'!I78+'Total Duration Tables Original'!I89+'Total Duration Tables Original'!I111+'Total Duration Tables Original'!I122+'Total Duration Tables Original'!I144+'Total Duration Tables Original'!I155</f>
        <v>11.974472544371544</v>
      </c>
      <c r="J188" s="1">
        <f ca="1">'Total Duration Tables Original'!J12+'Total Duration Tables Original'!J34+'Total Duration Tables Original'!J45+'Total Duration Tables Original'!J56+'Total Duration Tables Original'!J67+'Total Duration Tables Original'!J78+'Total Duration Tables Original'!J89+'Total Duration Tables Original'!J111+'Total Duration Tables Original'!J122+'Total Duration Tables Original'!J144+'Total Duration Tables Original'!J155</f>
        <v>11.999838763555829</v>
      </c>
      <c r="K188" s="1">
        <f ca="1">'Total Duration Tables Original'!K12+'Total Duration Tables Original'!K34+'Total Duration Tables Original'!K45+'Total Duration Tables Original'!K56+'Total Duration Tables Original'!K67+'Total Duration Tables Original'!K78+'Total Duration Tables Original'!K89+'Total Duration Tables Original'!K111+'Total Duration Tables Original'!K122+'Total Duration Tables Original'!K144+'Total Duration Tables Original'!K155</f>
        <v>12.001240113670246</v>
      </c>
    </row>
    <row r="189" spans="1:20" x14ac:dyDescent="0.2">
      <c r="A189" t="str">
        <f ca="1">A35</f>
        <v>Local Ferry</v>
      </c>
      <c r="B189" s="4">
        <f ca="1">'Total Duration Tables Original'!B167</f>
        <v>1.3964695746999998</v>
      </c>
      <c r="C189" s="4">
        <f ca="1">'Total Duration Tables Original'!C167</f>
        <v>1.6087557845</v>
      </c>
      <c r="D189" s="4">
        <f ca="1">'Total Duration Tables Original'!D167</f>
        <v>1.7684585076999999</v>
      </c>
      <c r="E189" s="4">
        <f ca="1">'Total Duration Tables Original'!E167</f>
        <v>1.90405578</v>
      </c>
      <c r="F189" s="4">
        <f ca="1">'Total Duration Tables Original'!F167</f>
        <v>2.0290103232000001</v>
      </c>
      <c r="G189" s="4">
        <f ca="1">'Total Duration Tables Original'!G167</f>
        <v>2.1958088529999999</v>
      </c>
      <c r="H189" s="4">
        <f ca="1">'Total Duration Tables Original'!H167</f>
        <v>2.3556568942000005</v>
      </c>
      <c r="I189" s="1">
        <f ca="1">'Total Duration Tables Original'!I167</f>
        <v>2.4498106880645438</v>
      </c>
      <c r="J189" s="1">
        <f ca="1">'Total Duration Tables Original'!J167</f>
        <v>2.5398367034610296</v>
      </c>
      <c r="K189" s="1">
        <f ca="1">'Total Duration Tables Original'!K167</f>
        <v>2.6277316708248026</v>
      </c>
    </row>
    <row r="190" spans="1:20" x14ac:dyDescent="0.2">
      <c r="A190" t="str">
        <f ca="1">A36</f>
        <v>Other Household Travel</v>
      </c>
      <c r="B190" s="4">
        <f ca="1">'Total Duration Tables Original'!B168</f>
        <v>5.6740244923000009</v>
      </c>
      <c r="C190" s="4">
        <f ca="1">'Total Duration Tables Original'!C168</f>
        <v>6.229129287300001</v>
      </c>
      <c r="D190" s="4">
        <f ca="1">'Total Duration Tables Original'!D168</f>
        <v>6.6507538194999993</v>
      </c>
      <c r="E190" s="4">
        <f ca="1">'Total Duration Tables Original'!E168</f>
        <v>6.9521191123999992</v>
      </c>
      <c r="F190" s="4">
        <f ca="1">'Total Duration Tables Original'!F168</f>
        <v>7.2332933530999997</v>
      </c>
      <c r="G190" s="4">
        <f ca="1">'Total Duration Tables Original'!G168</f>
        <v>7.5772526864000005</v>
      </c>
      <c r="H190" s="4">
        <f ca="1">'Total Duration Tables Original'!H168</f>
        <v>7.8913503683999986</v>
      </c>
      <c r="I190" s="1">
        <f ca="1">'Total Duration Tables Original'!I168</f>
        <v>8.1079367532079072</v>
      </c>
      <c r="J190" s="1">
        <f ca="1">'Total Duration Tables Original'!J168</f>
        <v>8.3062474296768229</v>
      </c>
      <c r="K190" s="1">
        <f ca="1">'Total Duration Tables Original'!K168</f>
        <v>8.4934395805797944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177:H177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2:K190"/>
  <sheetViews>
    <sheetView workbookViewId="0">
      <selection activeCell="B22" sqref="B22"/>
    </sheetView>
  </sheetViews>
  <sheetFormatPr defaultRowHeight="12.75" x14ac:dyDescent="0.2"/>
  <cols>
    <col min="1" max="1" width="26.140625" customWidth="1"/>
  </cols>
  <sheetData>
    <row r="2" spans="1:11" x14ac:dyDescent="0.2">
      <c r="A2" s="3" t="s">
        <v>14</v>
      </c>
    </row>
    <row r="3" spans="1:11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">
      <c r="A4" t="str">
        <f ca="1">OFFSET(Northland_Reference,0,0)</f>
        <v>01 NORTHLAND</v>
      </c>
    </row>
    <row r="5" spans="1:11" x14ac:dyDescent="0.2">
      <c r="A5" t="str">
        <f ca="1">OFFSET(Northland_Reference,0,2)</f>
        <v>Pedestrian</v>
      </c>
      <c r="B5" s="4">
        <f ca="1">OFFSET(Northland_Reference,0,7)</f>
        <v>5.0772161771000004</v>
      </c>
      <c r="C5" s="4">
        <f ca="1">OFFSET(Northland_Reference,1,7)</f>
        <v>5.0946513753999998</v>
      </c>
      <c r="D5" s="4">
        <f ca="1">OFFSET(Northland_Reference,2,7)</f>
        <v>5.0761204244</v>
      </c>
      <c r="E5" s="4">
        <f ca="1">OFFSET(Northland_Reference,3,7)</f>
        <v>5.0391262564000003</v>
      </c>
      <c r="F5" s="4">
        <f ca="1">OFFSET(Northland_Reference,4,7)</f>
        <v>4.9471620080000003</v>
      </c>
      <c r="G5" s="4">
        <f ca="1">OFFSET(Northland_Reference,5,7)</f>
        <v>4.7965206941999998</v>
      </c>
      <c r="H5" s="4">
        <f ca="1">OFFSET(Northland_Reference,6,7)</f>
        <v>4.6275790457000001</v>
      </c>
      <c r="I5" s="1">
        <f ca="1">H5*('Updated Population'!I$4/'Updated Population'!H$4)</f>
        <v>4.6495271695907787</v>
      </c>
      <c r="J5" s="1">
        <f ca="1">I5*('Updated Population'!J$4/'Updated Population'!I$4)</f>
        <v>4.6567089490043712</v>
      </c>
      <c r="K5" s="1">
        <f ca="1">J5*('Updated Population'!K$4/'Updated Population'!J$4)</f>
        <v>4.6538787953524077</v>
      </c>
    </row>
    <row r="6" spans="1:11" x14ac:dyDescent="0.2">
      <c r="A6" t="str">
        <f ca="1">OFFSET(Northland_Reference,7,2)</f>
        <v>Cyclist</v>
      </c>
      <c r="B6" s="4">
        <f ca="1">OFFSET(Northland_Reference,7,7)</f>
        <v>0.15772883609999999</v>
      </c>
      <c r="C6" s="4">
        <f ca="1">OFFSET(Northland_Reference,8,7)</f>
        <v>0.15052034310000001</v>
      </c>
      <c r="D6" s="4">
        <f ca="1">OFFSET(Northland_Reference,9,7)</f>
        <v>0.155084634</v>
      </c>
      <c r="E6" s="4">
        <f ca="1">OFFSET(Northland_Reference,10,7)</f>
        <v>0.1708649558</v>
      </c>
      <c r="F6" s="4">
        <f ca="1">OFFSET(Northland_Reference,11,7)</f>
        <v>0.1822572298</v>
      </c>
      <c r="G6" s="4">
        <f ca="1">OFFSET(Northland_Reference,12,7)</f>
        <v>0.1752808652</v>
      </c>
      <c r="H6" s="4">
        <f ca="1">OFFSET(Northland_Reference,13,7)</f>
        <v>0.1686313294</v>
      </c>
      <c r="I6" s="1">
        <f ca="1">H6*('Updated Population'!I$4/'Updated Population'!H$4)</f>
        <v>0.1694311301755215</v>
      </c>
      <c r="J6" s="1">
        <f ca="1">I6*('Updated Population'!J$4/'Updated Population'!I$4)</f>
        <v>0.16969283786284822</v>
      </c>
      <c r="K6" s="1">
        <f ca="1">J6*('Updated Population'!K$4/'Updated Population'!J$4)</f>
        <v>0.16958970562717515</v>
      </c>
    </row>
    <row r="7" spans="1:11" x14ac:dyDescent="0.2">
      <c r="A7" t="str">
        <f ca="1">OFFSET(Northland_Reference,14,2)</f>
        <v>Light Vehicle Driver</v>
      </c>
      <c r="B7" s="4">
        <f ca="1">OFFSET(Northland_Reference,14,7)</f>
        <v>23.421840091</v>
      </c>
      <c r="C7" s="4">
        <f ca="1">OFFSET(Northland_Reference,15,7)</f>
        <v>24.672311249</v>
      </c>
      <c r="D7" s="4">
        <f ca="1">OFFSET(Northland_Reference,16,7)</f>
        <v>25.369317467999998</v>
      </c>
      <c r="E7" s="4">
        <f ca="1">OFFSET(Northland_Reference,17,7)</f>
        <v>25.880495067999998</v>
      </c>
      <c r="F7" s="4">
        <f ca="1">OFFSET(Northland_Reference,18,7)</f>
        <v>26.431842197999998</v>
      </c>
      <c r="G7" s="4">
        <f ca="1">OFFSET(Northland_Reference,19,7)</f>
        <v>26.658698159</v>
      </c>
      <c r="H7" s="4">
        <f ca="1">OFFSET(Northland_Reference,20,7)</f>
        <v>26.791861561000001</v>
      </c>
      <c r="I7" s="1">
        <f ca="1">H7*('Updated Population'!I$4/'Updated Population'!H$4)</f>
        <v>26.918932560976071</v>
      </c>
      <c r="J7" s="1">
        <f ca="1">I7*('Updated Population'!J$4/'Updated Population'!I$4)</f>
        <v>26.960512237500325</v>
      </c>
      <c r="K7" s="1">
        <f ca="1">J7*('Updated Population'!K$4/'Updated Population'!J$4)</f>
        <v>26.944126761619536</v>
      </c>
    </row>
    <row r="8" spans="1:11" x14ac:dyDescent="0.2">
      <c r="A8" t="str">
        <f ca="1">OFFSET(Northland_Reference,21,2)</f>
        <v>Light Vehicle Passenger</v>
      </c>
      <c r="B8" s="4">
        <f ca="1">OFFSET(Northland_Reference,21,7)</f>
        <v>15.174949781</v>
      </c>
      <c r="C8" s="4">
        <f ca="1">OFFSET(Northland_Reference,22,7)</f>
        <v>15.168946496</v>
      </c>
      <c r="D8" s="4">
        <f ca="1">OFFSET(Northland_Reference,23,7)</f>
        <v>15.078358792</v>
      </c>
      <c r="E8" s="4">
        <f ca="1">OFFSET(Northland_Reference,24,7)</f>
        <v>15.005755887999999</v>
      </c>
      <c r="F8" s="4">
        <f ca="1">OFFSET(Northland_Reference,25,7)</f>
        <v>14.881975059</v>
      </c>
      <c r="G8" s="4">
        <f ca="1">OFFSET(Northland_Reference,26,7)</f>
        <v>14.682811373</v>
      </c>
      <c r="H8" s="4">
        <f ca="1">OFFSET(Northland_Reference,27,7)</f>
        <v>14.424277417000001</v>
      </c>
      <c r="I8" s="1">
        <f ca="1">H8*('Updated Population'!I$4/'Updated Population'!H$4)</f>
        <v>14.49269025763585</v>
      </c>
      <c r="J8" s="1">
        <f ca="1">I8*('Updated Population'!J$4/'Updated Population'!I$4)</f>
        <v>14.515076040263512</v>
      </c>
      <c r="K8" s="1">
        <f ca="1">J8*('Updated Population'!K$4/'Updated Population'!J$4)</f>
        <v>14.506254381896252</v>
      </c>
    </row>
    <row r="9" spans="1:11" x14ac:dyDescent="0.2">
      <c r="A9" t="str">
        <f ca="1">OFFSET(Northland_Reference,28,2)</f>
        <v>Taxi/Vehicle Share</v>
      </c>
      <c r="B9" s="4">
        <f ca="1">OFFSET(Northland_Reference,28,7)</f>
        <v>2.5131369800000001E-2</v>
      </c>
      <c r="C9" s="4">
        <f ca="1">OFFSET(Northland_Reference,29,7)</f>
        <v>2.4721541900000001E-2</v>
      </c>
      <c r="D9" s="4">
        <f ca="1">OFFSET(Northland_Reference,30,7)</f>
        <v>2.5513783000000002E-2</v>
      </c>
      <c r="E9" s="4">
        <f ca="1">OFFSET(Northland_Reference,31,7)</f>
        <v>2.8350057299999998E-2</v>
      </c>
      <c r="F9" s="4">
        <f ca="1">OFFSET(Northland_Reference,32,7)</f>
        <v>2.9103981800000001E-2</v>
      </c>
      <c r="G9" s="4">
        <f ca="1">OFFSET(Northland_Reference,33,7)</f>
        <v>2.8325607199999998E-2</v>
      </c>
      <c r="H9" s="4">
        <f ca="1">OFFSET(Northland_Reference,34,7)</f>
        <v>2.73714938E-2</v>
      </c>
      <c r="I9" s="1">
        <f ca="1">H9*('Updated Population'!I$4/'Updated Population'!H$4)</f>
        <v>2.7501313935121473E-2</v>
      </c>
      <c r="J9" s="1">
        <f ca="1">I9*('Updated Population'!J$4/'Updated Population'!I$4)</f>
        <v>2.7543793172915321E-2</v>
      </c>
      <c r="K9" s="1">
        <f ca="1">J9*('Updated Population'!K$4/'Updated Population'!J$4)</f>
        <v>2.7527053203187577E-2</v>
      </c>
    </row>
    <row r="10" spans="1:11" x14ac:dyDescent="0.2">
      <c r="A10" t="str">
        <f ca="1">OFFSET(Northland_Reference,35,2)</f>
        <v>Motorcyclist</v>
      </c>
      <c r="B10" s="4">
        <f ca="1">OFFSET(Northland_Reference,35,7)</f>
        <v>0.28382488960000002</v>
      </c>
      <c r="C10" s="4">
        <f ca="1">OFFSET(Northland_Reference,36,7)</f>
        <v>0.29325990969999999</v>
      </c>
      <c r="D10" s="4">
        <f ca="1">OFFSET(Northland_Reference,37,7)</f>
        <v>0.28770179080000002</v>
      </c>
      <c r="E10" s="4">
        <f ca="1">OFFSET(Northland_Reference,38,7)</f>
        <v>0.2639958563</v>
      </c>
      <c r="F10" s="4">
        <f ca="1">OFFSET(Northland_Reference,39,7)</f>
        <v>0.2492028966</v>
      </c>
      <c r="G10" s="4">
        <f ca="1">OFFSET(Northland_Reference,40,7)</f>
        <v>0.24316708470000001</v>
      </c>
      <c r="H10" s="4">
        <f ca="1">OFFSET(Northland_Reference,41,7)</f>
        <v>0.2347997094</v>
      </c>
      <c r="I10" s="1">
        <f ca="1">H10*('Updated Population'!I$4/'Updated Population'!H$4)</f>
        <v>0.23591333988810986</v>
      </c>
      <c r="J10" s="1">
        <f ca="1">I10*('Updated Population'!J$4/'Updated Population'!I$4)</f>
        <v>0.23627773770879182</v>
      </c>
      <c r="K10" s="1">
        <f ca="1">J10*('Updated Population'!K$4/'Updated Population'!J$4)</f>
        <v>0.23613413794561633</v>
      </c>
    </row>
    <row r="11" spans="1:11" x14ac:dyDescent="0.2">
      <c r="A11" t="str">
        <f ca="1">OFFSET(Auckland_Reference,42,2)</f>
        <v>Local Train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">
        <f>H11*('Updated Population'!I$4/'Updated Population'!H$4)</f>
        <v>0</v>
      </c>
      <c r="J11" s="1">
        <f>I11*('Updated Population'!J$4/'Updated Population'!I$4)</f>
        <v>0</v>
      </c>
      <c r="K11" s="1">
        <f>J11*('Updated Population'!K$4/'Updated Population'!J$4)</f>
        <v>0</v>
      </c>
    </row>
    <row r="12" spans="1:11" x14ac:dyDescent="0.2">
      <c r="A12" t="str">
        <f ca="1">OFFSET(Northland_Reference,42,2)</f>
        <v>Local Bus</v>
      </c>
      <c r="B12" s="4">
        <f ca="1">OFFSET(Northland_Reference,42,7)</f>
        <v>1.5691203781</v>
      </c>
      <c r="C12" s="4">
        <f ca="1">OFFSET(Northland_Reference,43,7)</f>
        <v>1.4017577636</v>
      </c>
      <c r="D12" s="4">
        <f ca="1">OFFSET(Northland_Reference,44,7)</f>
        <v>1.2944358518000001</v>
      </c>
      <c r="E12" s="4">
        <f ca="1">OFFSET(Northland_Reference,45,7)</f>
        <v>1.1947957409000001</v>
      </c>
      <c r="F12" s="4">
        <f ca="1">OFFSET(Northland_Reference,46,7)</f>
        <v>1.1070409488999999</v>
      </c>
      <c r="G12" s="4">
        <f ca="1">OFFSET(Northland_Reference,47,7)</f>
        <v>1.0343225588</v>
      </c>
      <c r="H12" s="4">
        <f ca="1">OFFSET(Northland_Reference,48,7)</f>
        <v>0.95989640379999996</v>
      </c>
      <c r="I12" s="1">
        <f ca="1">H12*('Updated Population'!I$4/'Updated Population'!H$4)</f>
        <v>0.96444909214629448</v>
      </c>
      <c r="J12" s="1">
        <f ca="1">I12*('Updated Population'!J$4/'Updated Population'!I$4)</f>
        <v>0.96593880505317575</v>
      </c>
      <c r="K12" s="1">
        <f ca="1">J12*('Updated Population'!K$4/'Updated Population'!J$4)</f>
        <v>0.96535174769858656</v>
      </c>
    </row>
    <row r="13" spans="1:11" x14ac:dyDescent="0.2">
      <c r="A13" t="str">
        <f ca="1">OFFSET(Northland_Reference,49,2)</f>
        <v>Local Ferry</v>
      </c>
      <c r="B13" s="4">
        <f ca="1">OFFSET(Northland_Reference,49,7)</f>
        <v>1.43058123E-2</v>
      </c>
      <c r="C13" s="4">
        <f ca="1">OFFSET(Northland_Reference,50,7)</f>
        <v>1.5018559500000001E-2</v>
      </c>
      <c r="D13" s="4">
        <f ca="1">OFFSET(Northland_Reference,51,7)</f>
        <v>1.4894496E-2</v>
      </c>
      <c r="E13" s="4">
        <f ca="1">OFFSET(Northland_Reference,52,7)</f>
        <v>1.4476072899999999E-2</v>
      </c>
      <c r="F13" s="4">
        <f ca="1">OFFSET(Northland_Reference,53,7)</f>
        <v>1.3487081200000001E-2</v>
      </c>
      <c r="G13" s="4">
        <f ca="1">OFFSET(Northland_Reference,54,7)</f>
        <v>1.20768539E-2</v>
      </c>
      <c r="H13" s="4">
        <f ca="1">OFFSET(Northland_Reference,55,7)</f>
        <v>1.07557794E-2</v>
      </c>
      <c r="I13" s="1">
        <f ca="1">H13*('Updated Population'!I$4/'Updated Population'!H$4)</f>
        <v>1.0806792937852463E-2</v>
      </c>
      <c r="J13" s="1">
        <f ca="1">I13*('Updated Population'!J$4/'Updated Population'!I$4)</f>
        <v>1.0823485388550597E-2</v>
      </c>
      <c r="K13" s="1">
        <f ca="1">J13*('Updated Population'!K$4/'Updated Population'!J$4)</f>
        <v>1.0816907325151138E-2</v>
      </c>
    </row>
    <row r="14" spans="1:11" x14ac:dyDescent="0.2">
      <c r="A14" t="str">
        <f ca="1">OFFSET(Northland_Reference,56,2)</f>
        <v>Other Household Travel</v>
      </c>
      <c r="B14" s="4">
        <f ca="1">OFFSET(Northland_Reference,56,7)</f>
        <v>0</v>
      </c>
      <c r="C14" s="4">
        <f ca="1">OFFSET(Northland_Reference,57,7)</f>
        <v>0</v>
      </c>
      <c r="D14" s="4">
        <f ca="1">OFFSET(Northland_Reference,58,7)</f>
        <v>0</v>
      </c>
      <c r="E14" s="4">
        <f ca="1">OFFSET(Northland_Reference,59,7)</f>
        <v>0</v>
      </c>
      <c r="F14" s="4">
        <f ca="1">OFFSET(Northland_Reference,60,7)</f>
        <v>0</v>
      </c>
      <c r="G14" s="4">
        <f ca="1">OFFSET(Northland_Reference,61,7)</f>
        <v>0</v>
      </c>
      <c r="H14" s="4">
        <f ca="1">OFFSET(Northland_Reference,62,7)</f>
        <v>0</v>
      </c>
      <c r="I14" s="1">
        <f ca="1">H14*('Updated Population'!I$4/'Updated Population'!H$4)</f>
        <v>0</v>
      </c>
      <c r="J14" s="1">
        <f ca="1">I14*('Updated Population'!J$4/'Updated Population'!I$4)</f>
        <v>0</v>
      </c>
      <c r="K14" s="1">
        <f ca="1">J14*('Updated Population'!K$4/'Updated Population'!J$4)</f>
        <v>0</v>
      </c>
    </row>
    <row r="15" spans="1:11" x14ac:dyDescent="0.2">
      <c r="A15" t="str">
        <f ca="1">OFFSET(Auckland_Reference,0,0)</f>
        <v>02 AUCKLAND</v>
      </c>
      <c r="I15" s="1"/>
      <c r="J15" s="1"/>
      <c r="K15" s="1"/>
    </row>
    <row r="16" spans="1:11" x14ac:dyDescent="0.2">
      <c r="A16" t="str">
        <f ca="1">OFFSET(Auckland_Reference,0,2)</f>
        <v>Pedestrian</v>
      </c>
      <c r="B16" s="4">
        <f ca="1">OFFSET(Auckland_Reference,0,7)</f>
        <v>73.381071999</v>
      </c>
      <c r="C16" s="4">
        <f ca="1">OFFSET(Auckland_Reference,1,7)</f>
        <v>80.726239504999995</v>
      </c>
      <c r="D16" s="4">
        <f ca="1">OFFSET(Auckland_Reference,2,7)</f>
        <v>86.126645803000002</v>
      </c>
      <c r="E16" s="4">
        <f ca="1">OFFSET(Auckland_Reference,3,7)</f>
        <v>91.176255721000004</v>
      </c>
      <c r="F16" s="4">
        <f ca="1">OFFSET(Auckland_Reference,4,7)</f>
        <v>95.631265416999994</v>
      </c>
      <c r="G16" s="4">
        <f ca="1">OFFSET(Auckland_Reference,5,7)</f>
        <v>100.13169444</v>
      </c>
      <c r="H16" s="4">
        <f ca="1">OFFSET(Auckland_Reference,6,7)</f>
        <v>104.01870106</v>
      </c>
      <c r="I16" s="1">
        <f ca="1">H16*('Updated Population'!I$15/'Updated Population'!H$15)</f>
        <v>108.48894390883481</v>
      </c>
      <c r="J16" s="1">
        <f ca="1">I16*('Updated Population'!J$15/'Updated Population'!I$15)</f>
        <v>112.7911170522587</v>
      </c>
      <c r="K16" s="1">
        <f ca="1">J16*('Updated Population'!K$15/'Updated Population'!J$15)</f>
        <v>117.01188693652342</v>
      </c>
    </row>
    <row r="17" spans="1:11" x14ac:dyDescent="0.2">
      <c r="A17" t="str">
        <f ca="1">OFFSET(Auckland_Reference,7,2)</f>
        <v>Cyclist</v>
      </c>
      <c r="B17" s="4">
        <f ca="1">OFFSET(Auckland_Reference,7,7)</f>
        <v>4.3659429593999999</v>
      </c>
      <c r="C17" s="4">
        <f ca="1">OFFSET(Auckland_Reference,8,7)</f>
        <v>4.9810407221000004</v>
      </c>
      <c r="D17" s="4">
        <f ca="1">OFFSET(Auckland_Reference,9,7)</f>
        <v>5.4283595900000003</v>
      </c>
      <c r="E17" s="4">
        <f ca="1">OFFSET(Auckland_Reference,10,7)</f>
        <v>5.7480668307</v>
      </c>
      <c r="F17" s="4">
        <f ca="1">OFFSET(Auckland_Reference,11,7)</f>
        <v>6.1186436941000002</v>
      </c>
      <c r="G17" s="4">
        <f ca="1">OFFSET(Auckland_Reference,12,7)</f>
        <v>6.6527695841999996</v>
      </c>
      <c r="H17" s="4">
        <f ca="1">OFFSET(Auckland_Reference,13,7)</f>
        <v>7.183244352</v>
      </c>
      <c r="I17" s="1">
        <f ca="1">H17*('Updated Population'!I$15/'Updated Population'!H$15)</f>
        <v>7.4919469830532268</v>
      </c>
      <c r="J17" s="1">
        <f ca="1">I17*('Updated Population'!J$15/'Updated Population'!I$15)</f>
        <v>7.7890431842065171</v>
      </c>
      <c r="K17" s="1">
        <f ca="1">J17*('Updated Population'!K$15/'Updated Population'!J$15)</f>
        <v>8.0805179009956429</v>
      </c>
    </row>
    <row r="18" spans="1:11" x14ac:dyDescent="0.2">
      <c r="A18" t="str">
        <f ca="1">OFFSET(Auckland_Reference,14,2)</f>
        <v>Light Vehicle Driver</v>
      </c>
      <c r="B18" s="4">
        <f ca="1">OFFSET(Auckland_Reference,14,7)</f>
        <v>295.36669345000001</v>
      </c>
      <c r="C18" s="4">
        <f ca="1">OFFSET(Auckland_Reference,15,7)</f>
        <v>336.39468921999998</v>
      </c>
      <c r="D18" s="4">
        <f ca="1">OFFSET(Auckland_Reference,16,7)</f>
        <v>363.56406843000002</v>
      </c>
      <c r="E18" s="4">
        <f ca="1">OFFSET(Auckland_Reference,17,7)</f>
        <v>384.54108409999998</v>
      </c>
      <c r="F18" s="4">
        <f ca="1">OFFSET(Auckland_Reference,18,7)</f>
        <v>406.73776893000002</v>
      </c>
      <c r="G18" s="4">
        <f ca="1">OFFSET(Auckland_Reference,19,7)</f>
        <v>427.575467</v>
      </c>
      <c r="H18" s="4">
        <f ca="1">OFFSET(Auckland_Reference,20,7)</f>
        <v>446.65725065999999</v>
      </c>
      <c r="I18" s="1">
        <f ca="1">H18*('Updated Population'!I$15/'Updated Population'!H$15)</f>
        <v>465.85251420680555</v>
      </c>
      <c r="J18" s="1">
        <f ca="1">I18*('Updated Population'!J$15/'Updated Population'!I$15)</f>
        <v>484.32608490633379</v>
      </c>
      <c r="K18" s="1">
        <f ca="1">J18*('Updated Population'!K$15/'Updated Population'!J$15)</f>
        <v>502.45010926890262</v>
      </c>
    </row>
    <row r="19" spans="1:11" x14ac:dyDescent="0.2">
      <c r="A19" t="str">
        <f ca="1">OFFSET(Auckland_Reference,21,2)</f>
        <v>Light Vehicle Passenger</v>
      </c>
      <c r="B19" s="4">
        <f ca="1">OFFSET(Auckland_Reference,21,7)</f>
        <v>145.42645436999999</v>
      </c>
      <c r="C19" s="4">
        <f ca="1">OFFSET(Auckland_Reference,22,7)</f>
        <v>158.95245370999999</v>
      </c>
      <c r="D19" s="4">
        <f ca="1">OFFSET(Auckland_Reference,23,7)</f>
        <v>169.27055988000001</v>
      </c>
      <c r="E19" s="4">
        <f ca="1">OFFSET(Auckland_Reference,24,7)</f>
        <v>178.67030728</v>
      </c>
      <c r="F19" s="4">
        <f ca="1">OFFSET(Auckland_Reference,25,7)</f>
        <v>187.32165502000001</v>
      </c>
      <c r="G19" s="4">
        <f ca="1">OFFSET(Auckland_Reference,26,7)</f>
        <v>195.35485550999999</v>
      </c>
      <c r="H19" s="4">
        <f ca="1">OFFSET(Auckland_Reference,27,7)</f>
        <v>202.14382459000001</v>
      </c>
      <c r="I19" s="1">
        <f ca="1">H19*('Updated Population'!I$15/'Updated Population'!H$15)</f>
        <v>210.83103157394737</v>
      </c>
      <c r="J19" s="1">
        <f ca="1">I19*('Updated Population'!J$15/'Updated Population'!I$15)</f>
        <v>219.1916217793418</v>
      </c>
      <c r="K19" s="1">
        <f ca="1">J19*('Updated Population'!K$15/'Updated Population'!J$15)</f>
        <v>227.39401767955036</v>
      </c>
    </row>
    <row r="20" spans="1:11" x14ac:dyDescent="0.2">
      <c r="A20" t="str">
        <f ca="1">OFFSET(Auckland_Reference,28,2)</f>
        <v>Taxi/Vehicle Share</v>
      </c>
      <c r="B20" s="4">
        <f ca="1">OFFSET(Auckland_Reference,28,7)</f>
        <v>1.9131795197999999</v>
      </c>
      <c r="C20" s="4">
        <f ca="1">OFFSET(Auckland_Reference,29,7)</f>
        <v>2.2963852653000001</v>
      </c>
      <c r="D20" s="4">
        <f ca="1">OFFSET(Auckland_Reference,30,7)</f>
        <v>2.6592429663999999</v>
      </c>
      <c r="E20" s="4">
        <f ca="1">OFFSET(Auckland_Reference,31,7)</f>
        <v>3.0419055691999999</v>
      </c>
      <c r="F20" s="4">
        <f ca="1">OFFSET(Auckland_Reference,32,7)</f>
        <v>3.4157408883000002</v>
      </c>
      <c r="G20" s="4">
        <f ca="1">OFFSET(Auckland_Reference,33,7)</f>
        <v>3.7451322487000001</v>
      </c>
      <c r="H20" s="4">
        <f ca="1">OFFSET(Auckland_Reference,34,7)</f>
        <v>4.075781331</v>
      </c>
      <c r="I20" s="1">
        <f ca="1">H20*('Updated Population'!I$15/'Updated Population'!H$15)</f>
        <v>4.2509395685346876</v>
      </c>
      <c r="J20" s="1">
        <f ca="1">I20*('Updated Population'!J$15/'Updated Population'!I$15)</f>
        <v>4.4195123040333</v>
      </c>
      <c r="K20" s="1">
        <f ca="1">J20*('Updated Population'!K$15/'Updated Population'!J$15)</f>
        <v>4.5848954026629416</v>
      </c>
    </row>
    <row r="21" spans="1:11" x14ac:dyDescent="0.2">
      <c r="A21" t="str">
        <f ca="1">OFFSET(Auckland_Reference,35,2)</f>
        <v>Motorcyclist</v>
      </c>
      <c r="B21" s="4">
        <f ca="1">OFFSET(Auckland_Reference,35,7)</f>
        <v>1.5334409518000001</v>
      </c>
      <c r="C21" s="4">
        <f ca="1">OFFSET(Auckland_Reference,36,7)</f>
        <v>1.7760237491999999</v>
      </c>
      <c r="D21" s="4">
        <f ca="1">OFFSET(Auckland_Reference,37,7)</f>
        <v>1.9620104072</v>
      </c>
      <c r="E21" s="4">
        <f ca="1">OFFSET(Auckland_Reference,38,7)</f>
        <v>2.1494213970999998</v>
      </c>
      <c r="F21" s="4">
        <f ca="1">OFFSET(Auckland_Reference,39,7)</f>
        <v>2.3386744127000001</v>
      </c>
      <c r="G21" s="4">
        <f ca="1">OFFSET(Auckland_Reference,40,7)</f>
        <v>2.4597771864000002</v>
      </c>
      <c r="H21" s="4">
        <f ca="1">OFFSET(Auckland_Reference,41,7)</f>
        <v>2.5713561492000001</v>
      </c>
      <c r="I21" s="1">
        <f ca="1">H21*('Updated Population'!I$15/'Updated Population'!H$15)</f>
        <v>2.681861148018803</v>
      </c>
      <c r="J21" s="1">
        <f ca="1">I21*('Updated Population'!J$15/'Updated Population'!I$15)</f>
        <v>2.7882114413269754</v>
      </c>
      <c r="K21" s="1">
        <f ca="1">J21*('Updated Population'!K$15/'Updated Population'!J$15)</f>
        <v>2.8925494352229189</v>
      </c>
    </row>
    <row r="22" spans="1:11" x14ac:dyDescent="0.2">
      <c r="A22" t="str">
        <f ca="1">OFFSET(Auckland_Reference,42,2)</f>
        <v>Local Train</v>
      </c>
      <c r="B22" s="4">
        <f ca="1">OFFSET(Auckland_Reference,42,7)</f>
        <v>4.2843438359999997</v>
      </c>
      <c r="C22" s="4">
        <f ca="1">OFFSET(Auckland_Reference,43,7)</f>
        <v>4.8988979616000004</v>
      </c>
      <c r="D22" s="4">
        <f ca="1">OFFSET(Auckland_Reference,44,7)</f>
        <v>5.3217289628</v>
      </c>
      <c r="E22" s="4">
        <f ca="1">OFFSET(Auckland_Reference,45,7)</f>
        <v>5.7082717365000004</v>
      </c>
      <c r="F22" s="4">
        <f ca="1">OFFSET(Auckland_Reference,46,7)</f>
        <v>6.0546913252000003</v>
      </c>
      <c r="G22" s="4">
        <f ca="1">OFFSET(Auckland_Reference,47,7)</f>
        <v>6.3408358907000002</v>
      </c>
      <c r="H22" s="4">
        <f ca="1">OFFSET(Auckland_Reference,48,7)</f>
        <v>6.5868740203999998</v>
      </c>
      <c r="I22" s="1">
        <f ca="1">H22*('Updated Population'!I$15/'Updated Population'!H$15)</f>
        <v>6.8699474118749091</v>
      </c>
      <c r="J22" s="1">
        <f ca="1">I22*('Updated Population'!J$15/'Updated Population'!I$15)</f>
        <v>7.1423779673510399</v>
      </c>
      <c r="K22" s="1">
        <f ca="1">J22*('Updated Population'!K$15/'Updated Population'!J$15)</f>
        <v>7.4096537477005127</v>
      </c>
    </row>
    <row r="23" spans="1:11" x14ac:dyDescent="0.2">
      <c r="A23" t="str">
        <f ca="1">OFFSET(Auckland_Reference,49,2)</f>
        <v>Local Bus</v>
      </c>
      <c r="B23" s="4">
        <f ca="1">OFFSET(Auckland_Reference,49,7)</f>
        <v>22.622672496</v>
      </c>
      <c r="C23" s="4">
        <f ca="1">OFFSET(Auckland_Reference,50,7)</f>
        <v>24.897863955999998</v>
      </c>
      <c r="D23" s="4">
        <f ca="1">OFFSET(Auckland_Reference,51,7)</f>
        <v>26.164405055</v>
      </c>
      <c r="E23" s="4">
        <f ca="1">OFFSET(Auckland_Reference,52,7)</f>
        <v>27.685138536</v>
      </c>
      <c r="F23" s="4">
        <f ca="1">OFFSET(Auckland_Reference,53,7)</f>
        <v>28.743872939999999</v>
      </c>
      <c r="G23" s="4">
        <f ca="1">OFFSET(Auckland_Reference,54,7)</f>
        <v>29.797348301</v>
      </c>
      <c r="H23" s="4">
        <f ca="1">OFFSET(Auckland_Reference,55,7)</f>
        <v>30.673427348000001</v>
      </c>
      <c r="I23" s="1">
        <f ca="1">H23*('Updated Population'!I$15/'Updated Population'!H$15)</f>
        <v>31.991629439108205</v>
      </c>
      <c r="J23" s="1">
        <f ca="1">I23*('Updated Population'!J$15/'Updated Population'!I$15)</f>
        <v>33.260270500845849</v>
      </c>
      <c r="K23" s="1">
        <f ca="1">J23*('Updated Population'!K$15/'Updated Population'!J$15)</f>
        <v>34.50490706214017</v>
      </c>
    </row>
    <row r="24" spans="1:11" x14ac:dyDescent="0.2">
      <c r="A24" t="str">
        <f ca="1">OFFSET(Auckland_Reference,56,2)</f>
        <v>Local Ferry</v>
      </c>
      <c r="B24" s="4">
        <f ca="1">OFFSET(Auckland_Reference,56,7)</f>
        <v>1.2124045342000001</v>
      </c>
      <c r="C24" s="4">
        <f ca="1">OFFSET(Auckland_Reference,57,7)</f>
        <v>1.4002895271</v>
      </c>
      <c r="D24" s="4">
        <f ca="1">OFFSET(Auckland_Reference,58,7)</f>
        <v>1.5446902177999999</v>
      </c>
      <c r="E24" s="4">
        <f ca="1">OFFSET(Auckland_Reference,59,7)</f>
        <v>1.6698032126</v>
      </c>
      <c r="F24" s="4">
        <f ca="1">OFFSET(Auckland_Reference,60,7)</f>
        <v>1.7926517800999999</v>
      </c>
      <c r="G24" s="4">
        <f ca="1">OFFSET(Auckland_Reference,61,7)</f>
        <v>1.962745572</v>
      </c>
      <c r="H24" s="4">
        <f ca="1">OFFSET(Auckland_Reference,62,7)</f>
        <v>2.1266529032000001</v>
      </c>
      <c r="I24" s="1">
        <f ca="1">H24*('Updated Population'!I$15/'Updated Population'!H$15)</f>
        <v>2.2180466125580893</v>
      </c>
      <c r="J24" s="1">
        <f ca="1">I24*('Updated Population'!J$15/'Updated Population'!I$15)</f>
        <v>2.3060041520418215</v>
      </c>
      <c r="K24" s="1">
        <f ca="1">J24*('Updated Population'!K$15/'Updated Population'!J$15)</f>
        <v>2.392297409279605</v>
      </c>
    </row>
    <row r="25" spans="1:11" x14ac:dyDescent="0.2">
      <c r="A25" t="str">
        <f ca="1">OFFSET(Auckland_Reference,63,2)</f>
        <v>Other Household Travel</v>
      </c>
      <c r="B25" s="4">
        <f ca="1">OFFSET(Auckland_Reference,63,7)</f>
        <v>2.4325058500000001</v>
      </c>
      <c r="C25" s="4">
        <f ca="1">OFFSET(Auckland_Reference,64,7)</f>
        <v>2.8736177908</v>
      </c>
      <c r="D25" s="4">
        <f ca="1">OFFSET(Auckland_Reference,65,7)</f>
        <v>3.1339711822999998</v>
      </c>
      <c r="E25" s="4">
        <f ca="1">OFFSET(Auckland_Reference,66,7)</f>
        <v>3.2118378204</v>
      </c>
      <c r="F25" s="4">
        <f ca="1">OFFSET(Auckland_Reference,67,7)</f>
        <v>3.3144669131</v>
      </c>
      <c r="G25" s="4">
        <f ca="1">OFFSET(Auckland_Reference,68,7)</f>
        <v>3.5002699187999999</v>
      </c>
      <c r="H25" s="4">
        <f ca="1">OFFSET(Auckland_Reference,69,7)</f>
        <v>3.6843503657999999</v>
      </c>
      <c r="I25" s="1">
        <f ca="1">H25*('Updated Population'!I$15/'Updated Population'!H$15)</f>
        <v>3.8426867102023317</v>
      </c>
      <c r="J25" s="1">
        <f ca="1">I25*('Updated Population'!J$15/'Updated Population'!I$15)</f>
        <v>3.9950700127544923</v>
      </c>
      <c r="K25" s="1">
        <f ca="1">J25*('Updated Population'!K$15/'Updated Population'!J$15)</f>
        <v>4.1445700056267194</v>
      </c>
    </row>
    <row r="26" spans="1:11" x14ac:dyDescent="0.2">
      <c r="A26" t="str">
        <f ca="1">OFFSET(Waikato_Reference,0,0)</f>
        <v>03 WAIKATO</v>
      </c>
      <c r="I26" s="1"/>
      <c r="J26" s="1"/>
      <c r="K26" s="1"/>
    </row>
    <row r="27" spans="1:11" x14ac:dyDescent="0.2">
      <c r="A27" t="str">
        <f ca="1">OFFSET(Waikato_Reference,0,2)</f>
        <v>Pedestrian</v>
      </c>
      <c r="B27" s="4">
        <f ca="1">OFFSET(Waikato_Reference,0,7)</f>
        <v>13.69170819</v>
      </c>
      <c r="C27" s="4">
        <f ca="1">OFFSET(Waikato_Reference,1,7)</f>
        <v>14.487372998</v>
      </c>
      <c r="D27" s="4">
        <f ca="1">OFFSET(Waikato_Reference,2,7)</f>
        <v>15.054325166</v>
      </c>
      <c r="E27" s="4">
        <f ca="1">OFFSET(Waikato_Reference,3,7)</f>
        <v>15.400432581</v>
      </c>
      <c r="F27" s="4">
        <f ca="1">OFFSET(Waikato_Reference,4,7)</f>
        <v>15.612068894</v>
      </c>
      <c r="G27" s="4">
        <f ca="1">OFFSET(Waikato_Reference,5,7)</f>
        <v>15.710238313</v>
      </c>
      <c r="H27" s="4">
        <f ca="1">OFFSET(Waikato_Reference,6,7)</f>
        <v>15.734247155</v>
      </c>
      <c r="I27" s="1">
        <f ca="1">H27*('Updated Population'!I$26/'Updated Population'!H$26)</f>
        <v>16.069071186007569</v>
      </c>
      <c r="J27" s="1">
        <f ca="1">I27*('Updated Population'!J$26/'Updated Population'!I$26)</f>
        <v>16.358781151301283</v>
      </c>
      <c r="K27" s="1">
        <f ca="1">J27*('Updated Population'!K$26/'Updated Population'!J$26)</f>
        <v>16.617924402223181</v>
      </c>
    </row>
    <row r="28" spans="1:11" x14ac:dyDescent="0.2">
      <c r="A28" t="str">
        <f ca="1">OFFSET(Waikato_Reference,7,2)</f>
        <v>Cyclist</v>
      </c>
      <c r="B28" s="4">
        <f ca="1">OFFSET(Waikato_Reference,7,7)</f>
        <v>1.7805943500000001</v>
      </c>
      <c r="C28" s="4">
        <f ca="1">OFFSET(Waikato_Reference,8,7)</f>
        <v>1.9127793846000001</v>
      </c>
      <c r="D28" s="4">
        <f ca="1">OFFSET(Waikato_Reference,9,7)</f>
        <v>2.0412033315999998</v>
      </c>
      <c r="E28" s="4">
        <f ca="1">OFFSET(Waikato_Reference,10,7)</f>
        <v>2.1353845358000001</v>
      </c>
      <c r="F28" s="4">
        <f ca="1">OFFSET(Waikato_Reference,11,7)</f>
        <v>2.2379029984000001</v>
      </c>
      <c r="G28" s="4">
        <f ca="1">OFFSET(Waikato_Reference,12,7)</f>
        <v>2.3803013839</v>
      </c>
      <c r="H28" s="4">
        <f ca="1">OFFSET(Waikato_Reference,13,7)</f>
        <v>2.5303598197000001</v>
      </c>
      <c r="I28" s="1">
        <f ca="1">H28*('Updated Population'!I$26/'Updated Population'!H$26)</f>
        <v>2.5842057562983909</v>
      </c>
      <c r="J28" s="1">
        <f ca="1">I28*('Updated Population'!J$26/'Updated Population'!I$26)</f>
        <v>2.6307965113770626</v>
      </c>
      <c r="K28" s="1">
        <f ca="1">J28*('Updated Population'!K$26/'Updated Population'!J$26)</f>
        <v>2.6724715698161208</v>
      </c>
    </row>
    <row r="29" spans="1:11" x14ac:dyDescent="0.2">
      <c r="A29" t="str">
        <f ca="1">OFFSET(Waikato_Reference,14,2)</f>
        <v>Light Vehicle Driver</v>
      </c>
      <c r="B29" s="4">
        <f ca="1">OFFSET(Waikato_Reference,14,7)</f>
        <v>82.274552721999996</v>
      </c>
      <c r="C29" s="4">
        <f ca="1">OFFSET(Waikato_Reference,15,7)</f>
        <v>90.109977568999994</v>
      </c>
      <c r="D29" s="4">
        <f ca="1">OFFSET(Waikato_Reference,16,7)</f>
        <v>95.227626747000002</v>
      </c>
      <c r="E29" s="4">
        <f ca="1">OFFSET(Waikato_Reference,17,7)</f>
        <v>99.480809231999999</v>
      </c>
      <c r="F29" s="4">
        <f ca="1">OFFSET(Waikato_Reference,18,7)</f>
        <v>103.32425698</v>
      </c>
      <c r="G29" s="4">
        <f ca="1">OFFSET(Waikato_Reference,19,7)</f>
        <v>106.00559839</v>
      </c>
      <c r="H29" s="4">
        <f ca="1">OFFSET(Waikato_Reference,20,7)</f>
        <v>108.33887279</v>
      </c>
      <c r="I29" s="1">
        <f ca="1">H29*('Updated Population'!I$26/'Updated Population'!H$26)</f>
        <v>110.64431884947905</v>
      </c>
      <c r="J29" s="1">
        <f ca="1">I29*('Updated Population'!J$26/'Updated Population'!I$26)</f>
        <v>112.63912996225459</v>
      </c>
      <c r="K29" s="1">
        <f ca="1">J29*('Updated Population'!K$26/'Updated Population'!J$26)</f>
        <v>114.42347257613636</v>
      </c>
    </row>
    <row r="30" spans="1:11" x14ac:dyDescent="0.2">
      <c r="A30" t="str">
        <f ca="1">OFFSET(Waikato_Reference,21,2)</f>
        <v>Light Vehicle Passenger</v>
      </c>
      <c r="B30" s="4">
        <f ca="1">OFFSET(Waikato_Reference,21,7)</f>
        <v>42.037273755000001</v>
      </c>
      <c r="C30" s="4">
        <f ca="1">OFFSET(Waikato_Reference,22,7)</f>
        <v>44.070316955000003</v>
      </c>
      <c r="D30" s="4">
        <f ca="1">OFFSET(Waikato_Reference,23,7)</f>
        <v>45.370256558999998</v>
      </c>
      <c r="E30" s="4">
        <f ca="1">OFFSET(Waikato_Reference,24,7)</f>
        <v>46.179697982999997</v>
      </c>
      <c r="F30" s="4">
        <f ca="1">OFFSET(Waikato_Reference,25,7)</f>
        <v>47.075623512999996</v>
      </c>
      <c r="G30" s="4">
        <f ca="1">OFFSET(Waikato_Reference,26,7)</f>
        <v>47.594162482000002</v>
      </c>
      <c r="H30" s="4">
        <f ca="1">OFFSET(Waikato_Reference,27,7)</f>
        <v>47.838981969999999</v>
      </c>
      <c r="I30" s="1">
        <f ca="1">H30*('Updated Population'!I$26/'Updated Population'!H$26)</f>
        <v>48.856993230704255</v>
      </c>
      <c r="J30" s="1">
        <f ca="1">I30*('Updated Population'!J$26/'Updated Population'!I$26)</f>
        <v>49.737838031836731</v>
      </c>
      <c r="K30" s="1">
        <f ca="1">J30*('Updated Population'!K$26/'Updated Population'!J$26)</f>
        <v>50.525746673818389</v>
      </c>
    </row>
    <row r="31" spans="1:11" x14ac:dyDescent="0.2">
      <c r="A31" t="str">
        <f ca="1">OFFSET(Waikato_Reference,28,2)</f>
        <v>Taxi/Vehicle Share</v>
      </c>
      <c r="B31" s="4">
        <f ca="1">OFFSET(Waikato_Reference,28,7)</f>
        <v>0.1633822556</v>
      </c>
      <c r="C31" s="4">
        <f ca="1">OFFSET(Waikato_Reference,29,7)</f>
        <v>0.1972573564</v>
      </c>
      <c r="D31" s="4">
        <f ca="1">OFFSET(Waikato_Reference,30,7)</f>
        <v>0.22009984699999999</v>
      </c>
      <c r="E31" s="4">
        <f ca="1">OFFSET(Waikato_Reference,31,7)</f>
        <v>0.24211705550000001</v>
      </c>
      <c r="F31" s="4">
        <f ca="1">OFFSET(Waikato_Reference,32,7)</f>
        <v>0.2600321001</v>
      </c>
      <c r="G31" s="4">
        <f ca="1">OFFSET(Waikato_Reference,33,7)</f>
        <v>0.26912257750000002</v>
      </c>
      <c r="H31" s="4">
        <f ca="1">OFFSET(Waikato_Reference,34,7)</f>
        <v>0.2781883631</v>
      </c>
      <c r="I31" s="1">
        <f ca="1">H31*('Updated Population'!I$26/'Updated Population'!H$26)</f>
        <v>0.28410819823383038</v>
      </c>
      <c r="J31" s="1">
        <f ca="1">I31*('Updated Population'!J$26/'Updated Population'!I$26)</f>
        <v>0.28923039697806485</v>
      </c>
      <c r="K31" s="1">
        <f ca="1">J31*('Updated Population'!K$26/'Updated Population'!J$26)</f>
        <v>0.29381216285934292</v>
      </c>
    </row>
    <row r="32" spans="1:11" x14ac:dyDescent="0.2">
      <c r="A32" t="str">
        <f ca="1">OFFSET(Waikato_Reference,35,2)</f>
        <v>Motorcyclist</v>
      </c>
      <c r="B32" s="4">
        <f ca="1">OFFSET(Waikato_Reference,35,7)</f>
        <v>0.60639269429999998</v>
      </c>
      <c r="C32" s="4">
        <f ca="1">OFFSET(Waikato_Reference,36,7)</f>
        <v>0.61315894500000001</v>
      </c>
      <c r="D32" s="4">
        <f ca="1">OFFSET(Waikato_Reference,37,7)</f>
        <v>0.61752044110000004</v>
      </c>
      <c r="E32" s="4">
        <f ca="1">OFFSET(Waikato_Reference,38,7)</f>
        <v>0.60771714030000001</v>
      </c>
      <c r="F32" s="4">
        <f ca="1">OFFSET(Waikato_Reference,39,7)</f>
        <v>0.58398822120000005</v>
      </c>
      <c r="G32" s="4">
        <f ca="1">OFFSET(Waikato_Reference,40,7)</f>
        <v>0.53521650669999998</v>
      </c>
      <c r="H32" s="4">
        <f ca="1">OFFSET(Waikato_Reference,41,7)</f>
        <v>0.48553442889999998</v>
      </c>
      <c r="I32" s="1">
        <f ca="1">H32*('Updated Population'!I$26/'Updated Population'!H$26)</f>
        <v>0.49586657845096188</v>
      </c>
      <c r="J32" s="1">
        <f ca="1">I32*('Updated Population'!J$26/'Updated Population'!I$26)</f>
        <v>0.50480657800479001</v>
      </c>
      <c r="K32" s="1">
        <f ca="1">J32*('Updated Population'!K$26/'Updated Population'!J$26)</f>
        <v>0.51280333622907337</v>
      </c>
    </row>
    <row r="33" spans="1:11" x14ac:dyDescent="0.2">
      <c r="A33" t="str">
        <f ca="1">OFFSET(Waikato_Reference,42,2)</f>
        <v>Local Train</v>
      </c>
      <c r="B33" s="4">
        <f ca="1">OFFSET(Waikato_Reference,42,7)</f>
        <v>7.0969514100000006E-2</v>
      </c>
      <c r="C33" s="4">
        <f ca="1">OFFSET(Waikato_Reference,43,7)</f>
        <v>7.7604885799999995E-2</v>
      </c>
      <c r="D33" s="4">
        <f ca="1">OFFSET(Waikato_Reference,44,7)</f>
        <v>9.2064190099999998E-2</v>
      </c>
      <c r="E33" s="4">
        <f ca="1">OFFSET(Waikato_Reference,45,7)</f>
        <v>0.1045829808</v>
      </c>
      <c r="F33" s="4">
        <f ca="1">OFFSET(Waikato_Reference,46,7)</f>
        <v>0.1131954416</v>
      </c>
      <c r="G33" s="4">
        <f ca="1">OFFSET(Waikato_Reference,47,7)</f>
        <v>0.1211651084</v>
      </c>
      <c r="H33" s="4">
        <f ca="1">OFFSET(Waikato_Reference,48,7)</f>
        <v>0.12788143690000001</v>
      </c>
      <c r="I33" s="1">
        <f ca="1">H33*('Updated Population'!I$26/'Updated Population'!H$26)</f>
        <v>0.130602747794134</v>
      </c>
      <c r="J33" s="1">
        <f ca="1">I33*('Updated Population'!J$26/'Updated Population'!I$26)</f>
        <v>0.13295739026803438</v>
      </c>
      <c r="K33" s="1">
        <f ca="1">J33*('Updated Population'!K$26/'Updated Population'!J$26)</f>
        <v>0.13506359916156244</v>
      </c>
    </row>
    <row r="34" spans="1:11" x14ac:dyDescent="0.2">
      <c r="A34" t="str">
        <f ca="1">OFFSET(Waikato_Reference,49,2)</f>
        <v>Local Bus</v>
      </c>
      <c r="B34" s="4">
        <f ca="1">OFFSET(Waikato_Reference,49,7)</f>
        <v>2.2088814398999999</v>
      </c>
      <c r="C34" s="4">
        <f ca="1">OFFSET(Waikato_Reference,50,7)</f>
        <v>2.2059838936</v>
      </c>
      <c r="D34" s="4">
        <f ca="1">OFFSET(Waikato_Reference,51,7)</f>
        <v>2.1916393963999998</v>
      </c>
      <c r="E34" s="4">
        <f ca="1">OFFSET(Waikato_Reference,52,7)</f>
        <v>2.2092021998</v>
      </c>
      <c r="F34" s="4">
        <f ca="1">OFFSET(Waikato_Reference,53,7)</f>
        <v>2.2159903906</v>
      </c>
      <c r="G34" s="4">
        <f ca="1">OFFSET(Waikato_Reference,54,7)</f>
        <v>2.2176624336000001</v>
      </c>
      <c r="H34" s="4">
        <f ca="1">OFFSET(Waikato_Reference,55,7)</f>
        <v>2.2060898167</v>
      </c>
      <c r="I34" s="1">
        <f ca="1">H34*('Updated Population'!I$26/'Updated Population'!H$26)</f>
        <v>2.2530353030595123</v>
      </c>
      <c r="J34" s="1">
        <f ca="1">I34*('Updated Population'!J$26/'Updated Population'!I$26)</f>
        <v>2.2936553720043342</v>
      </c>
      <c r="K34" s="1">
        <f ca="1">J34*('Updated Population'!K$26/'Updated Population'!J$26)</f>
        <v>2.3299896993663944</v>
      </c>
    </row>
    <row r="35" spans="1:11" x14ac:dyDescent="0.2">
      <c r="A35" t="str">
        <f ca="1">OFFSET(Waikato_Reference,56,2)</f>
        <v>Local Ferry</v>
      </c>
      <c r="B35" s="4">
        <f ca="1">OFFSET(Waikato_Reference,56,7)</f>
        <v>9.3342661800000004E-2</v>
      </c>
      <c r="C35" s="4">
        <f ca="1">OFFSET(Waikato_Reference,57,7)</f>
        <v>0.1057073952</v>
      </c>
      <c r="D35" s="4">
        <f ca="1">OFFSET(Waikato_Reference,58,7)</f>
        <v>0.1136315926</v>
      </c>
      <c r="E35" s="4">
        <f ca="1">OFFSET(Waikato_Reference,59,7)</f>
        <v>0.1215173901</v>
      </c>
      <c r="F35" s="4">
        <f ca="1">OFFSET(Waikato_Reference,60,7)</f>
        <v>0.12197092750000001</v>
      </c>
      <c r="G35" s="4">
        <f ca="1">OFFSET(Waikato_Reference,61,7)</f>
        <v>0.1159993605</v>
      </c>
      <c r="H35" s="4">
        <f ca="1">OFFSET(Waikato_Reference,62,7)</f>
        <v>0.1091183938</v>
      </c>
      <c r="I35" s="1">
        <f ca="1">H35*('Updated Population'!I$26/'Updated Population'!H$26)</f>
        <v>0.11144042802949139</v>
      </c>
      <c r="J35" s="1">
        <f ca="1">I35*('Updated Population'!J$26/'Updated Population'!I$26)</f>
        <v>0.11344959222840623</v>
      </c>
      <c r="K35" s="1">
        <f ca="1">J35*('Updated Population'!K$26/'Updated Population'!J$26)</f>
        <v>0.11524677356324511</v>
      </c>
    </row>
    <row r="36" spans="1:11" x14ac:dyDescent="0.2">
      <c r="A36" t="str">
        <f ca="1">OFFSET(Waikato_Reference,63,2)</f>
        <v>Other Household Travel</v>
      </c>
      <c r="B36" s="4">
        <f ca="1">OFFSET(Waikato_Reference,63,7)</f>
        <v>0.63404452519999999</v>
      </c>
      <c r="C36" s="4">
        <f ca="1">OFFSET(Waikato_Reference,64,7)</f>
        <v>0.66395639200000001</v>
      </c>
      <c r="D36" s="4">
        <f ca="1">OFFSET(Waikato_Reference,65,7)</f>
        <v>0.68931484759999995</v>
      </c>
      <c r="E36" s="4">
        <f ca="1">OFFSET(Waikato_Reference,66,7)</f>
        <v>0.7182072625</v>
      </c>
      <c r="F36" s="4">
        <f ca="1">OFFSET(Waikato_Reference,67,7)</f>
        <v>0.7580266175</v>
      </c>
      <c r="G36" s="4">
        <f ca="1">OFFSET(Waikato_Reference,68,7)</f>
        <v>0.80235581349999996</v>
      </c>
      <c r="H36" s="4">
        <f ca="1">OFFSET(Waikato_Reference,69,7)</f>
        <v>0.83803039960000003</v>
      </c>
      <c r="I36" s="1">
        <f ca="1">H36*('Updated Population'!I$26/'Updated Population'!H$26)</f>
        <v>0.85586364663983638</v>
      </c>
      <c r="J36" s="1">
        <f ca="1">I36*('Updated Population'!J$26/'Updated Population'!I$26)</f>
        <v>0.87129404858989346</v>
      </c>
      <c r="K36" s="1">
        <f ca="1">J36*('Updated Population'!K$26/'Updated Population'!J$26)</f>
        <v>0.8850964199384781</v>
      </c>
    </row>
    <row r="37" spans="1:11" x14ac:dyDescent="0.2">
      <c r="A37" t="str">
        <f ca="1">OFFSET(BOP_Reference,0,0)</f>
        <v>04 BAY OF PLENTY</v>
      </c>
      <c r="I37" s="1"/>
      <c r="J37" s="1"/>
      <c r="K37" s="1"/>
    </row>
    <row r="38" spans="1:11" x14ac:dyDescent="0.2">
      <c r="A38" t="str">
        <f ca="1">OFFSET(BOP_Reference,0,2)</f>
        <v>Pedestrian</v>
      </c>
      <c r="B38" s="4">
        <f ca="1">OFFSET(BOP_Reference,0,7)</f>
        <v>9.1706746114000008</v>
      </c>
      <c r="C38" s="4">
        <f ca="1">OFFSET(BOP_Reference,1,7)</f>
        <v>9.2009536856</v>
      </c>
      <c r="D38" s="4">
        <f ca="1">OFFSET(BOP_Reference,2,7)</f>
        <v>9.3928684310000001</v>
      </c>
      <c r="E38" s="4">
        <f ca="1">OFFSET(BOP_Reference,3,7)</f>
        <v>9.5756783884000001</v>
      </c>
      <c r="F38" s="4">
        <f ca="1">OFFSET(BOP_Reference,4,7)</f>
        <v>9.6191193388999991</v>
      </c>
      <c r="G38" s="4">
        <f ca="1">OFFSET(BOP_Reference,5,7)</f>
        <v>9.6466590879999998</v>
      </c>
      <c r="H38" s="4">
        <f ca="1">OFFSET(BOP_Reference,6,7)</f>
        <v>9.6315181449999994</v>
      </c>
      <c r="I38" s="1">
        <f ca="1">H38*('Updated Population'!I$37/'Updated Population'!H$37)</f>
        <v>9.7700327236982059</v>
      </c>
      <c r="J38" s="1">
        <f ca="1">I38*('Updated Population'!J$37/'Updated Population'!I$37)</f>
        <v>9.8789923796683041</v>
      </c>
      <c r="K38" s="1">
        <f ca="1">J38*('Updated Population'!K$37/'Updated Population'!J$37)</f>
        <v>9.967699835677724</v>
      </c>
    </row>
    <row r="39" spans="1:11" x14ac:dyDescent="0.2">
      <c r="A39" t="str">
        <f ca="1">OFFSET(BOP_Reference,7,2)</f>
        <v>Cyclist</v>
      </c>
      <c r="B39" s="4">
        <f ca="1">OFFSET(BOP_Reference,7,7)</f>
        <v>0.91801276549999999</v>
      </c>
      <c r="C39" s="4">
        <f ca="1">OFFSET(BOP_Reference,8,7)</f>
        <v>0.88038195860000001</v>
      </c>
      <c r="D39" s="4">
        <f ca="1">OFFSET(BOP_Reference,9,7)</f>
        <v>0.86697339029999998</v>
      </c>
      <c r="E39" s="4">
        <f ca="1">OFFSET(BOP_Reference,10,7)</f>
        <v>0.86228359909999996</v>
      </c>
      <c r="F39" s="4">
        <f ca="1">OFFSET(BOP_Reference,11,7)</f>
        <v>0.84520053390000005</v>
      </c>
      <c r="G39" s="4">
        <f ca="1">OFFSET(BOP_Reference,12,7)</f>
        <v>0.8272075015</v>
      </c>
      <c r="H39" s="4">
        <f ca="1">OFFSET(BOP_Reference,13,7)</f>
        <v>0.80627403860000002</v>
      </c>
      <c r="I39" s="1">
        <f ca="1">H39*('Updated Population'!I$37/'Updated Population'!H$37)</f>
        <v>0.81786937664439308</v>
      </c>
      <c r="J39" s="1">
        <f ca="1">I39*('Updated Population'!J$37/'Updated Population'!I$37)</f>
        <v>0.82699061179558098</v>
      </c>
      <c r="K39" s="1">
        <f ca="1">J39*('Updated Population'!K$37/'Updated Population'!J$37)</f>
        <v>0.83441649396014683</v>
      </c>
    </row>
    <row r="40" spans="1:11" x14ac:dyDescent="0.2">
      <c r="A40" t="str">
        <f ca="1">OFFSET(BOP_Reference,14,2)</f>
        <v>Light Vehicle Driver</v>
      </c>
      <c r="B40" s="4">
        <f ca="1">OFFSET(BOP_Reference,14,7)</f>
        <v>45.59682093</v>
      </c>
      <c r="C40" s="4">
        <f ca="1">OFFSET(BOP_Reference,15,7)</f>
        <v>47.426398153999997</v>
      </c>
      <c r="D40" s="4">
        <f ca="1">OFFSET(BOP_Reference,16,7)</f>
        <v>50.054401415999997</v>
      </c>
      <c r="E40" s="4">
        <f ca="1">OFFSET(BOP_Reference,17,7)</f>
        <v>52.470797177999998</v>
      </c>
      <c r="F40" s="4">
        <f ca="1">OFFSET(BOP_Reference,18,7)</f>
        <v>54.062242671</v>
      </c>
      <c r="G40" s="4">
        <f ca="1">OFFSET(BOP_Reference,19,7)</f>
        <v>54.713716159000001</v>
      </c>
      <c r="H40" s="4">
        <f ca="1">OFFSET(BOP_Reference,20,7)</f>
        <v>55.173960491999999</v>
      </c>
      <c r="I40" s="1">
        <f ca="1">H40*('Updated Population'!I$37/'Updated Population'!H$37)</f>
        <v>55.967438506328222</v>
      </c>
      <c r="J40" s="1">
        <f ca="1">I40*('Updated Population'!J$37/'Updated Population'!I$37)</f>
        <v>56.591611732522786</v>
      </c>
      <c r="K40" s="1">
        <f ca="1">J40*('Updated Population'!K$37/'Updated Population'!J$37)</f>
        <v>57.099770633282411</v>
      </c>
    </row>
    <row r="41" spans="1:11" x14ac:dyDescent="0.2">
      <c r="A41" t="str">
        <f ca="1">OFFSET(BOP_Reference,21,2)</f>
        <v>Light Vehicle Passenger</v>
      </c>
      <c r="B41" s="4">
        <f ca="1">OFFSET(BOP_Reference,21,7)</f>
        <v>28.895615969000001</v>
      </c>
      <c r="C41" s="4">
        <f ca="1">OFFSET(BOP_Reference,22,7)</f>
        <v>29.645045385</v>
      </c>
      <c r="D41" s="4">
        <f ca="1">OFFSET(BOP_Reference,23,7)</f>
        <v>30.654265426999999</v>
      </c>
      <c r="E41" s="4">
        <f ca="1">OFFSET(BOP_Reference,24,7)</f>
        <v>31.490285898</v>
      </c>
      <c r="F41" s="4">
        <f ca="1">OFFSET(BOP_Reference,25,7)</f>
        <v>31.879604715999999</v>
      </c>
      <c r="G41" s="4">
        <f ca="1">OFFSET(BOP_Reference,26,7)</f>
        <v>32.087578717</v>
      </c>
      <c r="H41" s="4">
        <f ca="1">OFFSET(BOP_Reference,27,7)</f>
        <v>32.181512959000003</v>
      </c>
      <c r="I41" s="1">
        <f ca="1">H41*('Updated Population'!I$37/'Updated Population'!H$37)</f>
        <v>32.644327713878582</v>
      </c>
      <c r="J41" s="1">
        <f ca="1">I41*('Updated Population'!J$37/'Updated Population'!I$37)</f>
        <v>33.00839146040542</v>
      </c>
      <c r="K41" s="1">
        <f ca="1">J41*('Updated Population'!K$37/'Updated Population'!J$37)</f>
        <v>33.304787117055774</v>
      </c>
    </row>
    <row r="42" spans="1:11" x14ac:dyDescent="0.2">
      <c r="A42" t="str">
        <f ca="1">OFFSET(BOP_Reference,28,2)</f>
        <v>Taxi/Vehicle Share</v>
      </c>
      <c r="B42" s="4">
        <f ca="1">OFFSET(BOP_Reference,28,7)</f>
        <v>7.3048454499999999E-2</v>
      </c>
      <c r="C42" s="4">
        <f ca="1">OFFSET(BOP_Reference,29,7)</f>
        <v>6.6834567400000003E-2</v>
      </c>
      <c r="D42" s="4">
        <f ca="1">OFFSET(BOP_Reference,30,7)</f>
        <v>6.5018072800000007E-2</v>
      </c>
      <c r="E42" s="4">
        <f ca="1">OFFSET(BOP_Reference,31,7)</f>
        <v>6.5501142100000007E-2</v>
      </c>
      <c r="F42" s="4">
        <f ca="1">OFFSET(BOP_Reference,32,7)</f>
        <v>6.2883809299999996E-2</v>
      </c>
      <c r="G42" s="4">
        <f ca="1">OFFSET(BOP_Reference,33,7)</f>
        <v>6.0937060299999998E-2</v>
      </c>
      <c r="H42" s="4">
        <f ca="1">OFFSET(BOP_Reference,34,7)</f>
        <v>5.8665677499999999E-2</v>
      </c>
      <c r="I42" s="1">
        <f ca="1">H42*('Updated Population'!I$37/'Updated Population'!H$37)</f>
        <v>5.9509371243875238E-2</v>
      </c>
      <c r="J42" s="1">
        <f ca="1">I42*('Updated Population'!J$37/'Updated Population'!I$37)</f>
        <v>6.0173045645088005E-2</v>
      </c>
      <c r="K42" s="1">
        <f ca="1">J42*('Updated Population'!K$37/'Updated Population'!J$37)</f>
        <v>6.0713363685063429E-2</v>
      </c>
    </row>
    <row r="43" spans="1:11" x14ac:dyDescent="0.2">
      <c r="A43" t="str">
        <f ca="1">OFFSET(BOP_Reference,35,2)</f>
        <v>Motorcyclist</v>
      </c>
      <c r="B43" s="4">
        <f ca="1">OFFSET(BOP_Reference,35,7)</f>
        <v>0.60409197079999999</v>
      </c>
      <c r="C43" s="4">
        <f ca="1">OFFSET(BOP_Reference,36,7)</f>
        <v>0.64730182879999998</v>
      </c>
      <c r="D43" s="4">
        <f ca="1">OFFSET(BOP_Reference,37,7)</f>
        <v>0.67441132100000001</v>
      </c>
      <c r="E43" s="4">
        <f ca="1">OFFSET(BOP_Reference,38,7)</f>
        <v>0.66455704260000004</v>
      </c>
      <c r="F43" s="4">
        <f ca="1">OFFSET(BOP_Reference,39,7)</f>
        <v>0.64043070629999999</v>
      </c>
      <c r="G43" s="4">
        <f ca="1">OFFSET(BOP_Reference,40,7)</f>
        <v>0.60995451430000003</v>
      </c>
      <c r="H43" s="4">
        <f ca="1">OFFSET(BOP_Reference,41,7)</f>
        <v>0.57907037959999996</v>
      </c>
      <c r="I43" s="1">
        <f ca="1">H43*('Updated Population'!I$37/'Updated Population'!H$37)</f>
        <v>0.58739821415934645</v>
      </c>
      <c r="J43" s="1">
        <f ca="1">I43*('Updated Population'!J$37/'Updated Population'!I$37)</f>
        <v>0.59394913462627663</v>
      </c>
      <c r="K43" s="1">
        <f ca="1">J43*('Updated Population'!K$37/'Updated Population'!J$37)</f>
        <v>0.59928244339976344</v>
      </c>
    </row>
    <row r="44" spans="1:11" x14ac:dyDescent="0.2">
      <c r="A44" t="str">
        <f ca="1">OFFSET(Auckland_Reference,42,2)</f>
        <v>Local Train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1">
        <f>H44*('Updated Population'!I$37/'Updated Population'!H$37)</f>
        <v>0</v>
      </c>
      <c r="J44" s="1">
        <f>I44*('Updated Population'!J$37/'Updated Population'!I$37)</f>
        <v>0</v>
      </c>
      <c r="K44" s="1">
        <f>J44*('Updated Population'!K$37/'Updated Population'!J$37)</f>
        <v>0</v>
      </c>
    </row>
    <row r="45" spans="1:11" x14ac:dyDescent="0.2">
      <c r="A45" t="str">
        <f ca="1">OFFSET(BOP_Reference,42,2)</f>
        <v>Local Bus</v>
      </c>
      <c r="B45" s="4">
        <f ca="1">OFFSET(BOP_Reference,42,7)</f>
        <v>2.9412276716000001</v>
      </c>
      <c r="C45" s="4">
        <f ca="1">OFFSET(BOP_Reference,43,7)</f>
        <v>2.8006844173999998</v>
      </c>
      <c r="D45" s="4">
        <f ca="1">OFFSET(BOP_Reference,44,7)</f>
        <v>2.7225529141</v>
      </c>
      <c r="E45" s="4">
        <f ca="1">OFFSET(BOP_Reference,45,7)</f>
        <v>2.6704240618999999</v>
      </c>
      <c r="F45" s="4">
        <f ca="1">OFFSET(BOP_Reference,46,7)</f>
        <v>2.6067786280999998</v>
      </c>
      <c r="G45" s="4">
        <f ca="1">OFFSET(BOP_Reference,47,7)</f>
        <v>2.5647900414999998</v>
      </c>
      <c r="H45" s="4">
        <f ca="1">OFFSET(BOP_Reference,48,7)</f>
        <v>2.5080753930999999</v>
      </c>
      <c r="I45" s="1">
        <f ca="1">H45*('Updated Population'!I$37/'Updated Population'!H$37)</f>
        <v>2.544144993051793</v>
      </c>
      <c r="J45" s="1">
        <f ca="1">I45*('Updated Population'!J$37/'Updated Population'!I$37)</f>
        <v>2.5725184049963175</v>
      </c>
      <c r="K45" s="1">
        <f ca="1">J45*('Updated Population'!K$37/'Updated Population'!J$37)</f>
        <v>2.5956180850521795</v>
      </c>
    </row>
    <row r="46" spans="1:11" x14ac:dyDescent="0.2">
      <c r="A46" t="str">
        <f ca="1">OFFSET(Waikato_Reference,56,2)</f>
        <v>Local Ferry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1">
        <f>H46*('Updated Population'!I$37/'Updated Population'!H$37)</f>
        <v>0</v>
      </c>
      <c r="J46" s="1">
        <f>I46*('Updated Population'!J$37/'Updated Population'!I$37)</f>
        <v>0</v>
      </c>
      <c r="K46" s="1">
        <f>J46*('Updated Population'!K$37/'Updated Population'!J$37)</f>
        <v>0</v>
      </c>
    </row>
    <row r="47" spans="1:11" x14ac:dyDescent="0.2">
      <c r="A47" t="str">
        <f ca="1">OFFSET(BOP_Reference,49,2)</f>
        <v>Other Household Travel</v>
      </c>
      <c r="B47" s="4">
        <f ca="1">OFFSET(BOP_Reference,49,7)</f>
        <v>0.21279540499999999</v>
      </c>
      <c r="C47" s="4">
        <f ca="1">OFFSET(BOP_Reference,50,7)</f>
        <v>0.2143916005</v>
      </c>
      <c r="D47" s="4">
        <f ca="1">OFFSET(BOP_Reference,51,7)</f>
        <v>0.2095175141</v>
      </c>
      <c r="E47" s="4">
        <f ca="1">OFFSET(BOP_Reference,52,7)</f>
        <v>0.20322107480000001</v>
      </c>
      <c r="F47" s="4">
        <f ca="1">OFFSET(BOP_Reference,53,7)</f>
        <v>0.19138088170000001</v>
      </c>
      <c r="G47" s="4">
        <f ca="1">OFFSET(BOP_Reference,54,7)</f>
        <v>0.184910728</v>
      </c>
      <c r="H47" s="4">
        <f ca="1">OFFSET(BOP_Reference,55,7)</f>
        <v>0.177638461</v>
      </c>
      <c r="I47" s="1">
        <f ca="1">H47*('Updated Population'!I$37/'Updated Population'!H$37)</f>
        <v>0.18019314824821808</v>
      </c>
      <c r="J47" s="1">
        <f ca="1">I47*('Updated Population'!J$37/'Updated Population'!I$37)</f>
        <v>0.18220274064125799</v>
      </c>
      <c r="K47" s="1">
        <f ca="1">J47*('Updated Population'!K$37/'Updated Population'!J$37)</f>
        <v>0.18383881251772735</v>
      </c>
    </row>
    <row r="48" spans="1:11" x14ac:dyDescent="0.2">
      <c r="A48" t="str">
        <f ca="1">OFFSET(Gisborne_Reference,0,0)</f>
        <v>05 GISBORNE</v>
      </c>
      <c r="I48" s="1"/>
      <c r="J48" s="1"/>
      <c r="K48" s="1"/>
    </row>
    <row r="49" spans="1:11" x14ac:dyDescent="0.2">
      <c r="A49" t="str">
        <f ca="1">OFFSET(Gisborne_Reference,0,2)</f>
        <v>Pedestrian</v>
      </c>
      <c r="B49" s="4">
        <f ca="1">OFFSET(Gisborne_Reference,0,7)</f>
        <v>2.2694063563000002</v>
      </c>
      <c r="C49" s="4">
        <f ca="1">OFFSET(Gisborne_Reference,1,7)</f>
        <v>2.1641548165</v>
      </c>
      <c r="D49" s="4">
        <f ca="1">OFFSET(Gisborne_Reference,2,7)</f>
        <v>2.0719221305</v>
      </c>
      <c r="E49" s="4">
        <f ca="1">OFFSET(Gisborne_Reference,3,7)</f>
        <v>2.0198531966000002</v>
      </c>
      <c r="F49" s="4">
        <f ca="1">OFFSET(Gisborne_Reference,4,7)</f>
        <v>1.9644710477</v>
      </c>
      <c r="G49" s="4">
        <f ca="1">OFFSET(Gisborne_Reference,5,7)</f>
        <v>1.901496155</v>
      </c>
      <c r="H49" s="4">
        <f ca="1">OFFSET(Gisborne_Reference,6,7)</f>
        <v>1.8387176058000001</v>
      </c>
      <c r="I49" s="1">
        <f ca="1">H49*('Updated Population'!I$48/'Updated Population'!H$48)</f>
        <v>1.821460327279516</v>
      </c>
      <c r="J49" s="1">
        <f ca="1">I49*('Updated Population'!J$48/'Updated Population'!I$48)</f>
        <v>1.7986214121455846</v>
      </c>
      <c r="K49" s="1">
        <f ca="1">J49*('Updated Population'!K$48/'Updated Population'!J$48)</f>
        <v>1.7722519827493537</v>
      </c>
    </row>
    <row r="50" spans="1:11" x14ac:dyDescent="0.2">
      <c r="A50" t="str">
        <f ca="1">OFFSET(Gisborne_Reference,7,2)</f>
        <v>Cyclist</v>
      </c>
      <c r="B50" s="4">
        <f ca="1">OFFSET(Gisborne_Reference,7,7)</f>
        <v>0.28046850410000002</v>
      </c>
      <c r="C50" s="4">
        <f ca="1">OFFSET(Gisborne_Reference,8,7)</f>
        <v>0.26040143449999997</v>
      </c>
      <c r="D50" s="4">
        <f ca="1">OFFSET(Gisborne_Reference,9,7)</f>
        <v>0.2472953483</v>
      </c>
      <c r="E50" s="4">
        <f ca="1">OFFSET(Gisborne_Reference,10,7)</f>
        <v>0.23550375069999999</v>
      </c>
      <c r="F50" s="4">
        <f ca="1">OFFSET(Gisborne_Reference,11,7)</f>
        <v>0.22260464660000001</v>
      </c>
      <c r="G50" s="4">
        <f ca="1">OFFSET(Gisborne_Reference,12,7)</f>
        <v>0.20927199660000001</v>
      </c>
      <c r="H50" s="4">
        <f ca="1">OFFSET(Gisborne_Reference,13,7)</f>
        <v>0.1958051804</v>
      </c>
      <c r="I50" s="1">
        <f ca="1">H50*('Updated Population'!I$48/'Updated Population'!H$48)</f>
        <v>0.1939674514723726</v>
      </c>
      <c r="J50" s="1">
        <f ca="1">I50*('Updated Population'!J$48/'Updated Population'!I$48)</f>
        <v>0.19153533362902708</v>
      </c>
      <c r="K50" s="1">
        <f ca="1">J50*('Updated Population'!K$48/'Updated Population'!J$48)</f>
        <v>0.18872725104816357</v>
      </c>
    </row>
    <row r="51" spans="1:11" x14ac:dyDescent="0.2">
      <c r="A51" t="str">
        <f ca="1">OFFSET(Gisborne_Reference,14,2)</f>
        <v>Light Vehicle Driver</v>
      </c>
      <c r="B51" s="4">
        <f ca="1">OFFSET(Gisborne_Reference,14,7)</f>
        <v>6.0182660548999998</v>
      </c>
      <c r="C51" s="4">
        <f ca="1">OFFSET(Gisborne_Reference,15,7)</f>
        <v>6.2491095284</v>
      </c>
      <c r="D51" s="4">
        <f ca="1">OFFSET(Gisborne_Reference,16,7)</f>
        <v>6.3254718859999999</v>
      </c>
      <c r="E51" s="4">
        <f ca="1">OFFSET(Gisborne_Reference,17,7)</f>
        <v>6.3241445859000001</v>
      </c>
      <c r="F51" s="4">
        <f ca="1">OFFSET(Gisborne_Reference,18,7)</f>
        <v>6.2854819881999999</v>
      </c>
      <c r="G51" s="4">
        <f ca="1">OFFSET(Gisborne_Reference,19,7)</f>
        <v>6.2443405288999996</v>
      </c>
      <c r="H51" s="4">
        <f ca="1">OFFSET(Gisborne_Reference,20,7)</f>
        <v>6.1860664785999999</v>
      </c>
      <c r="I51" s="1">
        <f ca="1">H51*('Updated Population'!I$48/'Updated Population'!H$48)</f>
        <v>6.1280071704002594</v>
      </c>
      <c r="J51" s="1">
        <f ca="1">I51*('Updated Population'!J$48/'Updated Population'!I$48)</f>
        <v>6.0511693531781132</v>
      </c>
      <c r="K51" s="1">
        <f ca="1">J51*('Updated Population'!K$48/'Updated Population'!J$48)</f>
        <v>5.9624536946488851</v>
      </c>
    </row>
    <row r="52" spans="1:11" x14ac:dyDescent="0.2">
      <c r="A52" t="str">
        <f ca="1">OFFSET(Gisborne_Reference,21,2)</f>
        <v>Light Vehicle Passenger</v>
      </c>
      <c r="B52" s="4">
        <f ca="1">OFFSET(Gisborne_Reference,21,7)</f>
        <v>4.5909579553000004</v>
      </c>
      <c r="C52" s="4">
        <f ca="1">OFFSET(Gisborne_Reference,22,7)</f>
        <v>4.3965142607000001</v>
      </c>
      <c r="D52" s="4">
        <f ca="1">OFFSET(Gisborne_Reference,23,7)</f>
        <v>4.2195789627</v>
      </c>
      <c r="E52" s="4">
        <f ca="1">OFFSET(Gisborne_Reference,24,7)</f>
        <v>4.1145001251000002</v>
      </c>
      <c r="F52" s="4">
        <f ca="1">OFFSET(Gisborne_Reference,25,7)</f>
        <v>3.9722447651000001</v>
      </c>
      <c r="G52" s="4">
        <f ca="1">OFFSET(Gisborne_Reference,26,7)</f>
        <v>3.8820178683000002</v>
      </c>
      <c r="H52" s="4">
        <f ca="1">OFFSET(Gisborne_Reference,27,7)</f>
        <v>3.7841423748</v>
      </c>
      <c r="I52" s="1">
        <f ca="1">H52*('Updated Population'!I$48/'Updated Population'!H$48)</f>
        <v>3.7486263180019921</v>
      </c>
      <c r="J52" s="1">
        <f ca="1">I52*('Updated Population'!J$48/'Updated Population'!I$48)</f>
        <v>3.7016230662355696</v>
      </c>
      <c r="K52" s="1">
        <f ca="1">J52*('Updated Population'!K$48/'Updated Population'!J$48)</f>
        <v>3.647353897950667</v>
      </c>
    </row>
    <row r="53" spans="1:11" x14ac:dyDescent="0.2">
      <c r="A53" t="str">
        <f ca="1">OFFSET(Gisborne_Reference,28,2)</f>
        <v>Taxi/Vehicle Share</v>
      </c>
      <c r="B53" s="4">
        <f ca="1">OFFSET(Gisborne_Reference,28,7)</f>
        <v>5.0534828E-3</v>
      </c>
      <c r="C53" s="4">
        <f ca="1">OFFSET(Gisborne_Reference,29,7)</f>
        <v>6.8502542000000001E-3</v>
      </c>
      <c r="D53" s="4">
        <f ca="1">OFFSET(Gisborne_Reference,30,7)</f>
        <v>9.7280309999999998E-3</v>
      </c>
      <c r="E53" s="4">
        <f ca="1">OFFSET(Gisborne_Reference,31,7)</f>
        <v>1.39755626E-2</v>
      </c>
      <c r="F53" s="4">
        <f ca="1">OFFSET(Gisborne_Reference,32,7)</f>
        <v>1.8638658499999999E-2</v>
      </c>
      <c r="G53" s="4">
        <f ca="1">OFFSET(Gisborne_Reference,33,7)</f>
        <v>2.2031865599999999E-2</v>
      </c>
      <c r="H53" s="4">
        <f ca="1">OFFSET(Gisborne_Reference,34,7)</f>
        <v>2.5959785799999999E-2</v>
      </c>
      <c r="I53" s="1">
        <f ca="1">H53*('Updated Population'!I$48/'Updated Population'!H$48)</f>
        <v>2.571614030899607E-2</v>
      </c>
      <c r="J53" s="1">
        <f ca="1">I53*('Updated Population'!J$48/'Updated Population'!I$48)</f>
        <v>2.5393690932914048E-2</v>
      </c>
      <c r="K53" s="1">
        <f ca="1">J53*('Updated Population'!K$48/'Updated Population'!J$48)</f>
        <v>2.50213962767716E-2</v>
      </c>
    </row>
    <row r="54" spans="1:11" x14ac:dyDescent="0.2">
      <c r="A54" t="str">
        <f ca="1">OFFSET(Gisborne_Reference,35,2)</f>
        <v>Motorcyclist</v>
      </c>
      <c r="B54" s="4">
        <f ca="1">OFFSET(Gisborne_Reference,35,7)</f>
        <v>4.6418087199999999E-2</v>
      </c>
      <c r="C54" s="4">
        <f ca="1">OFFSET(Gisborne_Reference,36,7)</f>
        <v>4.68425944E-2</v>
      </c>
      <c r="D54" s="4">
        <f ca="1">OFFSET(Gisborne_Reference,37,7)</f>
        <v>4.4957090800000002E-2</v>
      </c>
      <c r="E54" s="4">
        <f ca="1">OFFSET(Gisborne_Reference,38,7)</f>
        <v>4.1729614200000001E-2</v>
      </c>
      <c r="F54" s="4">
        <f ca="1">OFFSET(Gisborne_Reference,39,7)</f>
        <v>3.8688853799999999E-2</v>
      </c>
      <c r="G54" s="4">
        <f ca="1">OFFSET(Gisborne_Reference,40,7)</f>
        <v>3.6190141199999998E-2</v>
      </c>
      <c r="H54" s="4">
        <f ca="1">OFFSET(Gisborne_Reference,41,7)</f>
        <v>3.3522573700000002E-2</v>
      </c>
      <c r="I54" s="1">
        <f ca="1">H54*('Updated Population'!I$48/'Updated Population'!H$48)</f>
        <v>3.3207947686065331E-2</v>
      </c>
      <c r="J54" s="1">
        <f ca="1">I54*('Updated Population'!J$48/'Updated Population'!I$48)</f>
        <v>3.2791560083428463E-2</v>
      </c>
      <c r="K54" s="1">
        <f ca="1">J54*('Updated Population'!K$48/'Updated Population'!J$48)</f>
        <v>3.2310805922172968E-2</v>
      </c>
    </row>
    <row r="55" spans="1:11" x14ac:dyDescent="0.2">
      <c r="A55" t="str">
        <f ca="1">OFFSET(Gisborne_Reference,42,2)</f>
        <v>Local Train</v>
      </c>
      <c r="B55" s="4">
        <f ca="1">OFFSET(Gisborne_Reference,42,7)</f>
        <v>2.5293475000000001E-3</v>
      </c>
      <c r="C55" s="4">
        <f ca="1">OFFSET(Gisborne_Reference,43,7)</f>
        <v>3.8260715000000001E-3</v>
      </c>
      <c r="D55" s="4">
        <f ca="1">OFFSET(Gisborne_Reference,44,7)</f>
        <v>5.8071557000000003E-3</v>
      </c>
      <c r="E55" s="4">
        <f ca="1">OFFSET(Gisborne_Reference,45,7)</f>
        <v>8.6802486000000009E-3</v>
      </c>
      <c r="F55" s="4">
        <f ca="1">OFFSET(Gisborne_Reference,46,7)</f>
        <v>1.18812021E-2</v>
      </c>
      <c r="G55" s="4">
        <f ca="1">OFFSET(Gisborne_Reference,47,7)</f>
        <v>1.41743939E-2</v>
      </c>
      <c r="H55" s="4">
        <f ca="1">OFFSET(Gisborne_Reference,48,7)</f>
        <v>1.6832942600000001E-2</v>
      </c>
      <c r="I55" s="1">
        <f ca="1">H55*('Updated Population'!I$48/'Updated Population'!H$48)</f>
        <v>1.6674957068208058E-2</v>
      </c>
      <c r="J55" s="1">
        <f ca="1">I55*('Updated Population'!J$48/'Updated Population'!I$48)</f>
        <v>1.6465873222878544E-2</v>
      </c>
      <c r="K55" s="1">
        <f ca="1">J55*('Updated Population'!K$48/'Updated Population'!J$48)</f>
        <v>1.6224468512323016E-2</v>
      </c>
    </row>
    <row r="56" spans="1:11" x14ac:dyDescent="0.2">
      <c r="A56" t="str">
        <f ca="1">OFFSET(Gisborne_Reference,49,2)</f>
        <v>Local Bus</v>
      </c>
      <c r="B56" s="4">
        <f ca="1">OFFSET(Gisborne_Reference,49,7)</f>
        <v>0.17812381360000001</v>
      </c>
      <c r="C56" s="4">
        <f ca="1">OFFSET(Gisborne_Reference,50,7)</f>
        <v>0.16129306030000001</v>
      </c>
      <c r="D56" s="4">
        <f ca="1">OFFSET(Gisborne_Reference,51,7)</f>
        <v>0.15210868250000001</v>
      </c>
      <c r="E56" s="4">
        <f ca="1">OFFSET(Gisborne_Reference,52,7)</f>
        <v>0.15247802060000001</v>
      </c>
      <c r="F56" s="4">
        <f ca="1">OFFSET(Gisborne_Reference,53,7)</f>
        <v>0.15217471990000001</v>
      </c>
      <c r="G56" s="4">
        <f ca="1">OFFSET(Gisborne_Reference,54,7)</f>
        <v>0.15475789549999999</v>
      </c>
      <c r="H56" s="4">
        <f ca="1">OFFSET(Gisborne_Reference,55,7)</f>
        <v>0.15817257330000001</v>
      </c>
      <c r="I56" s="1">
        <f ca="1">H56*('Updated Population'!I$48/'Updated Population'!H$48)</f>
        <v>0.1566880450923353</v>
      </c>
      <c r="J56" s="1">
        <f ca="1">I56*('Updated Population'!J$48/'Updated Population'!I$48)</f>
        <v>0.15472336603192979</v>
      </c>
      <c r="K56" s="1">
        <f ca="1">J56*('Updated Population'!K$48/'Updated Population'!J$48)</f>
        <v>0.15245498045118708</v>
      </c>
    </row>
    <row r="57" spans="1:11" x14ac:dyDescent="0.2">
      <c r="A57" t="str">
        <f ca="1">OFFSET(Gisborne_Reference,56,2)</f>
        <v>Local Ferry</v>
      </c>
      <c r="B57" s="4">
        <f ca="1">OFFSET(Gisborne_Reference,56,7)</f>
        <v>6.5213138999999998E-3</v>
      </c>
      <c r="C57" s="4">
        <f ca="1">OFFSET(Gisborne_Reference,57,7)</f>
        <v>6.2584943000000004E-3</v>
      </c>
      <c r="D57" s="4">
        <f ca="1">OFFSET(Gisborne_Reference,58,7)</f>
        <v>5.9287165000000003E-3</v>
      </c>
      <c r="E57" s="4">
        <f ca="1">OFFSET(Gisborne_Reference,59,7)</f>
        <v>5.4109631E-3</v>
      </c>
      <c r="F57" s="4">
        <f ca="1">OFFSET(Gisborne_Reference,60,7)</f>
        <v>5.6058115000000002E-3</v>
      </c>
      <c r="G57" s="4">
        <f ca="1">OFFSET(Gisborne_Reference,61,7)</f>
        <v>6.2601716999999999E-3</v>
      </c>
      <c r="H57" s="4">
        <f ca="1">OFFSET(Gisborne_Reference,62,7)</f>
        <v>6.8935821000000001E-3</v>
      </c>
      <c r="I57" s="1">
        <f ca="1">H57*('Updated Population'!I$48/'Updated Population'!H$48)</f>
        <v>6.8288824060783963E-3</v>
      </c>
      <c r="J57" s="1">
        <f ca="1">I57*('Updated Population'!J$48/'Updated Population'!I$48)</f>
        <v>6.7432564589214984E-3</v>
      </c>
      <c r="K57" s="1">
        <f ca="1">J57*('Updated Population'!K$48/'Updated Population'!J$48)</f>
        <v>6.6443941725651441E-3</v>
      </c>
    </row>
    <row r="58" spans="1:11" x14ac:dyDescent="0.2">
      <c r="A58" t="str">
        <f ca="1">OFFSET(Gisborne_Reference,63,2)</f>
        <v>Other Household Travel</v>
      </c>
      <c r="B58" s="4">
        <f ca="1">OFFSET(Gisborne_Reference,63,7)</f>
        <v>5.2226492000000003E-3</v>
      </c>
      <c r="C58" s="4">
        <f ca="1">OFFSET(Gisborne_Reference,64,7)</f>
        <v>4.4410561999999997E-3</v>
      </c>
      <c r="D58" s="4">
        <f ca="1">OFFSET(Gisborne_Reference,65,7)</f>
        <v>3.3731439999999998E-3</v>
      </c>
      <c r="E58" s="4">
        <f ca="1">OFFSET(Gisborne_Reference,66,7)</f>
        <v>3.4302491999999999E-3</v>
      </c>
      <c r="F58" s="4">
        <f ca="1">OFFSET(Gisborne_Reference,67,7)</f>
        <v>3.3061024000000001E-3</v>
      </c>
      <c r="G58" s="4">
        <f ca="1">OFFSET(Gisborne_Reference,68,7)</f>
        <v>2.8899169000000001E-3</v>
      </c>
      <c r="H58" s="4">
        <f ca="1">OFFSET(Gisborne_Reference,69,7)</f>
        <v>2.4798161000000002E-3</v>
      </c>
      <c r="I58" s="1">
        <f ca="1">H58*('Updated Population'!I$48/'Updated Population'!H$48)</f>
        <v>2.4565417935038369E-3</v>
      </c>
      <c r="J58" s="1">
        <f ca="1">I58*('Updated Population'!J$48/'Updated Population'!I$48)</f>
        <v>2.4257397229319314E-3</v>
      </c>
      <c r="K58" s="1">
        <f ca="1">J58*('Updated Population'!K$48/'Updated Population'!J$48)</f>
        <v>2.3901761674635343E-3</v>
      </c>
    </row>
    <row r="59" spans="1:11" x14ac:dyDescent="0.2">
      <c r="A59" t="str">
        <f ca="1">OFFSET(Hawkes_Bay_Reference,0,0)</f>
        <v>06 HAWKE`S BAY</v>
      </c>
      <c r="I59" s="1"/>
      <c r="J59" s="1"/>
      <c r="K59" s="1"/>
    </row>
    <row r="60" spans="1:11" x14ac:dyDescent="0.2">
      <c r="A60" t="str">
        <f ca="1">OFFSET(Hawkes_Bay_Reference,0,2)</f>
        <v>Pedestrian</v>
      </c>
      <c r="B60" s="4">
        <f ca="1">OFFSET(Hawkes_Bay_Reference,0,7)</f>
        <v>5.9462513095</v>
      </c>
      <c r="C60" s="4">
        <f ca="1">OFFSET(Hawkes_Bay_Reference,1,7)</f>
        <v>6.16575205</v>
      </c>
      <c r="D60" s="4">
        <f ca="1">OFFSET(Hawkes_Bay_Reference,2,7)</f>
        <v>6.3609058855000002</v>
      </c>
      <c r="E60" s="4">
        <f ca="1">OFFSET(Hawkes_Bay_Reference,3,7)</f>
        <v>6.4545455935999998</v>
      </c>
      <c r="F60" s="4">
        <f ca="1">OFFSET(Hawkes_Bay_Reference,4,7)</f>
        <v>6.4610936483000003</v>
      </c>
      <c r="G60" s="4">
        <f ca="1">OFFSET(Hawkes_Bay_Reference,5,7)</f>
        <v>6.4817361396999997</v>
      </c>
      <c r="H60" s="4">
        <f ca="1">OFFSET(Hawkes_Bay_Reference,6,7)</f>
        <v>6.4639851063</v>
      </c>
      <c r="I60" s="1">
        <f ca="1">H60*('Updated Population'!I$59/'Updated Population'!H$59)</f>
        <v>6.4192641834472095</v>
      </c>
      <c r="J60" s="1">
        <f ca="1">I60*('Updated Population'!J$59/'Updated Population'!I$59)</f>
        <v>6.3545604067697967</v>
      </c>
      <c r="K60" s="1">
        <f ca="1">J60*('Updated Population'!K$59/'Updated Population'!J$59)</f>
        <v>6.2769901101879313</v>
      </c>
    </row>
    <row r="61" spans="1:11" x14ac:dyDescent="0.2">
      <c r="A61" t="str">
        <f ca="1">OFFSET(Hawkes_Bay_Reference,7,2)</f>
        <v>Cyclist</v>
      </c>
      <c r="B61" s="4">
        <f ca="1">OFFSET(Hawkes_Bay_Reference,7,7)</f>
        <v>0.88401106659999995</v>
      </c>
      <c r="C61" s="4">
        <f ca="1">OFFSET(Hawkes_Bay_Reference,8,7)</f>
        <v>0.93602627090000001</v>
      </c>
      <c r="D61" s="4">
        <f ca="1">OFFSET(Hawkes_Bay_Reference,9,7)</f>
        <v>0.96093119309999997</v>
      </c>
      <c r="E61" s="4">
        <f ca="1">OFFSET(Hawkes_Bay_Reference,10,7)</f>
        <v>0.99061673400000005</v>
      </c>
      <c r="F61" s="4">
        <f ca="1">OFFSET(Hawkes_Bay_Reference,11,7)</f>
        <v>1.0087119254000001</v>
      </c>
      <c r="G61" s="4">
        <f ca="1">OFFSET(Hawkes_Bay_Reference,12,7)</f>
        <v>1.0105265283</v>
      </c>
      <c r="H61" s="4">
        <f ca="1">OFFSET(Hawkes_Bay_Reference,13,7)</f>
        <v>1.0078962438000001</v>
      </c>
      <c r="I61" s="1">
        <f ca="1">H61*('Updated Population'!I$59/'Updated Population'!H$59)</f>
        <v>1.0009231382897992</v>
      </c>
      <c r="J61" s="1">
        <f ca="1">I61*('Updated Population'!J$59/'Updated Population'!I$59)</f>
        <v>0.99083420825664081</v>
      </c>
      <c r="K61" s="1">
        <f ca="1">J61*('Updated Population'!K$59/'Updated Population'!J$59)</f>
        <v>0.97873906736915406</v>
      </c>
    </row>
    <row r="62" spans="1:11" x14ac:dyDescent="0.2">
      <c r="A62" t="str">
        <f ca="1">OFFSET(Hawkes_Bay_Reference,14,2)</f>
        <v>Light Vehicle Driver</v>
      </c>
      <c r="B62" s="4">
        <f ca="1">OFFSET(Hawkes_Bay_Reference,14,7)</f>
        <v>25.377986313000001</v>
      </c>
      <c r="C62" s="4">
        <f ca="1">OFFSET(Hawkes_Bay_Reference,15,7)</f>
        <v>27.136158859999998</v>
      </c>
      <c r="D62" s="4">
        <f ca="1">OFFSET(Hawkes_Bay_Reference,16,7)</f>
        <v>28.337640106999999</v>
      </c>
      <c r="E62" s="4">
        <f ca="1">OFFSET(Hawkes_Bay_Reference,17,7)</f>
        <v>29.156994981</v>
      </c>
      <c r="F62" s="4">
        <f ca="1">OFFSET(Hawkes_Bay_Reference,18,7)</f>
        <v>29.695405756</v>
      </c>
      <c r="G62" s="4">
        <f ca="1">OFFSET(Hawkes_Bay_Reference,19,7)</f>
        <v>29.761570368000001</v>
      </c>
      <c r="H62" s="4">
        <f ca="1">OFFSET(Hawkes_Bay_Reference,20,7)</f>
        <v>29.686618302999999</v>
      </c>
      <c r="I62" s="1">
        <f ca="1">H62*('Updated Population'!I$59/'Updated Population'!H$59)</f>
        <v>29.481232160387329</v>
      </c>
      <c r="J62" s="1">
        <f ca="1">I62*('Updated Population'!J$59/'Updated Population'!I$59)</f>
        <v>29.184072391390831</v>
      </c>
      <c r="K62" s="1">
        <f ca="1">J62*('Updated Population'!K$59/'Updated Population'!J$59)</f>
        <v>28.827821603617206</v>
      </c>
    </row>
    <row r="63" spans="1:11" x14ac:dyDescent="0.2">
      <c r="A63" t="str">
        <f ca="1">OFFSET(Hawkes_Bay_Reference,21,2)</f>
        <v>Light Vehicle Passenger</v>
      </c>
      <c r="B63" s="4">
        <f ca="1">OFFSET(Hawkes_Bay_Reference,21,7)</f>
        <v>15.230731736999999</v>
      </c>
      <c r="C63" s="4">
        <f ca="1">OFFSET(Hawkes_Bay_Reference,22,7)</f>
        <v>15.741503323</v>
      </c>
      <c r="D63" s="4">
        <f ca="1">OFFSET(Hawkes_Bay_Reference,23,7)</f>
        <v>16.060158362999999</v>
      </c>
      <c r="E63" s="4">
        <f ca="1">OFFSET(Hawkes_Bay_Reference,24,7)</f>
        <v>16.102388857000001</v>
      </c>
      <c r="F63" s="4">
        <f ca="1">OFFSET(Hawkes_Bay_Reference,25,7)</f>
        <v>15.854169954</v>
      </c>
      <c r="G63" s="4">
        <f ca="1">OFFSET(Hawkes_Bay_Reference,26,7)</f>
        <v>15.504624084</v>
      </c>
      <c r="H63" s="4">
        <f ca="1">OFFSET(Hawkes_Bay_Reference,27,7)</f>
        <v>15.084283410999999</v>
      </c>
      <c r="I63" s="1">
        <f ca="1">H63*('Updated Population'!I$59/'Updated Population'!H$59)</f>
        <v>14.979923165173398</v>
      </c>
      <c r="J63" s="1">
        <f ca="1">I63*('Updated Population'!J$59/'Updated Population'!I$59)</f>
        <v>14.828931154963954</v>
      </c>
      <c r="K63" s="1">
        <f ca="1">J63*('Updated Population'!K$59/'Updated Population'!J$59)</f>
        <v>14.647913977684913</v>
      </c>
    </row>
    <row r="64" spans="1:11" x14ac:dyDescent="0.2">
      <c r="A64" t="str">
        <f ca="1">OFFSET(Hawkes_Bay_Reference,28,2)</f>
        <v>Taxi/Vehicle Share</v>
      </c>
      <c r="B64" s="4">
        <f ca="1">OFFSET(Hawkes_Bay_Reference,28,7)</f>
        <v>4.5837477299999999E-2</v>
      </c>
      <c r="C64" s="4">
        <f ca="1">OFFSET(Hawkes_Bay_Reference,29,7)</f>
        <v>4.7536448000000002E-2</v>
      </c>
      <c r="D64" s="4">
        <f ca="1">OFFSET(Hawkes_Bay_Reference,30,7)</f>
        <v>4.9769015100000001E-2</v>
      </c>
      <c r="E64" s="4">
        <f ca="1">OFFSET(Hawkes_Bay_Reference,31,7)</f>
        <v>5.5236669400000001E-2</v>
      </c>
      <c r="F64" s="4">
        <f ca="1">OFFSET(Hawkes_Bay_Reference,32,7)</f>
        <v>6.3653579399999993E-2</v>
      </c>
      <c r="G64" s="4">
        <f ca="1">OFFSET(Hawkes_Bay_Reference,33,7)</f>
        <v>7.0193516799999994E-2</v>
      </c>
      <c r="H64" s="4">
        <f ca="1">OFFSET(Hawkes_Bay_Reference,34,7)</f>
        <v>7.6434761200000007E-2</v>
      </c>
      <c r="I64" s="1">
        <f ca="1">H64*('Updated Population'!I$59/'Updated Population'!H$59)</f>
        <v>7.5905949174185597E-2</v>
      </c>
      <c r="J64" s="1">
        <f ca="1">I64*('Updated Population'!J$59/'Updated Population'!I$59)</f>
        <v>7.5140845660216171E-2</v>
      </c>
      <c r="K64" s="1">
        <f ca="1">J64*('Updated Population'!K$59/'Updated Population'!J$59)</f>
        <v>7.4223599256032877E-2</v>
      </c>
    </row>
    <row r="65" spans="1:11" x14ac:dyDescent="0.2">
      <c r="A65" t="str">
        <f ca="1">OFFSET(Hawkes_Bay_Reference,35,2)</f>
        <v>Motorcyclist</v>
      </c>
      <c r="B65" s="4">
        <f ca="1">OFFSET(Hawkes_Bay_Reference,35,7)</f>
        <v>0.11763194120000001</v>
      </c>
      <c r="C65" s="4">
        <f ca="1">OFFSET(Hawkes_Bay_Reference,36,7)</f>
        <v>0.1138802044</v>
      </c>
      <c r="D65" s="4">
        <f ca="1">OFFSET(Hawkes_Bay_Reference,37,7)</f>
        <v>0.1104504695</v>
      </c>
      <c r="E65" s="4">
        <f ca="1">OFFSET(Hawkes_Bay_Reference,38,7)</f>
        <v>0.10644659920000001</v>
      </c>
      <c r="F65" s="4">
        <f ca="1">OFFSET(Hawkes_Bay_Reference,39,7)</f>
        <v>9.8074537599999997E-2</v>
      </c>
      <c r="G65" s="4">
        <f ca="1">OFFSET(Hawkes_Bay_Reference,40,7)</f>
        <v>9.24482108E-2</v>
      </c>
      <c r="H65" s="4">
        <f ca="1">OFFSET(Hawkes_Bay_Reference,41,7)</f>
        <v>8.6826869500000001E-2</v>
      </c>
      <c r="I65" s="1">
        <f ca="1">H65*('Updated Population'!I$59/'Updated Population'!H$59)</f>
        <v>8.6226159927096688E-2</v>
      </c>
      <c r="J65" s="1">
        <f ca="1">I65*('Updated Population'!J$59/'Updated Population'!I$59)</f>
        <v>8.5357032557318038E-2</v>
      </c>
      <c r="K65" s="1">
        <f ca="1">J65*('Updated Population'!K$59/'Updated Population'!J$59)</f>
        <v>8.4315076874000389E-2</v>
      </c>
    </row>
    <row r="66" spans="1:11" x14ac:dyDescent="0.2">
      <c r="A66" t="str">
        <f ca="1">OFFSET(Auckland_Reference,42,2)</f>
        <v>Local Train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1">
        <f>H66*('Updated Population'!I$59/'Updated Population'!H$59)</f>
        <v>0</v>
      </c>
      <c r="J66" s="1">
        <f>I66*('Updated Population'!J$59/'Updated Population'!I$59)</f>
        <v>0</v>
      </c>
      <c r="K66" s="1">
        <f>J66*('Updated Population'!K$59/'Updated Population'!J$59)</f>
        <v>0</v>
      </c>
    </row>
    <row r="67" spans="1:11" x14ac:dyDescent="0.2">
      <c r="A67" t="str">
        <f ca="1">OFFSET(Hawkes_Bay_Reference,42,2)</f>
        <v>Local Bus</v>
      </c>
      <c r="B67" s="4">
        <f ca="1">OFFSET(Hawkes_Bay_Reference,42,7)</f>
        <v>1.3660147812000001</v>
      </c>
      <c r="C67" s="4">
        <f ca="1">OFFSET(Hawkes_Bay_Reference,43,7)</f>
        <v>1.3665915040000001</v>
      </c>
      <c r="D67" s="4">
        <f ca="1">OFFSET(Hawkes_Bay_Reference,44,7)</f>
        <v>1.3706771651</v>
      </c>
      <c r="E67" s="4">
        <f ca="1">OFFSET(Hawkes_Bay_Reference,45,7)</f>
        <v>1.3754637256</v>
      </c>
      <c r="F67" s="4">
        <f ca="1">OFFSET(Hawkes_Bay_Reference,46,7)</f>
        <v>1.332158231</v>
      </c>
      <c r="G67" s="4">
        <f ca="1">OFFSET(Hawkes_Bay_Reference,47,7)</f>
        <v>1.3249188895999999</v>
      </c>
      <c r="H67" s="4">
        <f ca="1">OFFSET(Hawkes_Bay_Reference,48,7)</f>
        <v>1.3115310784</v>
      </c>
      <c r="I67" s="1">
        <f ca="1">H67*('Updated Population'!I$59/'Updated Population'!H$59)</f>
        <v>1.3024572827133425</v>
      </c>
      <c r="J67" s="1">
        <f ca="1">I67*('Updated Population'!J$59/'Updated Population'!I$59)</f>
        <v>1.2893290015359042</v>
      </c>
      <c r="K67" s="1">
        <f ca="1">J67*('Updated Population'!K$59/'Updated Population'!J$59)</f>
        <v>1.2735901263598666</v>
      </c>
    </row>
    <row r="68" spans="1:11" x14ac:dyDescent="0.2">
      <c r="A68" t="str">
        <f ca="1">OFFSET(Waikato_Reference,56,2)</f>
        <v>Local Ferry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1">
        <f>H68*('Updated Population'!I$59/'Updated Population'!H$59)</f>
        <v>0</v>
      </c>
      <c r="J68" s="1">
        <f>I68*('Updated Population'!J$59/'Updated Population'!I$59)</f>
        <v>0</v>
      </c>
      <c r="K68" s="1">
        <f>J68*('Updated Population'!K$59/'Updated Population'!J$59)</f>
        <v>0</v>
      </c>
    </row>
    <row r="69" spans="1:11" x14ac:dyDescent="0.2">
      <c r="A69" t="str">
        <f ca="1">OFFSET(Hawkes_Bay_Reference,49,2)</f>
        <v>Other Household Travel</v>
      </c>
      <c r="B69" s="4">
        <f ca="1">OFFSET(Hawkes_Bay_Reference,49,7)</f>
        <v>0.15778150060000001</v>
      </c>
      <c r="C69" s="4">
        <f ca="1">OFFSET(Hawkes_Bay_Reference,50,7)</f>
        <v>0.16691459289999999</v>
      </c>
      <c r="D69" s="4">
        <f ca="1">OFFSET(Hawkes_Bay_Reference,51,7)</f>
        <v>0.19066931770000001</v>
      </c>
      <c r="E69" s="4">
        <f ca="1">OFFSET(Hawkes_Bay_Reference,52,7)</f>
        <v>0.21453051479999999</v>
      </c>
      <c r="F69" s="4">
        <f ca="1">OFFSET(Hawkes_Bay_Reference,53,7)</f>
        <v>0.2288374175</v>
      </c>
      <c r="G69" s="4">
        <f ca="1">OFFSET(Hawkes_Bay_Reference,54,7)</f>
        <v>0.2473337477</v>
      </c>
      <c r="H69" s="4">
        <f ca="1">OFFSET(Hawkes_Bay_Reference,55,7)</f>
        <v>0.26474625070000002</v>
      </c>
      <c r="I69" s="1">
        <f ca="1">H69*('Updated Population'!I$59/'Updated Population'!H$59)</f>
        <v>0.26291461024006441</v>
      </c>
      <c r="J69" s="1">
        <f ca="1">I69*('Updated Population'!J$59/'Updated Population'!I$59)</f>
        <v>0.26026452952363771</v>
      </c>
      <c r="K69" s="1">
        <f ca="1">J69*('Updated Population'!K$59/'Updated Population'!J$59)</f>
        <v>0.25708747313380775</v>
      </c>
    </row>
    <row r="70" spans="1:11" x14ac:dyDescent="0.2">
      <c r="A70" t="str">
        <f ca="1">OFFSET(Taranaki_Reference,0,0)</f>
        <v>07 TARANAKI</v>
      </c>
      <c r="I70" s="1"/>
      <c r="J70" s="1"/>
      <c r="K70" s="1"/>
    </row>
    <row r="71" spans="1:11" x14ac:dyDescent="0.2">
      <c r="A71" t="str">
        <f ca="1">OFFSET(Taranaki_Reference,0,2)</f>
        <v>Pedestrian</v>
      </c>
      <c r="B71" s="4">
        <f ca="1">OFFSET(Taranaki_Reference,0,7)</f>
        <v>4.7547330373000003</v>
      </c>
      <c r="C71" s="4">
        <f ca="1">OFFSET(Taranaki_Reference,1,7)</f>
        <v>4.8448275164999997</v>
      </c>
      <c r="D71" s="4">
        <f ca="1">OFFSET(Taranaki_Reference,2,7)</f>
        <v>4.8476241167999996</v>
      </c>
      <c r="E71" s="4">
        <f ca="1">OFFSET(Taranaki_Reference,3,7)</f>
        <v>4.8141978637999996</v>
      </c>
      <c r="F71" s="4">
        <f ca="1">OFFSET(Taranaki_Reference,4,7)</f>
        <v>4.7676002443999996</v>
      </c>
      <c r="G71" s="4">
        <f ca="1">OFFSET(Taranaki_Reference,5,7)</f>
        <v>4.7251269005000003</v>
      </c>
      <c r="H71" s="4">
        <f ca="1">OFFSET(Taranaki_Reference,6,7)</f>
        <v>4.6699556394000004</v>
      </c>
      <c r="I71" s="1">
        <f ca="1">H71*('Updated Population'!I$70/'Updated Population'!H$70)</f>
        <v>4.7006572347339413</v>
      </c>
      <c r="J71" s="1">
        <f ca="1">I71*('Updated Population'!J$70/'Updated Population'!I$70)</f>
        <v>4.7164992980637654</v>
      </c>
      <c r="K71" s="1">
        <f ca="1">J71*('Updated Population'!K$70/'Updated Population'!J$70)</f>
        <v>4.7222245300484129</v>
      </c>
    </row>
    <row r="72" spans="1:11" x14ac:dyDescent="0.2">
      <c r="A72" t="str">
        <f ca="1">OFFSET(Taranaki_Reference,7,2)</f>
        <v>Cyclist</v>
      </c>
      <c r="B72" s="4">
        <f ca="1">OFFSET(Taranaki_Reference,7,7)</f>
        <v>0.51341482110000003</v>
      </c>
      <c r="C72" s="4">
        <f ca="1">OFFSET(Taranaki_Reference,8,7)</f>
        <v>0.53588330939999995</v>
      </c>
      <c r="D72" s="4">
        <f ca="1">OFFSET(Taranaki_Reference,9,7)</f>
        <v>0.54417950569999995</v>
      </c>
      <c r="E72" s="4">
        <f ca="1">OFFSET(Taranaki_Reference,10,7)</f>
        <v>0.53918220480000001</v>
      </c>
      <c r="F72" s="4">
        <f ca="1">OFFSET(Taranaki_Reference,11,7)</f>
        <v>0.54710030129999998</v>
      </c>
      <c r="G72" s="4">
        <f ca="1">OFFSET(Taranaki_Reference,12,7)</f>
        <v>0.55999709220000005</v>
      </c>
      <c r="H72" s="4">
        <f ca="1">OFFSET(Taranaki_Reference,13,7)</f>
        <v>0.57333967190000001</v>
      </c>
      <c r="I72" s="1">
        <f ca="1">H72*('Updated Population'!I$70/'Updated Population'!H$70)</f>
        <v>0.5771089673611941</v>
      </c>
      <c r="J72" s="1">
        <f ca="1">I72*('Updated Population'!J$70/'Updated Population'!I$70)</f>
        <v>0.57905392874693173</v>
      </c>
      <c r="K72" s="1">
        <f ca="1">J72*('Updated Population'!K$70/'Updated Population'!J$70)</f>
        <v>0.57975682677875351</v>
      </c>
    </row>
    <row r="73" spans="1:11" x14ac:dyDescent="0.2">
      <c r="A73" t="str">
        <f ca="1">OFFSET(Taranaki_Reference,14,2)</f>
        <v>Light Vehicle Driver</v>
      </c>
      <c r="B73" s="4">
        <f ca="1">OFFSET(Taranaki_Reference,14,7)</f>
        <v>21.205429401</v>
      </c>
      <c r="C73" s="4">
        <f ca="1">OFFSET(Taranaki_Reference,15,7)</f>
        <v>22.978617472</v>
      </c>
      <c r="D73" s="4">
        <f ca="1">OFFSET(Taranaki_Reference,16,7)</f>
        <v>24.269862109999998</v>
      </c>
      <c r="E73" s="4">
        <f ca="1">OFFSET(Taranaki_Reference,17,7)</f>
        <v>24.896221031</v>
      </c>
      <c r="F73" s="4">
        <f ca="1">OFFSET(Taranaki_Reference,18,7)</f>
        <v>25.116881281000001</v>
      </c>
      <c r="G73" s="4">
        <f ca="1">OFFSET(Taranaki_Reference,19,7)</f>
        <v>25.485904085000001</v>
      </c>
      <c r="H73" s="4">
        <f ca="1">OFFSET(Taranaki_Reference,20,7)</f>
        <v>25.762159809</v>
      </c>
      <c r="I73" s="1">
        <f ca="1">H73*('Updated Population'!I$70/'Updated Population'!H$70)</f>
        <v>25.931527457529924</v>
      </c>
      <c r="J73" s="1">
        <f ca="1">I73*('Updated Population'!J$70/'Updated Population'!I$70)</f>
        <v>26.018921385592947</v>
      </c>
      <c r="K73" s="1">
        <f ca="1">J73*('Updated Population'!K$70/'Updated Population'!J$70)</f>
        <v>26.050505056342985</v>
      </c>
    </row>
    <row r="74" spans="1:11" x14ac:dyDescent="0.2">
      <c r="A74" t="str">
        <f ca="1">OFFSET(Taranaki_Reference,21,2)</f>
        <v>Light Vehicle Passenger</v>
      </c>
      <c r="B74" s="4">
        <f ca="1">OFFSET(Taranaki_Reference,21,7)</f>
        <v>13.125178352000001</v>
      </c>
      <c r="C74" s="4">
        <f ca="1">OFFSET(Taranaki_Reference,22,7)</f>
        <v>13.224899907999999</v>
      </c>
      <c r="D74" s="4">
        <f ca="1">OFFSET(Taranaki_Reference,23,7)</f>
        <v>13.125696669</v>
      </c>
      <c r="E74" s="4">
        <f ca="1">OFFSET(Taranaki_Reference,24,7)</f>
        <v>13.003220754999999</v>
      </c>
      <c r="F74" s="4">
        <f ca="1">OFFSET(Taranaki_Reference,25,7)</f>
        <v>12.923563667</v>
      </c>
      <c r="G74" s="4">
        <f ca="1">OFFSET(Taranaki_Reference,26,7)</f>
        <v>12.756094574</v>
      </c>
      <c r="H74" s="4">
        <f ca="1">OFFSET(Taranaki_Reference,27,7)</f>
        <v>12.534678293000001</v>
      </c>
      <c r="I74" s="1">
        <f ca="1">H74*('Updated Population'!I$70/'Updated Population'!H$70)</f>
        <v>12.617084776125024</v>
      </c>
      <c r="J74" s="1">
        <f ca="1">I74*('Updated Population'!J$70/'Updated Population'!I$70)</f>
        <v>12.659606629151062</v>
      </c>
      <c r="K74" s="1">
        <f ca="1">J74*('Updated Population'!K$70/'Updated Population'!J$70)</f>
        <v>12.674973786062552</v>
      </c>
    </row>
    <row r="75" spans="1:11" x14ac:dyDescent="0.2">
      <c r="A75" t="str">
        <f ca="1">OFFSET(Taranaki_Reference,28,2)</f>
        <v>Taxi/Vehicle Share</v>
      </c>
      <c r="B75" s="4">
        <f ca="1">OFFSET(Taranaki_Reference,28,7)</f>
        <v>0.10005985589999999</v>
      </c>
      <c r="C75" s="4">
        <f ca="1">OFFSET(Taranaki_Reference,29,7)</f>
        <v>0.1220870419</v>
      </c>
      <c r="D75" s="4">
        <f ca="1">OFFSET(Taranaki_Reference,30,7)</f>
        <v>0.134237786</v>
      </c>
      <c r="E75" s="4">
        <f ca="1">OFFSET(Taranaki_Reference,31,7)</f>
        <v>0.14559617459999999</v>
      </c>
      <c r="F75" s="4">
        <f ca="1">OFFSET(Taranaki_Reference,32,7)</f>
        <v>0.14927107070000001</v>
      </c>
      <c r="G75" s="4">
        <f ca="1">OFFSET(Taranaki_Reference,33,7)</f>
        <v>0.15031044330000001</v>
      </c>
      <c r="H75" s="4">
        <f ca="1">OFFSET(Taranaki_Reference,34,7)</f>
        <v>0.1499562931</v>
      </c>
      <c r="I75" s="1">
        <f ca="1">H75*('Updated Population'!I$70/'Updated Population'!H$70)</f>
        <v>0.15094214773846623</v>
      </c>
      <c r="J75" s="1">
        <f ca="1">I75*('Updated Population'!J$70/'Updated Population'!I$70)</f>
        <v>0.1514508500207648</v>
      </c>
      <c r="K75" s="1">
        <f ca="1">J75*('Updated Population'!K$70/'Updated Population'!J$70)</f>
        <v>0.15163469214515501</v>
      </c>
    </row>
    <row r="76" spans="1:11" x14ac:dyDescent="0.2">
      <c r="A76" t="str">
        <f ca="1">OFFSET(Taranaki_Reference,35,2)</f>
        <v>Motorcyclist</v>
      </c>
      <c r="B76" s="4">
        <f ca="1">OFFSET(Taranaki_Reference,35,7)</f>
        <v>0.25001806910000002</v>
      </c>
      <c r="C76" s="4">
        <f ca="1">OFFSET(Taranaki_Reference,36,7)</f>
        <v>0.26235057969999998</v>
      </c>
      <c r="D76" s="4">
        <f ca="1">OFFSET(Taranaki_Reference,37,7)</f>
        <v>0.26896151899999998</v>
      </c>
      <c r="E76" s="4">
        <f ca="1">OFFSET(Taranaki_Reference,38,7)</f>
        <v>0.26732330100000001</v>
      </c>
      <c r="F76" s="4">
        <f ca="1">OFFSET(Taranaki_Reference,39,7)</f>
        <v>0.26230508330000002</v>
      </c>
      <c r="G76" s="4">
        <f ca="1">OFFSET(Taranaki_Reference,40,7)</f>
        <v>0.25890436659999999</v>
      </c>
      <c r="H76" s="4">
        <f ca="1">OFFSET(Taranaki_Reference,41,7)</f>
        <v>0.25501917489999998</v>
      </c>
      <c r="I76" s="1">
        <f ca="1">H76*('Updated Population'!I$70/'Updated Population'!H$70)</f>
        <v>0.25669574232691911</v>
      </c>
      <c r="J76" s="1">
        <f ca="1">I76*('Updated Population'!J$70/'Updated Population'!I$70)</f>
        <v>0.25756085331105782</v>
      </c>
      <c r="K76" s="1">
        <f ca="1">J76*('Updated Population'!K$70/'Updated Population'!J$70)</f>
        <v>0.25787349952219474</v>
      </c>
    </row>
    <row r="77" spans="1:11" x14ac:dyDescent="0.2">
      <c r="A77" t="str">
        <f ca="1">OFFSET(Taranaki_Reference,42,2)</f>
        <v>Local Train</v>
      </c>
      <c r="B77" s="4">
        <f ca="1">OFFSET(Taranaki_Reference,42,7)</f>
        <v>8.8777196999999999E-3</v>
      </c>
      <c r="C77" s="4">
        <f ca="1">OFFSET(Taranaki_Reference,43,7)</f>
        <v>8.6236830999999996E-3</v>
      </c>
      <c r="D77" s="4">
        <f ca="1">OFFSET(Taranaki_Reference,44,7)</f>
        <v>7.7748495999999997E-3</v>
      </c>
      <c r="E77" s="4">
        <f ca="1">OFFSET(Taranaki_Reference,45,7)</f>
        <v>7.2000946E-3</v>
      </c>
      <c r="F77" s="4">
        <f ca="1">OFFSET(Taranaki_Reference,46,7)</f>
        <v>7.5014495E-3</v>
      </c>
      <c r="G77" s="4">
        <f ca="1">OFFSET(Taranaki_Reference,47,7)</f>
        <v>8.3520565999999994E-3</v>
      </c>
      <c r="H77" s="4">
        <f ca="1">OFFSET(Taranaki_Reference,48,7)</f>
        <v>9.0831964999999997E-3</v>
      </c>
      <c r="I77" s="1">
        <f ca="1">H77*('Updated Population'!I$70/'Updated Population'!H$70)</f>
        <v>9.1429119758663826E-3</v>
      </c>
      <c r="J77" s="1">
        <f ca="1">I77*('Updated Population'!J$70/'Updated Population'!I$70)</f>
        <v>9.1737252394820355E-3</v>
      </c>
      <c r="K77" s="1">
        <f ca="1">J77*('Updated Population'!K$70/'Updated Population'!J$70)</f>
        <v>9.1848609784783326E-3</v>
      </c>
    </row>
    <row r="78" spans="1:11" x14ac:dyDescent="0.2">
      <c r="A78" t="str">
        <f ca="1">OFFSET(Taranaki_Reference,49,2)</f>
        <v>Local Bus</v>
      </c>
      <c r="B78" s="4">
        <f ca="1">OFFSET(Taranaki_Reference,49,7)</f>
        <v>0.4632962336</v>
      </c>
      <c r="C78" s="4">
        <f ca="1">OFFSET(Taranaki_Reference,50,7)</f>
        <v>0.47511396519999999</v>
      </c>
      <c r="D78" s="4">
        <f ca="1">OFFSET(Taranaki_Reference,51,7)</f>
        <v>0.48012833739999999</v>
      </c>
      <c r="E78" s="4">
        <f ca="1">OFFSET(Taranaki_Reference,52,7)</f>
        <v>0.46893181540000001</v>
      </c>
      <c r="F78" s="4">
        <f ca="1">OFFSET(Taranaki_Reference,53,7)</f>
        <v>0.4522052439</v>
      </c>
      <c r="G78" s="4">
        <f ca="1">OFFSET(Taranaki_Reference,54,7)</f>
        <v>0.46010152160000001</v>
      </c>
      <c r="H78" s="4">
        <f ca="1">OFFSET(Taranaki_Reference,55,7)</f>
        <v>0.4677306188</v>
      </c>
      <c r="I78" s="1">
        <f ca="1">H78*('Updated Population'!I$70/'Updated Population'!H$70)</f>
        <v>0.47080561078976041</v>
      </c>
      <c r="J78" s="1">
        <f ca="1">I78*('Updated Population'!J$70/'Updated Population'!I$70)</f>
        <v>0.47239231067654552</v>
      </c>
      <c r="K78" s="1">
        <f ca="1">J78*('Updated Population'!K$70/'Updated Population'!J$70)</f>
        <v>0.47296573503123529</v>
      </c>
    </row>
    <row r="79" spans="1:11" x14ac:dyDescent="0.2">
      <c r="A79" t="str">
        <f ca="1">OFFSET(Waikato_Reference,56,2)</f>
        <v>Local Ferry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1">
        <f>H79*('Updated Population'!I$70/'Updated Population'!H$70)</f>
        <v>0</v>
      </c>
      <c r="J79" s="1">
        <f>I79*('Updated Population'!J$70/'Updated Population'!I$70)</f>
        <v>0</v>
      </c>
      <c r="K79" s="1">
        <f>J79*('Updated Population'!K$70/'Updated Population'!J$70)</f>
        <v>0</v>
      </c>
    </row>
    <row r="80" spans="1:11" x14ac:dyDescent="0.2">
      <c r="A80" t="str">
        <f ca="1">OFFSET(Taranaki_Reference,56,2)</f>
        <v>Other Household Travel</v>
      </c>
      <c r="B80" s="4">
        <f ca="1">OFFSET(Taranaki_Reference,56,7)</f>
        <v>5.6354069499999999E-2</v>
      </c>
      <c r="C80" s="4">
        <f ca="1">OFFSET(Taranaki_Reference,57,7)</f>
        <v>5.9523355E-2</v>
      </c>
      <c r="D80" s="4">
        <f ca="1">OFFSET(Taranaki_Reference,58,7)</f>
        <v>6.3111735599999996E-2</v>
      </c>
      <c r="E80" s="4">
        <f ca="1">OFFSET(Taranaki_Reference,59,7)</f>
        <v>7.1191905900000005E-2</v>
      </c>
      <c r="F80" s="4">
        <f ca="1">OFFSET(Taranaki_Reference,60,7)</f>
        <v>8.5240224899999995E-2</v>
      </c>
      <c r="G80" s="4">
        <f ca="1">OFFSET(Taranaki_Reference,61,7)</f>
        <v>9.5482620899999995E-2</v>
      </c>
      <c r="H80" s="4">
        <f ca="1">OFFSET(Taranaki_Reference,62,7)</f>
        <v>0.1019528064</v>
      </c>
      <c r="I80" s="1">
        <f ca="1">H80*('Updated Population'!I$70/'Updated Population'!H$70)</f>
        <v>0.10262307268236978</v>
      </c>
      <c r="J80" s="1">
        <f ca="1">I80*('Updated Population'!J$70/'Updated Population'!I$70)</f>
        <v>0.10296893096034042</v>
      </c>
      <c r="K80" s="1">
        <f ca="1">J80*('Updated Population'!K$70/'Updated Population'!J$70)</f>
        <v>0.10309392218364054</v>
      </c>
    </row>
    <row r="81" spans="1:11" x14ac:dyDescent="0.2">
      <c r="A81" t="str">
        <f ca="1">OFFSET(Manawatu_Reference,0,0)</f>
        <v>08 MANAWATU-WANGANUI</v>
      </c>
      <c r="I81" s="1"/>
      <c r="J81" s="1"/>
      <c r="K81" s="1"/>
    </row>
    <row r="82" spans="1:11" x14ac:dyDescent="0.2">
      <c r="A82" t="str">
        <f ca="1">OFFSET(Manawatu_Reference,0,2)</f>
        <v>Pedestrian</v>
      </c>
      <c r="B82" s="4">
        <f ca="1">OFFSET(Manawatu_Reference,0,7)</f>
        <v>8.3408449691000008</v>
      </c>
      <c r="C82" s="4">
        <f ca="1">OFFSET(Manawatu_Reference,1,7)</f>
        <v>8.1995005451999994</v>
      </c>
      <c r="D82" s="4">
        <f ca="1">OFFSET(Manawatu_Reference,2,7)</f>
        <v>7.9520479962000001</v>
      </c>
      <c r="E82" s="4">
        <f ca="1">OFFSET(Manawatu_Reference,3,7)</f>
        <v>7.6600913107000004</v>
      </c>
      <c r="F82" s="4">
        <f ca="1">OFFSET(Manawatu_Reference,4,7)</f>
        <v>7.3427811850999998</v>
      </c>
      <c r="G82" s="4">
        <f ca="1">OFFSET(Manawatu_Reference,5,7)</f>
        <v>6.9983546418999998</v>
      </c>
      <c r="H82" s="4">
        <f ca="1">OFFSET(Manawatu_Reference,6,7)</f>
        <v>6.6453339281000003</v>
      </c>
      <c r="I82" s="1">
        <f ca="1">H82*('Updated Population'!I$81/'Updated Population'!H$81)</f>
        <v>6.5905995889354205</v>
      </c>
      <c r="J82" s="1">
        <f ca="1">I82*('Updated Population'!J$81/'Updated Population'!I$81)</f>
        <v>6.5155098492513401</v>
      </c>
      <c r="K82" s="1">
        <f ca="1">J82*('Updated Population'!K$81/'Updated Population'!J$81)</f>
        <v>6.4274329242355419</v>
      </c>
    </row>
    <row r="83" spans="1:11" x14ac:dyDescent="0.2">
      <c r="A83" t="str">
        <f ca="1">OFFSET(Manawatu_Reference,7,2)</f>
        <v>Cyclist</v>
      </c>
      <c r="B83" s="4">
        <f ca="1">OFFSET(Manawatu_Reference,7,7)</f>
        <v>1.7566260256999999</v>
      </c>
      <c r="C83" s="4">
        <f ca="1">OFFSET(Manawatu_Reference,8,7)</f>
        <v>1.9183887787</v>
      </c>
      <c r="D83" s="4">
        <f ca="1">OFFSET(Manawatu_Reference,9,7)</f>
        <v>2.0372377434</v>
      </c>
      <c r="E83" s="4">
        <f ca="1">OFFSET(Manawatu_Reference,10,7)</f>
        <v>2.0829749575999998</v>
      </c>
      <c r="F83" s="4">
        <f ca="1">OFFSET(Manawatu_Reference,11,7)</f>
        <v>2.115150087</v>
      </c>
      <c r="G83" s="4">
        <f ca="1">OFFSET(Manawatu_Reference,12,7)</f>
        <v>2.1032904944999999</v>
      </c>
      <c r="H83" s="4">
        <f ca="1">OFFSET(Manawatu_Reference,13,7)</f>
        <v>2.0782260834000001</v>
      </c>
      <c r="I83" s="1">
        <f ca="1">H83*('Updated Population'!I$81/'Updated Population'!H$81)</f>
        <v>2.0611087597951632</v>
      </c>
      <c r="J83" s="1">
        <f ca="1">I83*('Updated Population'!J$81/'Updated Population'!I$81)</f>
        <v>2.0376255974295678</v>
      </c>
      <c r="K83" s="1">
        <f ca="1">J83*('Updated Population'!K$81/'Updated Population'!J$81)</f>
        <v>2.0100808923938298</v>
      </c>
    </row>
    <row r="84" spans="1:11" x14ac:dyDescent="0.2">
      <c r="A84" t="str">
        <f ca="1">OFFSET(Manawatu_Reference,14,2)</f>
        <v>Light Vehicle Driver</v>
      </c>
      <c r="B84" s="4">
        <f ca="1">OFFSET(Manawatu_Reference,14,7)</f>
        <v>42.09204356</v>
      </c>
      <c r="C84" s="4">
        <f ca="1">OFFSET(Manawatu_Reference,15,7)</f>
        <v>45.311149942</v>
      </c>
      <c r="D84" s="4">
        <f ca="1">OFFSET(Manawatu_Reference,16,7)</f>
        <v>47.137630287999997</v>
      </c>
      <c r="E84" s="4">
        <f ca="1">OFFSET(Manawatu_Reference,17,7)</f>
        <v>47.849284208999997</v>
      </c>
      <c r="F84" s="4">
        <f ca="1">OFFSET(Manawatu_Reference,18,7)</f>
        <v>48.443217124</v>
      </c>
      <c r="G84" s="4">
        <f ca="1">OFFSET(Manawatu_Reference,19,7)</f>
        <v>48.487029622999998</v>
      </c>
      <c r="H84" s="4">
        <f ca="1">OFFSET(Manawatu_Reference,20,7)</f>
        <v>48.307120400000002</v>
      </c>
      <c r="I84" s="1">
        <f ca="1">H84*('Updated Population'!I$81/'Updated Population'!H$81)</f>
        <v>47.909238466504185</v>
      </c>
      <c r="J84" s="1">
        <f ca="1">I84*('Updated Population'!J$81/'Updated Population'!I$81)</f>
        <v>47.363386424308821</v>
      </c>
      <c r="K84" s="1">
        <f ca="1">J84*('Updated Population'!K$81/'Updated Population'!J$81)</f>
        <v>46.723126255710127</v>
      </c>
    </row>
    <row r="85" spans="1:11" x14ac:dyDescent="0.2">
      <c r="A85" t="str">
        <f ca="1">OFFSET(Manawatu_Reference,21,2)</f>
        <v>Light Vehicle Passenger</v>
      </c>
      <c r="B85" s="4">
        <f ca="1">OFFSET(Manawatu_Reference,21,7)</f>
        <v>20.286542670999999</v>
      </c>
      <c r="C85" s="4">
        <f ca="1">OFFSET(Manawatu_Reference,22,7)</f>
        <v>20.514725923</v>
      </c>
      <c r="D85" s="4">
        <f ca="1">OFFSET(Manawatu_Reference,23,7)</f>
        <v>20.510028004999999</v>
      </c>
      <c r="E85" s="4">
        <f ca="1">OFFSET(Manawatu_Reference,24,7)</f>
        <v>20.321673954000001</v>
      </c>
      <c r="F85" s="4">
        <f ca="1">OFFSET(Manawatu_Reference,25,7)</f>
        <v>20.352410842000001</v>
      </c>
      <c r="G85" s="4">
        <f ca="1">OFFSET(Manawatu_Reference,26,7)</f>
        <v>20.313275279999999</v>
      </c>
      <c r="H85" s="4">
        <f ca="1">OFFSET(Manawatu_Reference,27,7)</f>
        <v>20.197447498999999</v>
      </c>
      <c r="I85" s="1">
        <f ca="1">H85*('Updated Population'!I$81/'Updated Population'!H$81)</f>
        <v>20.031091082056911</v>
      </c>
      <c r="J85" s="1">
        <f ca="1">I85*('Updated Population'!J$81/'Updated Population'!I$81)</f>
        <v>19.802867626111421</v>
      </c>
      <c r="K85" s="1">
        <f ca="1">J85*('Updated Population'!K$81/'Updated Population'!J$81)</f>
        <v>19.53517166257862</v>
      </c>
    </row>
    <row r="86" spans="1:11" x14ac:dyDescent="0.2">
      <c r="A86" t="str">
        <f ca="1">OFFSET(Manawatu_Reference,28,2)</f>
        <v>Taxi/Vehicle Share</v>
      </c>
      <c r="B86" s="4">
        <f ca="1">OFFSET(Manawatu_Reference,28,7)</f>
        <v>0.26821620219999998</v>
      </c>
      <c r="C86" s="4">
        <f ca="1">OFFSET(Manawatu_Reference,29,7)</f>
        <v>0.31846578850000001</v>
      </c>
      <c r="D86" s="4">
        <f ca="1">OFFSET(Manawatu_Reference,30,7)</f>
        <v>0.34870497290000002</v>
      </c>
      <c r="E86" s="4">
        <f ca="1">OFFSET(Manawatu_Reference,31,7)</f>
        <v>0.35477330210000002</v>
      </c>
      <c r="F86" s="4">
        <f ca="1">OFFSET(Manawatu_Reference,32,7)</f>
        <v>0.35878399989999998</v>
      </c>
      <c r="G86" s="4">
        <f ca="1">OFFSET(Manawatu_Reference,33,7)</f>
        <v>0.38383747039999999</v>
      </c>
      <c r="H86" s="4">
        <f ca="1">OFFSET(Manawatu_Reference,34,7)</f>
        <v>0.4101707584</v>
      </c>
      <c r="I86" s="1">
        <f ca="1">H86*('Updated Population'!I$81/'Updated Population'!H$81)</f>
        <v>0.40679238409276974</v>
      </c>
      <c r="J86" s="1">
        <f ca="1">I86*('Updated Population'!J$81/'Updated Population'!I$81)</f>
        <v>0.40215761091093749</v>
      </c>
      <c r="K86" s="1">
        <f ca="1">J86*('Updated Population'!K$81/'Updated Population'!J$81)</f>
        <v>0.39672122810126298</v>
      </c>
    </row>
    <row r="87" spans="1:11" x14ac:dyDescent="0.2">
      <c r="A87" t="str">
        <f ca="1">OFFSET(Manawatu_Reference,35,2)</f>
        <v>Motorcyclist</v>
      </c>
      <c r="B87" s="4">
        <f ca="1">OFFSET(Manawatu_Reference,35,7)</f>
        <v>0.1643149203</v>
      </c>
      <c r="C87" s="4">
        <f ca="1">OFFSET(Manawatu_Reference,36,7)</f>
        <v>0.1591607978</v>
      </c>
      <c r="D87" s="4">
        <f ca="1">OFFSET(Manawatu_Reference,37,7)</f>
        <v>0.14996344240000001</v>
      </c>
      <c r="E87" s="4">
        <f ca="1">OFFSET(Manawatu_Reference,38,7)</f>
        <v>0.1347986903</v>
      </c>
      <c r="F87" s="4">
        <f ca="1">OFFSET(Manawatu_Reference,39,7)</f>
        <v>0.12598146960000001</v>
      </c>
      <c r="G87" s="4">
        <f ca="1">OFFSET(Manawatu_Reference,40,7)</f>
        <v>0.1233227044</v>
      </c>
      <c r="H87" s="4">
        <f ca="1">OFFSET(Manawatu_Reference,41,7)</f>
        <v>0.11917660319999999</v>
      </c>
      <c r="I87" s="1">
        <f ca="1">H87*('Updated Population'!I$81/'Updated Population'!H$81)</f>
        <v>0.11819500427801831</v>
      </c>
      <c r="J87" s="1">
        <f ca="1">I87*('Updated Population'!J$81/'Updated Population'!I$81)</f>
        <v>0.11684835410098506</v>
      </c>
      <c r="K87" s="1">
        <f ca="1">J87*('Updated Population'!K$81/'Updated Population'!J$81)</f>
        <v>0.11526879333590473</v>
      </c>
    </row>
    <row r="88" spans="1:11" x14ac:dyDescent="0.2">
      <c r="A88" t="str">
        <f ca="1">OFFSET(Taranaki_Reference,42,2)</f>
        <v>Local Train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1">
        <f>H88*('Updated Population'!I$81/'Updated Population'!H$81)</f>
        <v>0</v>
      </c>
      <c r="J88" s="1">
        <f>I88*('Updated Population'!J$81/'Updated Population'!I$81)</f>
        <v>0</v>
      </c>
      <c r="K88" s="1">
        <f>J88*('Updated Population'!K$81/'Updated Population'!J$81)</f>
        <v>0</v>
      </c>
    </row>
    <row r="89" spans="1:11" x14ac:dyDescent="0.2">
      <c r="A89" t="str">
        <f ca="1">OFFSET(Manawatu_Reference,42,2)</f>
        <v>Local Bus</v>
      </c>
      <c r="B89" s="4">
        <f ca="1">OFFSET(Manawatu_Reference,42,7)</f>
        <v>1.7349616699999999</v>
      </c>
      <c r="C89" s="4">
        <f ca="1">OFFSET(Manawatu_Reference,43,7)</f>
        <v>1.5835990363000001</v>
      </c>
      <c r="D89" s="4">
        <f ca="1">OFFSET(Manawatu_Reference,44,7)</f>
        <v>1.4561177073</v>
      </c>
      <c r="E89" s="4">
        <f ca="1">OFFSET(Manawatu_Reference,45,7)</f>
        <v>1.3691870958000001</v>
      </c>
      <c r="F89" s="4">
        <f ca="1">OFFSET(Manawatu_Reference,46,7)</f>
        <v>1.2990372483999999</v>
      </c>
      <c r="G89" s="4">
        <f ca="1">OFFSET(Manawatu_Reference,47,7)</f>
        <v>1.2330758687000001</v>
      </c>
      <c r="H89" s="4">
        <f ca="1">OFFSET(Manawatu_Reference,48,7)</f>
        <v>1.163084252</v>
      </c>
      <c r="I89" s="1">
        <f ca="1">H89*('Updated Population'!I$81/'Updated Population'!H$81)</f>
        <v>1.1535045004608397</v>
      </c>
      <c r="J89" s="1">
        <f ca="1">I89*('Updated Population'!J$81/'Updated Population'!I$81)</f>
        <v>1.1403620918688453</v>
      </c>
      <c r="K89" s="1">
        <f ca="1">J89*('Updated Population'!K$81/'Updated Population'!J$81)</f>
        <v>1.1249466311021132</v>
      </c>
    </row>
    <row r="90" spans="1:11" x14ac:dyDescent="0.2">
      <c r="A90" t="str">
        <f ca="1">OFFSET(Manawatu_Reference,49,2)</f>
        <v>Local Ferry</v>
      </c>
      <c r="B90" s="4">
        <f ca="1">OFFSET(Manawatu_Reference,49,7)</f>
        <v>1.3357739E-2</v>
      </c>
      <c r="C90" s="4">
        <f ca="1">OFFSET(Manawatu_Reference,50,7)</f>
        <v>1.48696683E-2</v>
      </c>
      <c r="D90" s="4">
        <f ca="1">OFFSET(Manawatu_Reference,51,7)</f>
        <v>1.5922174899999999E-2</v>
      </c>
      <c r="E90" s="4">
        <f ca="1">OFFSET(Manawatu_Reference,52,7)</f>
        <v>1.70444688E-2</v>
      </c>
      <c r="F90" s="4">
        <f ca="1">OFFSET(Manawatu_Reference,53,7)</f>
        <v>1.6924268400000001E-2</v>
      </c>
      <c r="G90" s="4">
        <f ca="1">OFFSET(Manawatu_Reference,54,7)</f>
        <v>1.6060136400000001E-2</v>
      </c>
      <c r="H90" s="4">
        <f ca="1">OFFSET(Manawatu_Reference,55,7)</f>
        <v>1.5110296400000001E-2</v>
      </c>
      <c r="I90" s="1">
        <f ca="1">H90*('Updated Population'!I$81/'Updated Population'!H$81)</f>
        <v>1.4985840338501314E-2</v>
      </c>
      <c r="J90" s="1">
        <f ca="1">I90*('Updated Population'!J$81/'Updated Population'!I$81)</f>
        <v>1.4815099750368115E-2</v>
      </c>
      <c r="K90" s="1">
        <f ca="1">J90*('Updated Population'!K$81/'Updated Population'!J$81)</f>
        <v>1.4614828634215222E-2</v>
      </c>
    </row>
    <row r="91" spans="1:11" x14ac:dyDescent="0.2">
      <c r="A91" t="str">
        <f ca="1">OFFSET(Manawatu_Reference,56,2)</f>
        <v>Other Household Travel</v>
      </c>
      <c r="B91" s="4">
        <f ca="1">OFFSET(Manawatu_Reference,56,7)</f>
        <v>3.9735238899999997E-2</v>
      </c>
      <c r="C91" s="4">
        <f ca="1">OFFSET(Manawatu_Reference,57,7)</f>
        <v>3.7986567899999997E-2</v>
      </c>
      <c r="D91" s="4">
        <f ca="1">OFFSET(Manawatu_Reference,58,7)</f>
        <v>3.4506506800000003E-2</v>
      </c>
      <c r="E91" s="4">
        <f ca="1">OFFSET(Manawatu_Reference,59,7)</f>
        <v>2.8876597399999999E-2</v>
      </c>
      <c r="F91" s="4">
        <f ca="1">OFFSET(Manawatu_Reference,60,7)</f>
        <v>2.5273315000000001E-2</v>
      </c>
      <c r="G91" s="4">
        <f ca="1">OFFSET(Manawatu_Reference,61,7)</f>
        <v>2.2216921899999999E-2</v>
      </c>
      <c r="H91" s="4">
        <f ca="1">OFFSET(Manawatu_Reference,62,7)</f>
        <v>1.9206237399999999E-2</v>
      </c>
      <c r="I91" s="1">
        <f ca="1">H91*('Updated Population'!I$81/'Updated Population'!H$81)</f>
        <v>1.9048045091938273E-2</v>
      </c>
      <c r="J91" s="1">
        <f ca="1">I91*('Updated Population'!J$81/'Updated Population'!I$81)</f>
        <v>1.8831021932187293E-2</v>
      </c>
      <c r="K91" s="1">
        <f ca="1">J91*('Updated Population'!K$81/'Updated Population'!J$81)</f>
        <v>1.8576463417954873E-2</v>
      </c>
    </row>
    <row r="92" spans="1:11" x14ac:dyDescent="0.2">
      <c r="A92" t="str">
        <f ca="1">OFFSET(Wellington_Reference,0,0)</f>
        <v>09 WELLINGTON</v>
      </c>
      <c r="I92" s="1"/>
      <c r="J92" s="1"/>
      <c r="K92" s="1"/>
    </row>
    <row r="93" spans="1:11" x14ac:dyDescent="0.2">
      <c r="A93" t="str">
        <f ca="1">OFFSET(Wellington_Reference,0,2)</f>
        <v>Pedestrian</v>
      </c>
      <c r="B93" s="4">
        <f ca="1">OFFSET(Wellington_Reference,0,7)</f>
        <v>32.985647405999998</v>
      </c>
      <c r="C93" s="4">
        <f ca="1">OFFSET(Wellington_Reference,1,7)</f>
        <v>34.981312981000002</v>
      </c>
      <c r="D93" s="4">
        <f ca="1">OFFSET(Wellington_Reference,2,7)</f>
        <v>36.025419456000002</v>
      </c>
      <c r="E93" s="4">
        <f ca="1">OFFSET(Wellington_Reference,3,7)</f>
        <v>36.861184223000002</v>
      </c>
      <c r="F93" s="4">
        <f ca="1">OFFSET(Wellington_Reference,4,7)</f>
        <v>37.455850380000001</v>
      </c>
      <c r="G93" s="4">
        <f ca="1">OFFSET(Wellington_Reference,5,7)</f>
        <v>38.047694481999997</v>
      </c>
      <c r="H93" s="4">
        <f ca="1">OFFSET(Wellington_Reference,6,7)</f>
        <v>38.543518427999999</v>
      </c>
      <c r="I93" s="1">
        <f ca="1">H93*('Updated Population'!I$92/'Updated Population'!H$92)</f>
        <v>38.798419393309175</v>
      </c>
      <c r="J93" s="1">
        <f ca="1">I93*('Updated Population'!J$92/'Updated Population'!I$92)</f>
        <v>38.930687288773086</v>
      </c>
      <c r="K93" s="1">
        <f ca="1">J93*('Updated Population'!K$92/'Updated Population'!J$92)</f>
        <v>38.979456316844335</v>
      </c>
    </row>
    <row r="94" spans="1:11" x14ac:dyDescent="0.2">
      <c r="A94" t="str">
        <f ca="1">OFFSET(Wellington_Reference,7,2)</f>
        <v>Cyclist</v>
      </c>
      <c r="B94" s="4">
        <f ca="1">OFFSET(Wellington_Reference,7,7)</f>
        <v>3.6978261002999999</v>
      </c>
      <c r="C94" s="4">
        <f ca="1">OFFSET(Wellington_Reference,8,7)</f>
        <v>3.9096174661999998</v>
      </c>
      <c r="D94" s="4">
        <f ca="1">OFFSET(Wellington_Reference,9,7)</f>
        <v>4.0013970351000001</v>
      </c>
      <c r="E94" s="4">
        <f ca="1">OFFSET(Wellington_Reference,10,7)</f>
        <v>4.0522416650000004</v>
      </c>
      <c r="F94" s="4">
        <f ca="1">OFFSET(Wellington_Reference,11,7)</f>
        <v>4.2443589782000002</v>
      </c>
      <c r="G94" s="4">
        <f ca="1">OFFSET(Wellington_Reference,12,7)</f>
        <v>4.5493868989999999</v>
      </c>
      <c r="H94" s="4">
        <f ca="1">OFFSET(Wellington_Reference,13,7)</f>
        <v>4.8517259715999996</v>
      </c>
      <c r="I94" s="1">
        <f ca="1">H94*('Updated Population'!I$92/'Updated Population'!H$92)</f>
        <v>4.8838120313064231</v>
      </c>
      <c r="J94" s="1">
        <f ca="1">I94*('Updated Population'!J$92/'Updated Population'!I$92)</f>
        <v>4.900461460569864</v>
      </c>
      <c r="K94" s="1">
        <f ca="1">J94*('Updated Population'!K$92/'Updated Population'!J$92)</f>
        <v>4.9066003386420602</v>
      </c>
    </row>
    <row r="95" spans="1:11" x14ac:dyDescent="0.2">
      <c r="A95" t="str">
        <f ca="1">OFFSET(Wellington_Reference,14,2)</f>
        <v>Light Vehicle Driver</v>
      </c>
      <c r="B95" s="4">
        <f ca="1">OFFSET(Wellington_Reference,14,7)</f>
        <v>92.129697210000003</v>
      </c>
      <c r="C95" s="4">
        <f ca="1">OFFSET(Wellington_Reference,15,7)</f>
        <v>97.505941156999995</v>
      </c>
      <c r="D95" s="4">
        <f ca="1">OFFSET(Wellington_Reference,16,7)</f>
        <v>101.17330484</v>
      </c>
      <c r="E95" s="4">
        <f ca="1">OFFSET(Wellington_Reference,17,7)</f>
        <v>103.76791298000001</v>
      </c>
      <c r="F95" s="4">
        <f ca="1">OFFSET(Wellington_Reference,18,7)</f>
        <v>106.00385025999999</v>
      </c>
      <c r="G95" s="4">
        <f ca="1">OFFSET(Wellington_Reference,19,7)</f>
        <v>107.5404362</v>
      </c>
      <c r="H95" s="4">
        <f ca="1">OFFSET(Wellington_Reference,20,7)</f>
        <v>108.74587572</v>
      </c>
      <c r="I95" s="1">
        <f ca="1">H95*('Updated Population'!I$92/'Updated Population'!H$92)</f>
        <v>109.46504796542435</v>
      </c>
      <c r="J95" s="1">
        <f ca="1">I95*('Updated Population'!J$92/'Updated Population'!I$92)</f>
        <v>109.83822583575119</v>
      </c>
      <c r="K95" s="1">
        <f ca="1">J95*('Updated Population'!K$92/'Updated Population'!J$92)</f>
        <v>109.9758217502375</v>
      </c>
    </row>
    <row r="96" spans="1:11" x14ac:dyDescent="0.2">
      <c r="A96" t="str">
        <f ca="1">OFFSET(Wellington_Reference,21,2)</f>
        <v>Light Vehicle Passenger</v>
      </c>
      <c r="B96" s="4">
        <f ca="1">OFFSET(Wellington_Reference,21,7)</f>
        <v>48.966354531</v>
      </c>
      <c r="C96" s="4">
        <f ca="1">OFFSET(Wellington_Reference,22,7)</f>
        <v>49.615628262999998</v>
      </c>
      <c r="D96" s="4">
        <f ca="1">OFFSET(Wellington_Reference,23,7)</f>
        <v>49.684395881999997</v>
      </c>
      <c r="E96" s="4">
        <f ca="1">OFFSET(Wellington_Reference,24,7)</f>
        <v>49.460850520000001</v>
      </c>
      <c r="F96" s="4">
        <f ca="1">OFFSET(Wellington_Reference,25,7)</f>
        <v>49.396424287999999</v>
      </c>
      <c r="G96" s="4">
        <f ca="1">OFFSET(Wellington_Reference,26,7)</f>
        <v>49.137254294000002</v>
      </c>
      <c r="H96" s="4">
        <f ca="1">OFFSET(Wellington_Reference,27,7)</f>
        <v>48.694661545000002</v>
      </c>
      <c r="I96" s="1">
        <f ca="1">H96*('Updated Population'!I$92/'Updated Population'!H$92)</f>
        <v>49.016695358711388</v>
      </c>
      <c r="J96" s="1">
        <f ca="1">I96*('Updated Population'!J$92/'Updated Population'!I$92)</f>
        <v>49.183798432472436</v>
      </c>
      <c r="K96" s="1">
        <f ca="1">J96*('Updated Population'!K$92/'Updated Population'!J$92)</f>
        <v>49.245411679333749</v>
      </c>
    </row>
    <row r="97" spans="1:11" x14ac:dyDescent="0.2">
      <c r="A97" t="str">
        <f ca="1">OFFSET(Wellington_Reference,28,2)</f>
        <v>Taxi/Vehicle Share</v>
      </c>
      <c r="B97" s="4">
        <f ca="1">OFFSET(Wellington_Reference,28,7)</f>
        <v>0.76229285280000003</v>
      </c>
      <c r="C97" s="4">
        <f ca="1">OFFSET(Wellington_Reference,29,7)</f>
        <v>0.81842337040000002</v>
      </c>
      <c r="D97" s="4">
        <f ca="1">OFFSET(Wellington_Reference,30,7)</f>
        <v>0.86896019079999998</v>
      </c>
      <c r="E97" s="4">
        <f ca="1">OFFSET(Wellington_Reference,31,7)</f>
        <v>0.91442411209999996</v>
      </c>
      <c r="F97" s="4">
        <f ca="1">OFFSET(Wellington_Reference,32,7)</f>
        <v>0.94589514269999997</v>
      </c>
      <c r="G97" s="4">
        <f ca="1">OFFSET(Wellington_Reference,33,7)</f>
        <v>0.96148437590000002</v>
      </c>
      <c r="H97" s="4">
        <f ca="1">OFFSET(Wellington_Reference,34,7)</f>
        <v>0.97203616609999999</v>
      </c>
      <c r="I97" s="1">
        <f ca="1">H97*('Updated Population'!I$92/'Updated Population'!H$92)</f>
        <v>0.97846456099386947</v>
      </c>
      <c r="J97" s="1">
        <f ca="1">I97*('Updated Population'!J$92/'Updated Population'!I$92)</f>
        <v>0.9818002496712025</v>
      </c>
      <c r="K97" s="1">
        <f ca="1">J97*('Updated Population'!K$92/'Updated Population'!J$92)</f>
        <v>0.98303016486847106</v>
      </c>
    </row>
    <row r="98" spans="1:11" x14ac:dyDescent="0.2">
      <c r="A98" t="str">
        <f ca="1">OFFSET(Wellington_Reference,35,2)</f>
        <v>Motorcyclist</v>
      </c>
      <c r="B98" s="4">
        <f ca="1">OFFSET(Wellington_Reference,35,7)</f>
        <v>0.71073078609999996</v>
      </c>
      <c r="C98" s="4">
        <f ca="1">OFFSET(Wellington_Reference,36,7)</f>
        <v>0.73118518489999995</v>
      </c>
      <c r="D98" s="4">
        <f ca="1">OFFSET(Wellington_Reference,37,7)</f>
        <v>0.7293037497</v>
      </c>
      <c r="E98" s="4">
        <f ca="1">OFFSET(Wellington_Reference,38,7)</f>
        <v>0.73550340410000004</v>
      </c>
      <c r="F98" s="4">
        <f ca="1">OFFSET(Wellington_Reference,39,7)</f>
        <v>0.75799804059999998</v>
      </c>
      <c r="G98" s="4">
        <f ca="1">OFFSET(Wellington_Reference,40,7)</f>
        <v>0.77810409469999997</v>
      </c>
      <c r="H98" s="4">
        <f ca="1">OFFSET(Wellington_Reference,41,7)</f>
        <v>0.78718188219999996</v>
      </c>
      <c r="I98" s="1">
        <f ca="1">H98*('Updated Population'!I$92/'Updated Population'!H$92)</f>
        <v>0.79238777491115697</v>
      </c>
      <c r="J98" s="1">
        <f ca="1">I98*('Updated Population'!J$92/'Updated Population'!I$92)</f>
        <v>0.79508910823910439</v>
      </c>
      <c r="K98" s="1">
        <f ca="1">J98*('Updated Population'!K$92/'Updated Population'!J$92)</f>
        <v>0.79608512772242945</v>
      </c>
    </row>
    <row r="99" spans="1:11" x14ac:dyDescent="0.2">
      <c r="A99" t="str">
        <f ca="1">OFFSET(Wellington_Reference,42,2)</f>
        <v>Local Train</v>
      </c>
      <c r="B99" s="4">
        <f ca="1">OFFSET(Wellington_Reference,42,7)</f>
        <v>5.5268751299999996</v>
      </c>
      <c r="C99" s="4">
        <f ca="1">OFFSET(Wellington_Reference,43,7)</f>
        <v>5.8865517441000001</v>
      </c>
      <c r="D99" s="4">
        <f ca="1">OFFSET(Wellington_Reference,44,7)</f>
        <v>6.1624226999999996</v>
      </c>
      <c r="E99" s="4">
        <f ca="1">OFFSET(Wellington_Reference,45,7)</f>
        <v>6.4069879139000001</v>
      </c>
      <c r="F99" s="4">
        <f ca="1">OFFSET(Wellington_Reference,46,7)</f>
        <v>6.5445722437000002</v>
      </c>
      <c r="G99" s="4">
        <f ca="1">OFFSET(Wellington_Reference,47,7)</f>
        <v>6.6871263547000002</v>
      </c>
      <c r="H99" s="4">
        <f ca="1">OFFSET(Wellington_Reference,48,7)</f>
        <v>6.7983723147999999</v>
      </c>
      <c r="I99" s="1">
        <f ca="1">H99*('Updated Population'!I$92/'Updated Population'!H$92)</f>
        <v>6.8433321870755623</v>
      </c>
      <c r="J99" s="1">
        <f ca="1">I99*('Updated Population'!J$92/'Updated Population'!I$92)</f>
        <v>6.8666618268005513</v>
      </c>
      <c r="K99" s="1">
        <f ca="1">J99*('Updated Population'!K$92/'Updated Population'!J$92)</f>
        <v>6.8752637921576731</v>
      </c>
    </row>
    <row r="100" spans="1:11" x14ac:dyDescent="0.2">
      <c r="A100" t="str">
        <f ca="1">OFFSET(Wellington_Reference,49,2)</f>
        <v>Local Bus</v>
      </c>
      <c r="B100" s="4">
        <f ca="1">OFFSET(Wellington_Reference,49,7)</f>
        <v>9.3956469076999998</v>
      </c>
      <c r="C100" s="4">
        <f ca="1">OFFSET(Wellington_Reference,50,7)</f>
        <v>9.7994744618999992</v>
      </c>
      <c r="D100" s="4">
        <f ca="1">OFFSET(Wellington_Reference,51,7)</f>
        <v>9.9875361711000004</v>
      </c>
      <c r="E100" s="4">
        <f ca="1">OFFSET(Wellington_Reference,52,7)</f>
        <v>10.157220906999999</v>
      </c>
      <c r="F100" s="4">
        <f ca="1">OFFSET(Wellington_Reference,53,7)</f>
        <v>10.204773556999999</v>
      </c>
      <c r="G100" s="4">
        <f ca="1">OFFSET(Wellington_Reference,54,7)</f>
        <v>10.200671012000001</v>
      </c>
      <c r="H100" s="4">
        <f ca="1">OFFSET(Wellington_Reference,55,7)</f>
        <v>10.143988118999999</v>
      </c>
      <c r="I100" s="1">
        <f ca="1">H100*('Updated Population'!I$92/'Updated Population'!H$92)</f>
        <v>10.211073649046979</v>
      </c>
      <c r="J100" s="1">
        <f ca="1">I100*('Updated Population'!J$92/'Updated Population'!I$92)</f>
        <v>10.245884273889581</v>
      </c>
      <c r="K100" s="1">
        <f ca="1">J100*('Updated Population'!K$92/'Updated Population'!J$92)</f>
        <v>10.258719439476605</v>
      </c>
    </row>
    <row r="101" spans="1:11" x14ac:dyDescent="0.2">
      <c r="A101" t="str">
        <f ca="1">OFFSET(Wellington_Reference,56,2)</f>
        <v>Local Ferry</v>
      </c>
      <c r="B101" s="4">
        <f ca="1">OFFSET(Wellington_Reference,56,7)</f>
        <v>5.6537513499999997E-2</v>
      </c>
      <c r="C101" s="4">
        <f ca="1">OFFSET(Wellington_Reference,57,7)</f>
        <v>6.6612140099999995E-2</v>
      </c>
      <c r="D101" s="4">
        <f ca="1">OFFSET(Wellington_Reference,58,7)</f>
        <v>7.3391309900000007E-2</v>
      </c>
      <c r="E101" s="4">
        <f ca="1">OFFSET(Wellington_Reference,59,7)</f>
        <v>7.5803672500000002E-2</v>
      </c>
      <c r="F101" s="4">
        <f ca="1">OFFSET(Wellington_Reference,60,7)</f>
        <v>7.8370454500000006E-2</v>
      </c>
      <c r="G101" s="4">
        <f ca="1">OFFSET(Wellington_Reference,61,7)</f>
        <v>8.2666758500000007E-2</v>
      </c>
      <c r="H101" s="4">
        <f ca="1">OFFSET(Wellington_Reference,62,7)</f>
        <v>8.7125939299999997E-2</v>
      </c>
      <c r="I101" s="1">
        <f ca="1">H101*('Updated Population'!I$92/'Updated Population'!H$92)</f>
        <v>8.7702131794531193E-2</v>
      </c>
      <c r="J101" s="1">
        <f ca="1">I101*('Updated Population'!J$92/'Updated Population'!I$92)</f>
        <v>8.8001117592961975E-2</v>
      </c>
      <c r="K101" s="1">
        <f ca="1">J101*('Updated Population'!K$92/'Updated Population'!J$92)</f>
        <v>8.8111357850020833E-2</v>
      </c>
    </row>
    <row r="102" spans="1:11" x14ac:dyDescent="0.2">
      <c r="A102" t="str">
        <f ca="1">OFFSET(Wellington_Reference,63,2)</f>
        <v>Other Household Travel</v>
      </c>
      <c r="B102" s="4">
        <f ca="1">OFFSET(Wellington_Reference,63,7)</f>
        <v>0.36538599710000003</v>
      </c>
      <c r="C102" s="4">
        <f ca="1">OFFSET(Wellington_Reference,64,7)</f>
        <v>0.34275426180000002</v>
      </c>
      <c r="D102" s="4">
        <f ca="1">OFFSET(Wellington_Reference,65,7)</f>
        <v>0.35627908400000002</v>
      </c>
      <c r="E102" s="4">
        <f ca="1">OFFSET(Wellington_Reference,66,7)</f>
        <v>0.39793267139999999</v>
      </c>
      <c r="F102" s="4">
        <f ca="1">OFFSET(Wellington_Reference,67,7)</f>
        <v>0.42318565250000001</v>
      </c>
      <c r="G102" s="4">
        <f ca="1">OFFSET(Wellington_Reference,68,7)</f>
        <v>0.41536302619999999</v>
      </c>
      <c r="H102" s="4">
        <f ca="1">OFFSET(Wellington_Reference,69,7)</f>
        <v>0.40481265640000003</v>
      </c>
      <c r="I102" s="1">
        <f ca="1">H102*('Updated Population'!I$92/'Updated Population'!H$92)</f>
        <v>0.40748981564996539</v>
      </c>
      <c r="J102" s="1">
        <f ca="1">I102*('Updated Population'!J$92/'Updated Population'!I$92)</f>
        <v>0.40887899132211386</v>
      </c>
      <c r="K102" s="1">
        <f ca="1">J102*('Updated Population'!K$92/'Updated Population'!J$92)</f>
        <v>0.40939119987516659</v>
      </c>
    </row>
    <row r="103" spans="1:11" x14ac:dyDescent="0.2">
      <c r="A103" t="str">
        <f ca="1">OFFSET(Nelson_Reference,0,0)</f>
        <v>10 NELS-MARLB-TAS</v>
      </c>
      <c r="I103" s="1"/>
      <c r="J103" s="1"/>
      <c r="K103" s="1"/>
    </row>
    <row r="104" spans="1:11" x14ac:dyDescent="0.2">
      <c r="A104" t="str">
        <f ca="1">OFFSET(Nelson_Reference,0,2)</f>
        <v>Pedestrian</v>
      </c>
      <c r="B104" s="4">
        <f ca="1">OFFSET(Nelson_Reference,0,7)</f>
        <v>7.2640217022</v>
      </c>
      <c r="C104" s="4">
        <f ca="1">OFFSET(Nelson_Reference,1,7)</f>
        <v>7.4869509170999997</v>
      </c>
      <c r="D104" s="4">
        <f ca="1">OFFSET(Nelson_Reference,2,7)</f>
        <v>7.7382291097999998</v>
      </c>
      <c r="E104" s="4">
        <f ca="1">OFFSET(Nelson_Reference,3,7)</f>
        <v>8.0388537298999996</v>
      </c>
      <c r="F104" s="4">
        <f ca="1">OFFSET(Nelson_Reference,4,7)</f>
        <v>8.1712114590000002</v>
      </c>
      <c r="G104" s="4">
        <f ca="1">OFFSET(Nelson_Reference,5,7)</f>
        <v>8.1488084288000007</v>
      </c>
      <c r="H104" s="4">
        <f ca="1">OFFSET(Nelson_Reference,6,7)</f>
        <v>8.0772329497000008</v>
      </c>
      <c r="I104" s="1">
        <f ca="1">H104*('Updated Population'!I$103/'Updated Population'!H$103)</f>
        <v>8.0649362823382269</v>
      </c>
      <c r="J104" s="1">
        <f ca="1">I104*('Updated Population'!J$103/'Updated Population'!I$103)</f>
        <v>8.027404307830901</v>
      </c>
      <c r="K104" s="1">
        <f ca="1">J104*('Updated Population'!K$103/'Updated Population'!J$103)</f>
        <v>7.9732526946816993</v>
      </c>
    </row>
    <row r="105" spans="1:11" x14ac:dyDescent="0.2">
      <c r="A105" t="str">
        <f ca="1">OFFSET(Nelson_Reference,7,2)</f>
        <v>Cyclist</v>
      </c>
      <c r="B105" s="4">
        <f ca="1">OFFSET(Nelson_Reference,7,7)</f>
        <v>1.0417220854</v>
      </c>
      <c r="C105" s="4">
        <f ca="1">OFFSET(Nelson_Reference,8,7)</f>
        <v>1.0512672296000001</v>
      </c>
      <c r="D105" s="4">
        <f ca="1">OFFSET(Nelson_Reference,9,7)</f>
        <v>1.0825931442000001</v>
      </c>
      <c r="E105" s="4">
        <f ca="1">OFFSET(Nelson_Reference,10,7)</f>
        <v>1.1176479324999999</v>
      </c>
      <c r="F105" s="4">
        <f ca="1">OFFSET(Nelson_Reference,11,7)</f>
        <v>1.1480287511</v>
      </c>
      <c r="G105" s="4">
        <f ca="1">OFFSET(Nelson_Reference,12,7)</f>
        <v>1.1823073119</v>
      </c>
      <c r="H105" s="4">
        <f ca="1">OFFSET(Nelson_Reference,13,7)</f>
        <v>1.2148336276</v>
      </c>
      <c r="I105" s="1">
        <f ca="1">H105*('Updated Population'!I$103/'Updated Population'!H$103)</f>
        <v>1.2129841817425484</v>
      </c>
      <c r="J105" s="1">
        <f ca="1">I105*('Updated Population'!J$103/'Updated Population'!I$103)</f>
        <v>1.207339290103832</v>
      </c>
      <c r="K105" s="1">
        <f ca="1">J105*('Updated Population'!K$103/'Updated Population'!J$103)</f>
        <v>1.1991947682047972</v>
      </c>
    </row>
    <row r="106" spans="1:11" x14ac:dyDescent="0.2">
      <c r="A106" t="str">
        <f ca="1">OFFSET(Nelson_Reference,14,2)</f>
        <v>Light Vehicle Driver</v>
      </c>
      <c r="B106" s="4">
        <f ca="1">OFFSET(Nelson_Reference,14,7)</f>
        <v>23.635435057999999</v>
      </c>
      <c r="C106" s="4">
        <f ca="1">OFFSET(Nelson_Reference,15,7)</f>
        <v>24.440879338999999</v>
      </c>
      <c r="D106" s="4">
        <f ca="1">OFFSET(Nelson_Reference,16,7)</f>
        <v>24.816542319</v>
      </c>
      <c r="E106" s="4">
        <f ca="1">OFFSET(Nelson_Reference,17,7)</f>
        <v>24.826557576999999</v>
      </c>
      <c r="F106" s="4">
        <f ca="1">OFFSET(Nelson_Reference,18,7)</f>
        <v>24.775649181999999</v>
      </c>
      <c r="G106" s="4">
        <f ca="1">OFFSET(Nelson_Reference,19,7)</f>
        <v>24.540691998</v>
      </c>
      <c r="H106" s="4">
        <f ca="1">OFFSET(Nelson_Reference,20,7)</f>
        <v>24.24987733</v>
      </c>
      <c r="I106" s="1">
        <f ca="1">H106*('Updated Population'!I$103/'Updated Population'!H$103)</f>
        <v>24.212959653247601</v>
      </c>
      <c r="J106" s="1">
        <f ca="1">I106*('Updated Population'!J$103/'Updated Population'!I$103)</f>
        <v>24.100279260912359</v>
      </c>
      <c r="K106" s="1">
        <f ca="1">J106*('Updated Population'!K$103/'Updated Population'!J$103)</f>
        <v>23.937702548779953</v>
      </c>
    </row>
    <row r="107" spans="1:11" x14ac:dyDescent="0.2">
      <c r="A107" t="str">
        <f ca="1">OFFSET(Nelson_Reference,21,2)</f>
        <v>Light Vehicle Passenger</v>
      </c>
      <c r="B107" s="4">
        <f ca="1">OFFSET(Nelson_Reference,21,7)</f>
        <v>11.910351560000001</v>
      </c>
      <c r="C107" s="4">
        <f ca="1">OFFSET(Nelson_Reference,22,7)</f>
        <v>11.856549141</v>
      </c>
      <c r="D107" s="4">
        <f ca="1">OFFSET(Nelson_Reference,23,7)</f>
        <v>11.753762188</v>
      </c>
      <c r="E107" s="4">
        <f ca="1">OFFSET(Nelson_Reference,24,7)</f>
        <v>11.651296749</v>
      </c>
      <c r="F107" s="4">
        <f ca="1">OFFSET(Nelson_Reference,25,7)</f>
        <v>11.406632253</v>
      </c>
      <c r="G107" s="4">
        <f ca="1">OFFSET(Nelson_Reference,26,7)</f>
        <v>11.055537635</v>
      </c>
      <c r="H107" s="4">
        <f ca="1">OFFSET(Nelson_Reference,27,7)</f>
        <v>10.676194917</v>
      </c>
      <c r="I107" s="1">
        <f ca="1">H107*('Updated Population'!I$103/'Updated Population'!H$103)</f>
        <v>10.65994162600278</v>
      </c>
      <c r="J107" s="1">
        <f ca="1">I107*('Updated Population'!J$103/'Updated Population'!I$103)</f>
        <v>10.610333217039539</v>
      </c>
      <c r="K107" s="1">
        <f ca="1">J107*('Updated Population'!K$103/'Updated Population'!J$103)</f>
        <v>10.53875756970448</v>
      </c>
    </row>
    <row r="108" spans="1:11" x14ac:dyDescent="0.2">
      <c r="A108" t="str">
        <f ca="1">OFFSET(Nelson_Reference,28,2)</f>
        <v>Taxi/Vehicle Share</v>
      </c>
      <c r="B108" s="4">
        <f ca="1">OFFSET(Nelson_Reference,28,7)</f>
        <v>8.1526233300000001E-2</v>
      </c>
      <c r="C108" s="4">
        <f ca="1">OFFSET(Nelson_Reference,29,7)</f>
        <v>9.5882577699999999E-2</v>
      </c>
      <c r="D108" s="4">
        <f ca="1">OFFSET(Nelson_Reference,30,7)</f>
        <v>0.10908681119999999</v>
      </c>
      <c r="E108" s="4">
        <f ca="1">OFFSET(Nelson_Reference,31,7)</f>
        <v>0.1187521423</v>
      </c>
      <c r="F108" s="4">
        <f ca="1">OFFSET(Nelson_Reference,32,7)</f>
        <v>0.12622076400000001</v>
      </c>
      <c r="G108" s="4">
        <f ca="1">OFFSET(Nelson_Reference,33,7)</f>
        <v>0.12939914750000001</v>
      </c>
      <c r="H108" s="4">
        <f ca="1">OFFSET(Nelson_Reference,34,7)</f>
        <v>0.13215056080000001</v>
      </c>
      <c r="I108" s="1">
        <f ca="1">H108*('Updated Population'!I$103/'Updated Population'!H$103)</f>
        <v>0.13194937661997833</v>
      </c>
      <c r="J108" s="1">
        <f ca="1">I108*('Updated Population'!J$103/'Updated Population'!I$103)</f>
        <v>0.1313353208523706</v>
      </c>
      <c r="K108" s="1">
        <f ca="1">J108*('Updated Population'!K$103/'Updated Population'!J$103)</f>
        <v>0.13044935333224883</v>
      </c>
    </row>
    <row r="109" spans="1:11" x14ac:dyDescent="0.2">
      <c r="A109" t="str">
        <f ca="1">OFFSET(Nelson_Reference,35,2)</f>
        <v>Motorcyclist</v>
      </c>
      <c r="B109" s="4">
        <f ca="1">OFFSET(Nelson_Reference,35,7)</f>
        <v>0.60769230029999999</v>
      </c>
      <c r="C109" s="4">
        <f ca="1">OFFSET(Nelson_Reference,36,7)</f>
        <v>0.61994083300000002</v>
      </c>
      <c r="D109" s="4">
        <f ca="1">OFFSET(Nelson_Reference,37,7)</f>
        <v>0.63011481609999997</v>
      </c>
      <c r="E109" s="4">
        <f ca="1">OFFSET(Nelson_Reference,38,7)</f>
        <v>0.62676260179999999</v>
      </c>
      <c r="F109" s="4">
        <f ca="1">OFFSET(Nelson_Reference,39,7)</f>
        <v>0.63102937160000006</v>
      </c>
      <c r="G109" s="4">
        <f ca="1">OFFSET(Nelson_Reference,40,7)</f>
        <v>0.63190398530000003</v>
      </c>
      <c r="H109" s="4">
        <f ca="1">OFFSET(Nelson_Reference,41,7)</f>
        <v>0.63024294530000002</v>
      </c>
      <c r="I109" s="1">
        <f ca="1">H109*('Updated Population'!I$103/'Updated Population'!H$103)</f>
        <v>0.62928347218541725</v>
      </c>
      <c r="J109" s="1">
        <f ca="1">I109*('Updated Population'!J$103/'Updated Population'!I$103)</f>
        <v>0.62635496160466198</v>
      </c>
      <c r="K109" s="1">
        <f ca="1">J109*('Updated Population'!K$103/'Updated Population'!J$103)</f>
        <v>0.62212966905999589</v>
      </c>
    </row>
    <row r="110" spans="1:11" x14ac:dyDescent="0.2">
      <c r="A110" t="str">
        <f ca="1">OFFSET(Nelson_Reference,42,2)</f>
        <v>Local Train</v>
      </c>
      <c r="B110" s="4">
        <f ca="1">OFFSET(Nelson_Reference,42,7)</f>
        <v>9.9048728700000005E-2</v>
      </c>
      <c r="C110" s="4">
        <f ca="1">OFFSET(Nelson_Reference,43,7)</f>
        <v>8.85889329E-2</v>
      </c>
      <c r="D110" s="4">
        <f ca="1">OFFSET(Nelson_Reference,44,7)</f>
        <v>7.4405310299999999E-2</v>
      </c>
      <c r="E110" s="4">
        <f ca="1">OFFSET(Nelson_Reference,45,7)</f>
        <v>6.2877337500000005E-2</v>
      </c>
      <c r="F110" s="4">
        <f ca="1">OFFSET(Nelson_Reference,46,7)</f>
        <v>5.8514640899999998E-2</v>
      </c>
      <c r="G110" s="4">
        <f ca="1">OFFSET(Nelson_Reference,47,7)</f>
        <v>6.0047885500000002E-2</v>
      </c>
      <c r="H110" s="4">
        <f ca="1">OFFSET(Nelson_Reference,48,7)</f>
        <v>5.93052871E-2</v>
      </c>
      <c r="I110" s="1">
        <f ca="1">H110*('Updated Population'!I$103/'Updated Population'!H$103)</f>
        <v>5.9215001553847672E-2</v>
      </c>
      <c r="J110" s="1">
        <f ca="1">I110*('Updated Population'!J$103/'Updated Population'!I$103)</f>
        <v>5.8939431375613617E-2</v>
      </c>
      <c r="K110" s="1">
        <f ca="1">J110*('Updated Population'!K$103/'Updated Population'!J$103)</f>
        <v>5.8541835195741049E-2</v>
      </c>
    </row>
    <row r="111" spans="1:11" x14ac:dyDescent="0.2">
      <c r="A111" t="str">
        <f ca="1">OFFSET(Nelson_Reference,49,2)</f>
        <v>Local Bus</v>
      </c>
      <c r="B111" s="4">
        <f ca="1">OFFSET(Nelson_Reference,49,7)</f>
        <v>0.94491203199999996</v>
      </c>
      <c r="C111" s="4">
        <f ca="1">OFFSET(Nelson_Reference,50,7)</f>
        <v>0.86609546530000003</v>
      </c>
      <c r="D111" s="4">
        <f ca="1">OFFSET(Nelson_Reference,51,7)</f>
        <v>0.81117791429999997</v>
      </c>
      <c r="E111" s="4">
        <f ca="1">OFFSET(Nelson_Reference,52,7)</f>
        <v>0.78636050769999999</v>
      </c>
      <c r="F111" s="4">
        <f ca="1">OFFSET(Nelson_Reference,53,7)</f>
        <v>0.73109088349999996</v>
      </c>
      <c r="G111" s="4">
        <f ca="1">OFFSET(Nelson_Reference,54,7)</f>
        <v>0.71267597029999996</v>
      </c>
      <c r="H111" s="4">
        <f ca="1">OFFSET(Nelson_Reference,55,7)</f>
        <v>0.69308254120000001</v>
      </c>
      <c r="I111" s="1">
        <f ca="1">H111*('Updated Population'!I$103/'Updated Population'!H$103)</f>
        <v>0.6920274019565904</v>
      </c>
      <c r="J111" s="1">
        <f ca="1">I111*('Updated Population'!J$103/'Updated Population'!I$103)</f>
        <v>0.68880689854536259</v>
      </c>
      <c r="K111" s="1">
        <f ca="1">J111*('Updated Population'!K$103/'Updated Population'!J$103)</f>
        <v>0.6841603150079989</v>
      </c>
    </row>
    <row r="112" spans="1:11" x14ac:dyDescent="0.2">
      <c r="A112" t="str">
        <f ca="1">OFFSET(Wellington_Reference,56,2)</f>
        <v>Local Ferry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1">
        <f>H112*('Updated Population'!I$103/'Updated Population'!H$103)</f>
        <v>0</v>
      </c>
      <c r="J112" s="1">
        <f>I112*('Updated Population'!J$103/'Updated Population'!I$103)</f>
        <v>0</v>
      </c>
      <c r="K112" s="1">
        <f>J112*('Updated Population'!K$103/'Updated Population'!J$103)</f>
        <v>0</v>
      </c>
    </row>
    <row r="113" spans="1:11" x14ac:dyDescent="0.2">
      <c r="A113" t="str">
        <f ca="1">OFFSET(Nelson_Reference,56,2)</f>
        <v>Other Household Travel</v>
      </c>
      <c r="B113" s="4">
        <f ca="1">OFFSET(Nelson_Reference,56,7)</f>
        <v>0.51346004550000002</v>
      </c>
      <c r="C113" s="4">
        <f ca="1">OFFSET(Nelson_Reference,57,7)</f>
        <v>0.51017048190000003</v>
      </c>
      <c r="D113" s="4">
        <f ca="1">OFFSET(Nelson_Reference,58,7)</f>
        <v>0.51148348899999996</v>
      </c>
      <c r="E113" s="4">
        <f ca="1">OFFSET(Nelson_Reference,59,7)</f>
        <v>0.51551951409999996</v>
      </c>
      <c r="F113" s="4">
        <f ca="1">OFFSET(Nelson_Reference,60,7)</f>
        <v>0.51118786189999998</v>
      </c>
      <c r="G113" s="4">
        <f ca="1">OFFSET(Nelson_Reference,61,7)</f>
        <v>0.52048441249999999</v>
      </c>
      <c r="H113" s="4">
        <f ca="1">OFFSET(Nelson_Reference,62,7)</f>
        <v>0.52499527930000001</v>
      </c>
      <c r="I113" s="1">
        <f ca="1">H113*('Updated Population'!I$103/'Updated Population'!H$103)</f>
        <v>0.52419603377170387</v>
      </c>
      <c r="J113" s="1">
        <f ca="1">I113*('Updated Population'!J$103/'Updated Population'!I$103)</f>
        <v>0.5217565709554326</v>
      </c>
      <c r="K113" s="1">
        <f ca="1">J113*('Updated Population'!K$103/'Updated Population'!J$103)</f>
        <v>0.51823688278414293</v>
      </c>
    </row>
    <row r="114" spans="1:11" x14ac:dyDescent="0.2">
      <c r="A114" t="str">
        <f ca="1">OFFSET(West_Coast_Reference,0,0)</f>
        <v>12 WEST COAST</v>
      </c>
      <c r="I114" s="1"/>
      <c r="J114" s="1"/>
      <c r="K114" s="1"/>
    </row>
    <row r="115" spans="1:11" x14ac:dyDescent="0.2">
      <c r="A115" t="str">
        <f ca="1">OFFSET(West_Coast_Reference,0,2)</f>
        <v>Pedestrian</v>
      </c>
      <c r="B115" s="4">
        <f ca="1">OFFSET(West_Coast_Reference,0,7)</f>
        <v>1.1518220776999999</v>
      </c>
      <c r="C115" s="4">
        <f ca="1">OFFSET(West_Coast_Reference,1,7)</f>
        <v>1.1138050035</v>
      </c>
      <c r="D115" s="4">
        <f ca="1">OFFSET(West_Coast_Reference,2,7)</f>
        <v>1.0389175137</v>
      </c>
      <c r="E115" s="4">
        <f ca="1">OFFSET(West_Coast_Reference,3,7)</f>
        <v>1.0053988699</v>
      </c>
      <c r="F115" s="4">
        <f ca="1">OFFSET(West_Coast_Reference,4,7)</f>
        <v>0.95786105239999997</v>
      </c>
      <c r="G115" s="4">
        <f ca="1">OFFSET(West_Coast_Reference,5,7)</f>
        <v>0.90786938179999999</v>
      </c>
      <c r="H115" s="4">
        <f ca="1">OFFSET(West_Coast_Reference,6,7)</f>
        <v>0.8617852895</v>
      </c>
      <c r="I115" s="1">
        <f ca="1">H115*('Updated Population'!I$114/'Updated Population'!H$114)</f>
        <v>0.83962240473264549</v>
      </c>
      <c r="J115" s="1">
        <f ca="1">I115*('Updated Population'!J$114/'Updated Population'!I$114)</f>
        <v>0.81542556311476899</v>
      </c>
      <c r="K115" s="1">
        <f ca="1">J115*('Updated Population'!K$114/'Updated Population'!J$114)</f>
        <v>0.79022414324790713</v>
      </c>
    </row>
    <row r="116" spans="1:11" x14ac:dyDescent="0.2">
      <c r="A116" t="str">
        <f ca="1">OFFSET(West_Coast_Reference,7,2)</f>
        <v>Cyclist</v>
      </c>
      <c r="B116" s="4">
        <f ca="1">OFFSET(West_Coast_Reference,7,7)</f>
        <v>0.17528853950000001</v>
      </c>
      <c r="C116" s="4">
        <f ca="1">OFFSET(West_Coast_Reference,8,7)</f>
        <v>0.1710125626</v>
      </c>
      <c r="D116" s="4">
        <f ca="1">OFFSET(West_Coast_Reference,9,7)</f>
        <v>0.1624746916</v>
      </c>
      <c r="E116" s="4">
        <f ca="1">OFFSET(West_Coast_Reference,10,7)</f>
        <v>0.15472230249999999</v>
      </c>
      <c r="F116" s="4">
        <f ca="1">OFFSET(West_Coast_Reference,11,7)</f>
        <v>0.14470744560000001</v>
      </c>
      <c r="G116" s="4">
        <f ca="1">OFFSET(West_Coast_Reference,12,7)</f>
        <v>0.138821046</v>
      </c>
      <c r="H116" s="4">
        <f ca="1">OFFSET(West_Coast_Reference,13,7)</f>
        <v>0.13235067110000001</v>
      </c>
      <c r="I116" s="1">
        <f ca="1">H116*('Updated Population'!I$114/'Updated Population'!H$114)</f>
        <v>0.12894695475880649</v>
      </c>
      <c r="J116" s="1">
        <f ca="1">I116*('Updated Population'!J$114/'Updated Population'!I$114)</f>
        <v>0.12523086878513617</v>
      </c>
      <c r="K116" s="1">
        <f ca="1">J116*('Updated Population'!K$114/'Updated Population'!J$114)</f>
        <v>0.12136050238100872</v>
      </c>
    </row>
    <row r="117" spans="1:11" x14ac:dyDescent="0.2">
      <c r="A117" t="str">
        <f ca="1">OFFSET(West_Coast_Reference,14,2)</f>
        <v>Light Vehicle Driver</v>
      </c>
      <c r="B117" s="4">
        <f ca="1">OFFSET(West_Coast_Reference,14,7)</f>
        <v>5.0852916584000001</v>
      </c>
      <c r="C117" s="4">
        <f ca="1">OFFSET(West_Coast_Reference,15,7)</f>
        <v>5.1135673342999999</v>
      </c>
      <c r="D117" s="4">
        <f ca="1">OFFSET(West_Coast_Reference,16,7)</f>
        <v>4.9364098557</v>
      </c>
      <c r="E117" s="4">
        <f ca="1">OFFSET(West_Coast_Reference,17,7)</f>
        <v>4.8105852725</v>
      </c>
      <c r="F117" s="4">
        <f ca="1">OFFSET(West_Coast_Reference,18,7)</f>
        <v>4.5971553331999999</v>
      </c>
      <c r="G117" s="4">
        <f ca="1">OFFSET(West_Coast_Reference,19,7)</f>
        <v>4.4695559648999996</v>
      </c>
      <c r="H117" s="4">
        <f ca="1">OFFSET(West_Coast_Reference,20,7)</f>
        <v>4.3403804645999999</v>
      </c>
      <c r="I117" s="1">
        <f ca="1">H117*('Updated Population'!I$114/'Updated Population'!H$114)</f>
        <v>4.2287571249405147</v>
      </c>
      <c r="J117" s="1">
        <f ca="1">I117*('Updated Population'!J$114/'Updated Population'!I$114)</f>
        <v>4.1068897643080478</v>
      </c>
      <c r="K117" s="1">
        <f ca="1">J117*('Updated Population'!K$114/'Updated Population'!J$114)</f>
        <v>3.9799628466604129</v>
      </c>
    </row>
    <row r="118" spans="1:11" x14ac:dyDescent="0.2">
      <c r="A118" t="str">
        <f ca="1">OFFSET(West_Coast_Reference,21,2)</f>
        <v>Light Vehicle Passenger</v>
      </c>
      <c r="B118" s="4">
        <f ca="1">OFFSET(West_Coast_Reference,21,7)</f>
        <v>3.4140139011000001</v>
      </c>
      <c r="C118" s="4">
        <f ca="1">OFFSET(West_Coast_Reference,22,7)</f>
        <v>3.3665539956999999</v>
      </c>
      <c r="D118" s="4">
        <f ca="1">OFFSET(West_Coast_Reference,23,7)</f>
        <v>3.1992041257000001</v>
      </c>
      <c r="E118" s="4">
        <f ca="1">OFFSET(West_Coast_Reference,24,7)</f>
        <v>3.1690068988000002</v>
      </c>
      <c r="F118" s="4">
        <f ca="1">OFFSET(West_Coast_Reference,25,7)</f>
        <v>3.0220415174999999</v>
      </c>
      <c r="G118" s="4">
        <f ca="1">OFFSET(West_Coast_Reference,26,7)</f>
        <v>2.8455904475999998</v>
      </c>
      <c r="H118" s="4">
        <f ca="1">OFFSET(West_Coast_Reference,27,7)</f>
        <v>2.6608210016</v>
      </c>
      <c r="I118" s="1">
        <f ca="1">H118*('Updated Population'!I$114/'Updated Population'!H$114)</f>
        <v>2.5923915796041426</v>
      </c>
      <c r="J118" s="1">
        <f ca="1">I118*('Updated Population'!J$114/'Updated Population'!I$114)</f>
        <v>2.5176821767706485</v>
      </c>
      <c r="K118" s="1">
        <f ca="1">J118*('Updated Population'!K$114/'Updated Population'!J$114)</f>
        <v>2.4398710699103874</v>
      </c>
    </row>
    <row r="119" spans="1:11" x14ac:dyDescent="0.2">
      <c r="A119" t="str">
        <f ca="1">OFFSET(West_Coast_Reference,28,2)</f>
        <v>Taxi/Vehicle Share</v>
      </c>
      <c r="B119" s="4">
        <f ca="1">OFFSET(West_Coast_Reference,28,7)</f>
        <v>6.5507808299999998E-2</v>
      </c>
      <c r="C119" s="4">
        <f ca="1">OFFSET(West_Coast_Reference,29,7)</f>
        <v>7.7040997700000002E-2</v>
      </c>
      <c r="D119" s="4">
        <f ca="1">OFFSET(West_Coast_Reference,30,7)</f>
        <v>8.4058343699999996E-2</v>
      </c>
      <c r="E119" s="4">
        <f ca="1">OFFSET(West_Coast_Reference,31,7)</f>
        <v>8.7939973800000001E-2</v>
      </c>
      <c r="F119" s="4">
        <f ca="1">OFFSET(West_Coast_Reference,32,7)</f>
        <v>8.59956375E-2</v>
      </c>
      <c r="G119" s="4">
        <f ca="1">OFFSET(West_Coast_Reference,33,7)</f>
        <v>8.5453895700000004E-2</v>
      </c>
      <c r="H119" s="4">
        <f ca="1">OFFSET(West_Coast_Reference,34,7)</f>
        <v>8.3834992799999994E-2</v>
      </c>
      <c r="I119" s="1">
        <f ca="1">H119*('Updated Population'!I$114/'Updated Population'!H$114)</f>
        <v>8.1678974000959678E-2</v>
      </c>
      <c r="J119" s="1">
        <f ca="1">I119*('Updated Population'!J$114/'Updated Population'!I$114)</f>
        <v>7.932509065259763E-2</v>
      </c>
      <c r="K119" s="1">
        <f ca="1">J119*('Updated Population'!K$114/'Updated Population'!J$114)</f>
        <v>7.6873481326202711E-2</v>
      </c>
    </row>
    <row r="120" spans="1:11" x14ac:dyDescent="0.2">
      <c r="A120" t="str">
        <f ca="1">OFFSET(West_Coast_Reference,35,2)</f>
        <v>Motorcyclist</v>
      </c>
      <c r="B120" s="4">
        <f ca="1">OFFSET(West_Coast_Reference,35,7)</f>
        <v>9.7989774000000005E-3</v>
      </c>
      <c r="C120" s="4">
        <f ca="1">OFFSET(West_Coast_Reference,36,7)</f>
        <v>1.1208358E-2</v>
      </c>
      <c r="D120" s="4">
        <f ca="1">OFFSET(West_Coast_Reference,37,7)</f>
        <v>1.1451522400000001E-2</v>
      </c>
      <c r="E120" s="4">
        <f ca="1">OFFSET(West_Coast_Reference,38,7)</f>
        <v>1.19336493E-2</v>
      </c>
      <c r="F120" s="4">
        <f ca="1">OFFSET(West_Coast_Reference,39,7)</f>
        <v>1.27813949E-2</v>
      </c>
      <c r="G120" s="4">
        <f ca="1">OFFSET(West_Coast_Reference,40,7)</f>
        <v>1.3993293299999999E-2</v>
      </c>
      <c r="H120" s="4">
        <f ca="1">OFFSET(West_Coast_Reference,41,7)</f>
        <v>1.47490524E-2</v>
      </c>
      <c r="I120" s="1">
        <f ca="1">H120*('Updated Population'!I$114/'Updated Population'!H$114)</f>
        <v>1.4369744986945262E-2</v>
      </c>
      <c r="J120" s="1">
        <f ca="1">I120*('Updated Population'!J$114/'Updated Population'!I$114)</f>
        <v>1.3955627353139259E-2</v>
      </c>
      <c r="K120" s="1">
        <f ca="1">J120*('Updated Population'!K$114/'Updated Population'!J$114)</f>
        <v>1.3524316832178286E-2</v>
      </c>
    </row>
    <row r="121" spans="1:11" x14ac:dyDescent="0.2">
      <c r="A121" t="str">
        <f ca="1">OFFSET(Nelson_Reference,42,2)</f>
        <v>Local Train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1">
        <f>H121*('Updated Population'!I$114/'Updated Population'!H$114)</f>
        <v>0</v>
      </c>
      <c r="J121" s="1">
        <f>I121*('Updated Population'!J$114/'Updated Population'!I$114)</f>
        <v>0</v>
      </c>
      <c r="K121" s="1">
        <f>J121*('Updated Population'!K$114/'Updated Population'!J$114)</f>
        <v>0</v>
      </c>
    </row>
    <row r="122" spans="1:11" x14ac:dyDescent="0.2">
      <c r="A122" t="str">
        <f ca="1">OFFSET(West_Coast_Reference,42,2)</f>
        <v>Local Bus</v>
      </c>
      <c r="B122" s="4">
        <f ca="1">OFFSET(West_Coast_Reference,42,7)</f>
        <v>0.18249519829999999</v>
      </c>
      <c r="C122" s="4">
        <f ca="1">OFFSET(West_Coast_Reference,43,7)</f>
        <v>0.17265670820000001</v>
      </c>
      <c r="D122" s="4">
        <f ca="1">OFFSET(West_Coast_Reference,44,7)</f>
        <v>0.15689643980000001</v>
      </c>
      <c r="E122" s="4">
        <f ca="1">OFFSET(West_Coast_Reference,45,7)</f>
        <v>0.14837905039999999</v>
      </c>
      <c r="F122" s="4">
        <f ca="1">OFFSET(West_Coast_Reference,46,7)</f>
        <v>0.1377886499</v>
      </c>
      <c r="G122" s="4">
        <f ca="1">OFFSET(West_Coast_Reference,47,7)</f>
        <v>0.12698719</v>
      </c>
      <c r="H122" s="4">
        <f ca="1">OFFSET(West_Coast_Reference,48,7)</f>
        <v>0.11739739389999999</v>
      </c>
      <c r="I122" s="1">
        <f ca="1">H122*('Updated Population'!I$114/'Updated Population'!H$114)</f>
        <v>0.11437823710457244</v>
      </c>
      <c r="J122" s="1">
        <f ca="1">I122*('Updated Population'!J$114/'Updated Population'!I$114)</f>
        <v>0.11108200290196975</v>
      </c>
      <c r="K122" s="1">
        <f ca="1">J122*('Updated Population'!K$114/'Updated Population'!J$114)</f>
        <v>0.10764891921976183</v>
      </c>
    </row>
    <row r="123" spans="1:11" x14ac:dyDescent="0.2">
      <c r="A123" t="str">
        <f ca="1">OFFSET(Wellington_Reference,56,2)</f>
        <v>Local Ferry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1">
        <f>H123*('Updated Population'!I$114/'Updated Population'!H$114)</f>
        <v>0</v>
      </c>
      <c r="J123" s="1">
        <f>I123*('Updated Population'!J$114/'Updated Population'!I$114)</f>
        <v>0</v>
      </c>
      <c r="K123" s="1">
        <f>J123*('Updated Population'!K$114/'Updated Population'!J$114)</f>
        <v>0</v>
      </c>
    </row>
    <row r="124" spans="1:11" x14ac:dyDescent="0.2">
      <c r="A124" t="str">
        <f ca="1">OFFSET(West_Coast_Reference,49,2)</f>
        <v>Other Household Travel</v>
      </c>
      <c r="B124" s="4">
        <f ca="1">OFFSET(West_Coast_Reference,49,7)</f>
        <v>3.6766106000000001E-3</v>
      </c>
      <c r="C124" s="4">
        <f ca="1">OFFSET(West_Coast_Reference,50,7)</f>
        <v>3.5386453000000001E-3</v>
      </c>
      <c r="D124" s="4">
        <f ca="1">OFFSET(West_Coast_Reference,51,7)</f>
        <v>3.2601943000000002E-3</v>
      </c>
      <c r="E124" s="4">
        <f ca="1">OFFSET(West_Coast_Reference,52,7)</f>
        <v>2.7855107E-3</v>
      </c>
      <c r="F124" s="4">
        <f ca="1">OFFSET(West_Coast_Reference,53,7)</f>
        <v>2.5288175999999998E-3</v>
      </c>
      <c r="G124" s="4">
        <f ca="1">OFFSET(West_Coast_Reference,54,7)</f>
        <v>2.5608158E-3</v>
      </c>
      <c r="H124" s="4">
        <f ca="1">OFFSET(West_Coast_Reference,55,7)</f>
        <v>2.5682216000000001E-3</v>
      </c>
      <c r="I124" s="1">
        <f ca="1">H124*('Updated Population'!I$114/'Updated Population'!H$114)</f>
        <v>2.502173594689008E-3</v>
      </c>
      <c r="J124" s="1">
        <f ca="1">I124*('Updated Population'!J$114/'Updated Population'!I$114)</f>
        <v>2.4300641585545575E-3</v>
      </c>
      <c r="K124" s="1">
        <f ca="1">J124*('Updated Population'!K$114/'Updated Population'!J$114)</f>
        <v>2.3549609609932538E-3</v>
      </c>
    </row>
    <row r="125" spans="1:11" x14ac:dyDescent="0.2">
      <c r="A125" t="str">
        <f ca="1">OFFSET(Canterbury_Reference,0,0)</f>
        <v>13 CANTERBURY</v>
      </c>
      <c r="I125" s="1"/>
      <c r="J125" s="1"/>
      <c r="K125" s="1"/>
    </row>
    <row r="126" spans="1:11" x14ac:dyDescent="0.2">
      <c r="A126" t="str">
        <f ca="1">OFFSET(Canterbury_Reference,0,2)</f>
        <v>Pedestrian</v>
      </c>
      <c r="B126" s="4">
        <f ca="1">OFFSET(Canterbury_Reference,0,7)</f>
        <v>27.07651954</v>
      </c>
      <c r="C126" s="4">
        <f ca="1">OFFSET(Canterbury_Reference,1,7)</f>
        <v>28.509822157999999</v>
      </c>
      <c r="D126" s="4">
        <f ca="1">OFFSET(Canterbury_Reference,2,7)</f>
        <v>29.006013458000002</v>
      </c>
      <c r="E126" s="4">
        <f ca="1">OFFSET(Canterbury_Reference,3,7)</f>
        <v>29.709936366000001</v>
      </c>
      <c r="F126" s="4">
        <f ca="1">OFFSET(Canterbury_Reference,4,7)</f>
        <v>30.053325201</v>
      </c>
      <c r="G126" s="4">
        <f ca="1">OFFSET(Canterbury_Reference,5,7)</f>
        <v>30.189221558</v>
      </c>
      <c r="H126" s="4">
        <f ca="1">OFFSET(Canterbury_Reference,6,7)</f>
        <v>30.211591433999999</v>
      </c>
      <c r="I126" s="1">
        <f ca="1">H126*('Updated Population'!I$125/'Updated Population'!H$125)</f>
        <v>30.975924389480781</v>
      </c>
      <c r="J126" s="1">
        <f ca="1">I126*('Updated Population'!J$125/'Updated Population'!I$125)</f>
        <v>31.658498193494786</v>
      </c>
      <c r="K126" s="1">
        <f ca="1">J126*('Updated Population'!K$125/'Updated Population'!J$125)</f>
        <v>32.286577560408766</v>
      </c>
    </row>
    <row r="127" spans="1:11" x14ac:dyDescent="0.2">
      <c r="A127" t="str">
        <f ca="1">OFFSET(Canterbury_Reference,7,2)</f>
        <v>Cyclist</v>
      </c>
      <c r="B127" s="4">
        <f ca="1">OFFSET(Canterbury_Reference,7,7)</f>
        <v>7.2445897615000003</v>
      </c>
      <c r="C127" s="4">
        <f ca="1">OFFSET(Canterbury_Reference,8,7)</f>
        <v>7.9206955387000004</v>
      </c>
      <c r="D127" s="4">
        <f ca="1">OFFSET(Canterbury_Reference,9,7)</f>
        <v>8.1025837192000001</v>
      </c>
      <c r="E127" s="4">
        <f ca="1">OFFSET(Canterbury_Reference,10,7)</f>
        <v>8.2346100445000001</v>
      </c>
      <c r="F127" s="4">
        <f ca="1">OFFSET(Canterbury_Reference,11,7)</f>
        <v>8.4088754663999996</v>
      </c>
      <c r="G127" s="4">
        <f ca="1">OFFSET(Canterbury_Reference,12,7)</f>
        <v>8.6039284903999995</v>
      </c>
      <c r="H127" s="4">
        <f ca="1">OFFSET(Canterbury_Reference,13,7)</f>
        <v>8.7944996197999998</v>
      </c>
      <c r="I127" s="1">
        <f ca="1">H127*('Updated Population'!I$125/'Updated Population'!H$125)</f>
        <v>9.0169945486441492</v>
      </c>
      <c r="J127" s="1">
        <f ca="1">I127*('Updated Population'!J$125/'Updated Population'!I$125)</f>
        <v>9.2156896446307499</v>
      </c>
      <c r="K127" s="1">
        <f ca="1">J127*('Updated Population'!K$125/'Updated Population'!J$125)</f>
        <v>9.3985215806972793</v>
      </c>
    </row>
    <row r="128" spans="1:11" x14ac:dyDescent="0.2">
      <c r="A128" t="str">
        <f ca="1">OFFSET(Canterbury_Reference,14,2)</f>
        <v>Light Vehicle Driver</v>
      </c>
      <c r="B128" s="4">
        <f ca="1">OFFSET(Canterbury_Reference,14,7)</f>
        <v>111.06814274</v>
      </c>
      <c r="C128" s="4">
        <f ca="1">OFFSET(Canterbury_Reference,15,7)</f>
        <v>124.10666566</v>
      </c>
      <c r="D128" s="4">
        <f ca="1">OFFSET(Canterbury_Reference,16,7)</f>
        <v>131.27230168</v>
      </c>
      <c r="E128" s="4">
        <f ca="1">OFFSET(Canterbury_Reference,17,7)</f>
        <v>137.95053389</v>
      </c>
      <c r="F128" s="4">
        <f ca="1">OFFSET(Canterbury_Reference,18,7)</f>
        <v>144.2081719</v>
      </c>
      <c r="G128" s="4">
        <f ca="1">OFFSET(Canterbury_Reference,19,7)</f>
        <v>148.88232015</v>
      </c>
      <c r="H128" s="4">
        <f ca="1">OFFSET(Canterbury_Reference,20,7)</f>
        <v>153.07471745999999</v>
      </c>
      <c r="I128" s="1">
        <f ca="1">H128*('Updated Population'!I$125/'Updated Population'!H$125)</f>
        <v>156.94740491710348</v>
      </c>
      <c r="J128" s="1">
        <f ca="1">I128*('Updated Population'!J$125/'Updated Population'!I$125)</f>
        <v>160.40583882394677</v>
      </c>
      <c r="K128" s="1">
        <f ca="1">J128*('Updated Population'!K$125/'Updated Population'!J$125)</f>
        <v>163.58816279528889</v>
      </c>
    </row>
    <row r="129" spans="1:11" x14ac:dyDescent="0.2">
      <c r="A129" t="str">
        <f ca="1">OFFSET(Canterbury_Reference,21,2)</f>
        <v>Light Vehicle Passenger</v>
      </c>
      <c r="B129" s="4">
        <f ca="1">OFFSET(Canterbury_Reference,21,7)</f>
        <v>53.544276449999998</v>
      </c>
      <c r="C129" s="4">
        <f ca="1">OFFSET(Canterbury_Reference,22,7)</f>
        <v>56.499264414000002</v>
      </c>
      <c r="D129" s="4">
        <f ca="1">OFFSET(Canterbury_Reference,23,7)</f>
        <v>57.738412603</v>
      </c>
      <c r="E129" s="4">
        <f ca="1">OFFSET(Canterbury_Reference,24,7)</f>
        <v>59.288068586999998</v>
      </c>
      <c r="F129" s="4">
        <f ca="1">OFFSET(Canterbury_Reference,25,7)</f>
        <v>60.538394271000001</v>
      </c>
      <c r="G129" s="4">
        <f ca="1">OFFSET(Canterbury_Reference,26,7)</f>
        <v>61.658730818999999</v>
      </c>
      <c r="H129" s="4">
        <f ca="1">OFFSET(Canterbury_Reference,27,7)</f>
        <v>62.470812852000002</v>
      </c>
      <c r="I129" s="1">
        <f ca="1">H129*('Updated Population'!I$125/'Updated Population'!H$125)</f>
        <v>64.051282425169191</v>
      </c>
      <c r="J129" s="1">
        <f ca="1">I129*('Updated Population'!J$125/'Updated Population'!I$125)</f>
        <v>65.462692362358027</v>
      </c>
      <c r="K129" s="1">
        <f ca="1">J129*('Updated Population'!K$125/'Updated Population'!J$125)</f>
        <v>66.761419993850126</v>
      </c>
    </row>
    <row r="130" spans="1:11" x14ac:dyDescent="0.2">
      <c r="A130" t="str">
        <f ca="1">OFFSET(Canterbury_Reference,28,2)</f>
        <v>Taxi/Vehicle Share</v>
      </c>
      <c r="B130" s="4">
        <f ca="1">OFFSET(Canterbury_Reference,28,7)</f>
        <v>0.86554787379999998</v>
      </c>
      <c r="C130" s="4">
        <f ca="1">OFFSET(Canterbury_Reference,29,7)</f>
        <v>0.96258451759999997</v>
      </c>
      <c r="D130" s="4">
        <f ca="1">OFFSET(Canterbury_Reference,30,7)</f>
        <v>1.0153783504</v>
      </c>
      <c r="E130" s="4">
        <f ca="1">OFFSET(Canterbury_Reference,31,7)</f>
        <v>1.074929558</v>
      </c>
      <c r="F130" s="4">
        <f ca="1">OFFSET(Canterbury_Reference,32,7)</f>
        <v>1.1413895904</v>
      </c>
      <c r="G130" s="4">
        <f ca="1">OFFSET(Canterbury_Reference,33,7)</f>
        <v>1.1845916664</v>
      </c>
      <c r="H130" s="4">
        <f ca="1">OFFSET(Canterbury_Reference,34,7)</f>
        <v>1.2165286103999999</v>
      </c>
      <c r="I130" s="1">
        <f ca="1">H130*('Updated Population'!I$125/'Updated Population'!H$125)</f>
        <v>1.2473059665099973</v>
      </c>
      <c r="J130" s="1">
        <f ca="1">I130*('Updated Population'!J$125/'Updated Population'!I$125)</f>
        <v>1.274791131040526</v>
      </c>
      <c r="K130" s="1">
        <f ca="1">J130*('Updated Population'!K$125/'Updated Population'!J$125)</f>
        <v>1.3000819708535152</v>
      </c>
    </row>
    <row r="131" spans="1:11" x14ac:dyDescent="0.2">
      <c r="A131" t="str">
        <f ca="1">OFFSET(Canterbury_Reference,35,2)</f>
        <v>Motorcyclist</v>
      </c>
      <c r="B131" s="4">
        <f ca="1">OFFSET(Canterbury_Reference,35,7)</f>
        <v>0.39288238580000001</v>
      </c>
      <c r="C131" s="4">
        <f ca="1">OFFSET(Canterbury_Reference,36,7)</f>
        <v>0.4281787413</v>
      </c>
      <c r="D131" s="4">
        <f ca="1">OFFSET(Canterbury_Reference,37,7)</f>
        <v>0.43997136050000002</v>
      </c>
      <c r="E131" s="4">
        <f ca="1">OFFSET(Canterbury_Reference,38,7)</f>
        <v>0.4496159066</v>
      </c>
      <c r="F131" s="4">
        <f ca="1">OFFSET(Canterbury_Reference,39,7)</f>
        <v>0.46664450349999997</v>
      </c>
      <c r="G131" s="4">
        <f ca="1">OFFSET(Canterbury_Reference,40,7)</f>
        <v>0.49706307570000002</v>
      </c>
      <c r="H131" s="4">
        <f ca="1">OFFSET(Canterbury_Reference,41,7)</f>
        <v>0.5258029085</v>
      </c>
      <c r="I131" s="1">
        <f ca="1">H131*('Updated Population'!I$125/'Updated Population'!H$125)</f>
        <v>0.53910536864785941</v>
      </c>
      <c r="J131" s="1">
        <f ca="1">I131*('Updated Population'!J$125/'Updated Population'!I$125)</f>
        <v>0.55098489151908991</v>
      </c>
      <c r="K131" s="1">
        <f ca="1">J131*('Updated Population'!K$125/'Updated Population'!J$125)</f>
        <v>0.56191599253750735</v>
      </c>
    </row>
    <row r="132" spans="1:11" x14ac:dyDescent="0.2">
      <c r="A132" t="str">
        <f ca="1">OFFSET(Canterbury_Reference,42,2)</f>
        <v>Local Train</v>
      </c>
      <c r="B132" s="4">
        <f ca="1">OFFSET(Canterbury_Reference,42,7)</f>
        <v>7.3004144E-3</v>
      </c>
      <c r="C132" s="4">
        <f ca="1">OFFSET(Canterbury_Reference,43,7)</f>
        <v>7.3527310000000004E-3</v>
      </c>
      <c r="D132" s="4">
        <f ca="1">OFFSET(Canterbury_Reference,44,7)</f>
        <v>6.2418583E-3</v>
      </c>
      <c r="E132" s="4">
        <f ca="1">OFFSET(Canterbury_Reference,45,7)</f>
        <v>5.8079930999999996E-3</v>
      </c>
      <c r="F132" s="4">
        <f ca="1">OFFSET(Canterbury_Reference,46,7)</f>
        <v>5.5130448999999998E-3</v>
      </c>
      <c r="G132" s="4">
        <f ca="1">OFFSET(Canterbury_Reference,47,7)</f>
        <v>4.6577913999999998E-3</v>
      </c>
      <c r="H132" s="4">
        <f ca="1">OFFSET(Canterbury_Reference,48,7)</f>
        <v>3.8540521999999998E-3</v>
      </c>
      <c r="I132" s="1">
        <f ca="1">H132*('Updated Population'!I$125/'Updated Population'!H$125)</f>
        <v>3.9515571300212642E-3</v>
      </c>
      <c r="J132" s="1">
        <f ca="1">I132*('Updated Population'!J$125/'Updated Population'!I$125)</f>
        <v>4.0386321547437954E-3</v>
      </c>
      <c r="K132" s="1">
        <f ca="1">J132*('Updated Population'!K$125/'Updated Population'!J$125)</f>
        <v>4.1187553972124209E-3</v>
      </c>
    </row>
    <row r="133" spans="1:11" x14ac:dyDescent="0.2">
      <c r="A133" t="str">
        <f ca="1">OFFSET(Canterbury_Reference,49,2)</f>
        <v>Local Bus</v>
      </c>
      <c r="B133" s="4">
        <f ca="1">OFFSET(Canterbury_Reference,49,7)</f>
        <v>7.9805750329</v>
      </c>
      <c r="C133" s="4">
        <f ca="1">OFFSET(Canterbury_Reference,50,7)</f>
        <v>8.0885047295000003</v>
      </c>
      <c r="D133" s="4">
        <f ca="1">OFFSET(Canterbury_Reference,51,7)</f>
        <v>7.9753596038000003</v>
      </c>
      <c r="E133" s="4">
        <f ca="1">OFFSET(Canterbury_Reference,52,7)</f>
        <v>8.0645476315</v>
      </c>
      <c r="F133" s="4">
        <f ca="1">OFFSET(Canterbury_Reference,53,7)</f>
        <v>7.9786037935999996</v>
      </c>
      <c r="G133" s="4">
        <f ca="1">OFFSET(Canterbury_Reference,54,7)</f>
        <v>7.8974170205999998</v>
      </c>
      <c r="H133" s="4">
        <f ca="1">OFFSET(Canterbury_Reference,55,7)</f>
        <v>7.775002143</v>
      </c>
      <c r="I133" s="1">
        <f ca="1">H133*('Updated Population'!I$125/'Updated Population'!H$125)</f>
        <v>7.9717044709727238</v>
      </c>
      <c r="J133" s="1">
        <f ca="1">I133*('Updated Population'!J$125/'Updated Population'!I$125)</f>
        <v>8.147365948474107</v>
      </c>
      <c r="K133" s="1">
        <f ca="1">J133*('Updated Population'!K$125/'Updated Population'!J$125)</f>
        <v>8.3090031940458378</v>
      </c>
    </row>
    <row r="134" spans="1:11" x14ac:dyDescent="0.2">
      <c r="A134" t="str">
        <f ca="1">OFFSET(Wellington_Reference,56,2)</f>
        <v>Local Ferry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1">
        <f>H134*('Updated Population'!I$125/'Updated Population'!H$125)</f>
        <v>0</v>
      </c>
      <c r="J134" s="1">
        <f>I134*('Updated Population'!J$125/'Updated Population'!I$125)</f>
        <v>0</v>
      </c>
      <c r="K134" s="1">
        <f>J134*('Updated Population'!K$125/'Updated Population'!J$125)</f>
        <v>0</v>
      </c>
    </row>
    <row r="135" spans="1:11" x14ac:dyDescent="0.2">
      <c r="A135" t="str">
        <f ca="1">OFFSET(Canterbury_Reference,56,2)</f>
        <v>Other Household Travel</v>
      </c>
      <c r="B135" s="4">
        <f ca="1">OFFSET(Canterbury_Reference,56,7)</f>
        <v>0.91635513570000005</v>
      </c>
      <c r="C135" s="4">
        <f ca="1">OFFSET(Canterbury_Reference,57,7)</f>
        <v>0.98404620509999996</v>
      </c>
      <c r="D135" s="4">
        <f ca="1">OFFSET(Canterbury_Reference,58,7)</f>
        <v>1.0626415189</v>
      </c>
      <c r="E135" s="4">
        <f ca="1">OFFSET(Canterbury_Reference,59,7)</f>
        <v>1.1708354649999999</v>
      </c>
      <c r="F135" s="4">
        <f ca="1">OFFSET(Canterbury_Reference,60,7)</f>
        <v>1.2606258533000001</v>
      </c>
      <c r="G135" s="4">
        <f ca="1">OFFSET(Canterbury_Reference,61,7)</f>
        <v>1.3427392162</v>
      </c>
      <c r="H135" s="4">
        <f ca="1">OFFSET(Canterbury_Reference,62,7)</f>
        <v>1.4202098962</v>
      </c>
      <c r="I135" s="1">
        <f ca="1">H135*('Updated Population'!I$125/'Updated Population'!H$125)</f>
        <v>1.4561402519290918</v>
      </c>
      <c r="J135" s="1">
        <f ca="1">I135*('Updated Population'!J$125/'Updated Population'!I$125)</f>
        <v>1.4882272101241047</v>
      </c>
      <c r="K135" s="1">
        <f ca="1">J135*('Updated Population'!K$125/'Updated Population'!J$125)</f>
        <v>1.5177524516010037</v>
      </c>
    </row>
    <row r="136" spans="1:11" x14ac:dyDescent="0.2">
      <c r="A136" t="str">
        <f ca="1">OFFSET(Otago_Reference,0,0)</f>
        <v>14 OTAGO</v>
      </c>
      <c r="I136" s="1"/>
      <c r="J136" s="1"/>
      <c r="K136" s="1"/>
    </row>
    <row r="137" spans="1:11" x14ac:dyDescent="0.2">
      <c r="A137" t="str">
        <f ca="1">OFFSET(Otago_Reference,0,2)</f>
        <v>Pedestrian</v>
      </c>
      <c r="B137" s="4">
        <f ca="1">OFFSET(Otago_Reference,0,7)</f>
        <v>11.651603939999999</v>
      </c>
      <c r="C137" s="4">
        <f ca="1">OFFSET(Otago_Reference,1,7)</f>
        <v>11.869373707999999</v>
      </c>
      <c r="D137" s="4">
        <f ca="1">OFFSET(Otago_Reference,2,7)</f>
        <v>11.949516757</v>
      </c>
      <c r="E137" s="4">
        <f ca="1">OFFSET(Otago_Reference,3,7)</f>
        <v>12.11872022</v>
      </c>
      <c r="F137" s="4">
        <f ca="1">OFFSET(Otago_Reference,4,7)</f>
        <v>12.246982031</v>
      </c>
      <c r="G137" s="4">
        <f ca="1">OFFSET(Otago_Reference,5,7)</f>
        <v>12.259202138999999</v>
      </c>
      <c r="H137" s="4">
        <f ca="1">OFFSET(Otago_Reference,6,7)</f>
        <v>12.257815011</v>
      </c>
      <c r="I137" s="1">
        <f ca="1">H137*('Updated Population'!I$136/'Updated Population'!H$136)</f>
        <v>12.380131363304486</v>
      </c>
      <c r="J137" s="1">
        <f ca="1">I137*('Updated Population'!J$136/'Updated Population'!I$136)</f>
        <v>12.463866936215716</v>
      </c>
      <c r="K137" s="1">
        <f ca="1">J137*('Updated Population'!K$136/'Updated Population'!J$136)</f>
        <v>12.521202046637729</v>
      </c>
    </row>
    <row r="138" spans="1:11" x14ac:dyDescent="0.2">
      <c r="A138" t="str">
        <f ca="1">OFFSET(Otago_Reference,7,2)</f>
        <v>Cyclist</v>
      </c>
      <c r="B138" s="4">
        <f ca="1">OFFSET(Otago_Reference,7,7)</f>
        <v>1.6089304994</v>
      </c>
      <c r="C138" s="4">
        <f ca="1">OFFSET(Otago_Reference,8,7)</f>
        <v>1.7306934026</v>
      </c>
      <c r="D138" s="4">
        <f ca="1">OFFSET(Otago_Reference,9,7)</f>
        <v>1.7978921591999999</v>
      </c>
      <c r="E138" s="4">
        <f ca="1">OFFSET(Otago_Reference,10,7)</f>
        <v>1.8072652897000001</v>
      </c>
      <c r="F138" s="4">
        <f ca="1">OFFSET(Otago_Reference,11,7)</f>
        <v>1.8230672439</v>
      </c>
      <c r="G138" s="4">
        <f ca="1">OFFSET(Otago_Reference,12,7)</f>
        <v>1.8643638678000001</v>
      </c>
      <c r="H138" s="4">
        <f ca="1">OFFSET(Otago_Reference,13,7)</f>
        <v>1.9010399229999999</v>
      </c>
      <c r="I138" s="1">
        <f ca="1">H138*('Updated Population'!I$136/'Updated Population'!H$136)</f>
        <v>1.9200097205338909</v>
      </c>
      <c r="J138" s="1">
        <f ca="1">I138*('Updated Population'!J$136/'Updated Population'!I$136)</f>
        <v>1.932996102440999</v>
      </c>
      <c r="K138" s="1">
        <f ca="1">J138*('Updated Population'!K$136/'Updated Population'!J$136)</f>
        <v>1.9418880896184894</v>
      </c>
    </row>
    <row r="139" spans="1:11" x14ac:dyDescent="0.2">
      <c r="A139" t="str">
        <f ca="1">OFFSET(Otago_Reference,14,2)</f>
        <v>Light Vehicle Driver</v>
      </c>
      <c r="B139" s="4">
        <f ca="1">OFFSET(Otago_Reference,14,7)</f>
        <v>32.522387277</v>
      </c>
      <c r="C139" s="4">
        <f ca="1">OFFSET(Otago_Reference,15,7)</f>
        <v>34.226528285999997</v>
      </c>
      <c r="D139" s="4">
        <f ca="1">OFFSET(Otago_Reference,16,7)</f>
        <v>35.484973881000002</v>
      </c>
      <c r="E139" s="4">
        <f ca="1">OFFSET(Otago_Reference,17,7)</f>
        <v>36.825446634000002</v>
      </c>
      <c r="F139" s="4">
        <f ca="1">OFFSET(Otago_Reference,18,7)</f>
        <v>38.056396661000001</v>
      </c>
      <c r="G139" s="4">
        <f ca="1">OFFSET(Otago_Reference,19,7)</f>
        <v>38.872660947</v>
      </c>
      <c r="H139" s="4">
        <f ca="1">OFFSET(Otago_Reference,20,7)</f>
        <v>39.623718298</v>
      </c>
      <c r="I139" s="1">
        <f ca="1">H139*('Updated Population'!I$136/'Updated Population'!H$136)</f>
        <v>40.019109212498428</v>
      </c>
      <c r="J139" s="1">
        <f ca="1">I139*('Updated Population'!J$136/'Updated Population'!I$136)</f>
        <v>40.289786714939019</v>
      </c>
      <c r="K139" s="1">
        <f ca="1">J139*('Updated Population'!K$136/'Updated Population'!J$136)</f>
        <v>40.475124008894582</v>
      </c>
    </row>
    <row r="140" spans="1:11" x14ac:dyDescent="0.2">
      <c r="A140" t="str">
        <f ca="1">OFFSET(Otago_Reference,21,2)</f>
        <v>Light Vehicle Passenger</v>
      </c>
      <c r="B140" s="4">
        <f ca="1">OFFSET(Otago_Reference,21,7)</f>
        <v>19.901766343999999</v>
      </c>
      <c r="C140" s="4">
        <f ca="1">OFFSET(Otago_Reference,22,7)</f>
        <v>20.161454876000001</v>
      </c>
      <c r="D140" s="4">
        <f ca="1">OFFSET(Otago_Reference,23,7)</f>
        <v>20.217603817000001</v>
      </c>
      <c r="E140" s="4">
        <f ca="1">OFFSET(Otago_Reference,24,7)</f>
        <v>20.539123129</v>
      </c>
      <c r="F140" s="4">
        <f ca="1">OFFSET(Otago_Reference,25,7)</f>
        <v>20.618900693000001</v>
      </c>
      <c r="G140" s="4">
        <f ca="1">OFFSET(Otago_Reference,26,7)</f>
        <v>20.761563936000002</v>
      </c>
      <c r="H140" s="4">
        <f ca="1">OFFSET(Otago_Reference,27,7)</f>
        <v>20.830138805000001</v>
      </c>
      <c r="I140" s="1">
        <f ca="1">H140*('Updated Population'!I$136/'Updated Population'!H$136)</f>
        <v>21.037995310775074</v>
      </c>
      <c r="J140" s="1">
        <f ca="1">I140*('Updated Population'!J$136/'Updated Population'!I$136)</f>
        <v>21.180290132902172</v>
      </c>
      <c r="K140" s="1">
        <f ca="1">J140*('Updated Population'!K$136/'Updated Population'!J$136)</f>
        <v>21.277721714910776</v>
      </c>
    </row>
    <row r="141" spans="1:11" x14ac:dyDescent="0.2">
      <c r="A141" t="str">
        <f ca="1">OFFSET(Otago_Reference,28,2)</f>
        <v>Taxi/Vehicle Share</v>
      </c>
      <c r="B141" s="4">
        <f ca="1">OFFSET(Otago_Reference,28,7)</f>
        <v>0.23496676969999999</v>
      </c>
      <c r="C141" s="4">
        <f ca="1">OFFSET(Otago_Reference,29,7)</f>
        <v>0.2353204072</v>
      </c>
      <c r="D141" s="4">
        <f ca="1">OFFSET(Otago_Reference,30,7)</f>
        <v>0.2388372326</v>
      </c>
      <c r="E141" s="4">
        <f ca="1">OFFSET(Otago_Reference,31,7)</f>
        <v>0.24939746339999999</v>
      </c>
      <c r="F141" s="4">
        <f ca="1">OFFSET(Otago_Reference,32,7)</f>
        <v>0.26327321679999999</v>
      </c>
      <c r="G141" s="4">
        <f ca="1">OFFSET(Otago_Reference,33,7)</f>
        <v>0.26686054999999997</v>
      </c>
      <c r="H141" s="4">
        <f ca="1">OFFSET(Otago_Reference,34,7)</f>
        <v>0.27046917120000002</v>
      </c>
      <c r="I141" s="1">
        <f ca="1">H141*('Updated Population'!I$136/'Updated Population'!H$136)</f>
        <v>0.27316808633310596</v>
      </c>
      <c r="J141" s="1">
        <f ca="1">I141*('Updated Population'!J$136/'Updated Population'!I$136)</f>
        <v>0.27501571504874034</v>
      </c>
      <c r="K141" s="1">
        <f ca="1">J141*('Updated Population'!K$136/'Updated Population'!J$136)</f>
        <v>0.27628081651931941</v>
      </c>
    </row>
    <row r="142" spans="1:11" x14ac:dyDescent="0.2">
      <c r="A142" t="str">
        <f ca="1">OFFSET(Otago_Reference,35,2)</f>
        <v>Motorcyclist</v>
      </c>
      <c r="B142" s="4">
        <f ca="1">OFFSET(Otago_Reference,35,7)</f>
        <v>0.42545310469999997</v>
      </c>
      <c r="C142" s="4">
        <f ca="1">OFFSET(Otago_Reference,36,7)</f>
        <v>0.45298336030000003</v>
      </c>
      <c r="D142" s="4">
        <f ca="1">OFFSET(Otago_Reference,37,7)</f>
        <v>0.46405251980000001</v>
      </c>
      <c r="E142" s="4">
        <f ca="1">OFFSET(Otago_Reference,38,7)</f>
        <v>0.4755615836</v>
      </c>
      <c r="F142" s="4">
        <f ca="1">OFFSET(Otago_Reference,39,7)</f>
        <v>0.4758286196</v>
      </c>
      <c r="G142" s="4">
        <f ca="1">OFFSET(Otago_Reference,40,7)</f>
        <v>0.46332487360000002</v>
      </c>
      <c r="H142" s="4">
        <f ca="1">OFFSET(Otago_Reference,41,7)</f>
        <v>0.44815206600000002</v>
      </c>
      <c r="I142" s="1">
        <f ca="1">H142*('Updated Population'!I$136/'Updated Population'!H$136)</f>
        <v>0.45262401519662659</v>
      </c>
      <c r="J142" s="1">
        <f ca="1">I142*('Updated Population'!J$136/'Updated Population'!I$136)</f>
        <v>0.45568543111489473</v>
      </c>
      <c r="K142" s="1">
        <f ca="1">J142*('Updated Population'!K$136/'Updated Population'!J$136)</f>
        <v>0.45778163244987208</v>
      </c>
    </row>
    <row r="143" spans="1:11" x14ac:dyDescent="0.2">
      <c r="A143" t="str">
        <f ca="1">OFFSET(Canterbury_Reference,42,2)</f>
        <v>Local Train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1">
        <f>H143*('Updated Population'!I$136/'Updated Population'!H$136)</f>
        <v>0</v>
      </c>
      <c r="J143" s="1">
        <f>I143*('Updated Population'!J$136/'Updated Population'!I$136)</f>
        <v>0</v>
      </c>
      <c r="K143" s="1">
        <f>J143*('Updated Population'!K$136/'Updated Population'!J$136)</f>
        <v>0</v>
      </c>
    </row>
    <row r="144" spans="1:11" x14ac:dyDescent="0.2">
      <c r="A144" t="str">
        <f ca="1">OFFSET(Otago_Reference,42,2)</f>
        <v>Local Bus</v>
      </c>
      <c r="B144" s="4">
        <f ca="1">OFFSET(Otago_Reference,42,7)</f>
        <v>1.347401772</v>
      </c>
      <c r="C144" s="4">
        <f ca="1">OFFSET(Otago_Reference,43,7)</f>
        <v>1.3025870008</v>
      </c>
      <c r="D144" s="4">
        <f ca="1">OFFSET(Otago_Reference,44,7)</f>
        <v>1.268856065</v>
      </c>
      <c r="E144" s="4">
        <f ca="1">OFFSET(Otago_Reference,45,7)</f>
        <v>1.2456658062999999</v>
      </c>
      <c r="F144" s="4">
        <f ca="1">OFFSET(Otago_Reference,46,7)</f>
        <v>1.2238981595</v>
      </c>
      <c r="G144" s="4">
        <f ca="1">OFFSET(Otago_Reference,47,7)</f>
        <v>1.1762128768</v>
      </c>
      <c r="H144" s="4">
        <f ca="1">OFFSET(Otago_Reference,48,7)</f>
        <v>1.1244768152</v>
      </c>
      <c r="I144" s="1">
        <f ca="1">H144*('Updated Population'!I$136/'Updated Population'!H$136)</f>
        <v>1.1356975671988514</v>
      </c>
      <c r="J144" s="1">
        <f ca="1">I144*('Updated Population'!J$136/'Updated Population'!I$136)</f>
        <v>1.1433790920270261</v>
      </c>
      <c r="K144" s="1">
        <f ca="1">J144*('Updated Population'!K$136/'Updated Population'!J$136)</f>
        <v>1.1486387571719667</v>
      </c>
    </row>
    <row r="145" spans="1:11" x14ac:dyDescent="0.2">
      <c r="A145" t="str">
        <f ca="1">OFFSET(Wellington_Reference,56,2)</f>
        <v>Local Ferry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1">
        <f>H145*('Updated Population'!I$136/'Updated Population'!H$136)</f>
        <v>0</v>
      </c>
      <c r="J145" s="1">
        <f>I145*('Updated Population'!J$136/'Updated Population'!I$136)</f>
        <v>0</v>
      </c>
      <c r="K145" s="1">
        <f>J145*('Updated Population'!K$136/'Updated Population'!J$136)</f>
        <v>0</v>
      </c>
    </row>
    <row r="146" spans="1:11" x14ac:dyDescent="0.2">
      <c r="A146" t="str">
        <f ca="1">OFFSET(Otago_Reference,49,2)</f>
        <v>Other Household Travel</v>
      </c>
      <c r="B146" s="4">
        <f ca="1">OFFSET(Otago_Reference,49,7)</f>
        <v>0.25154479130000001</v>
      </c>
      <c r="C146" s="4">
        <f ca="1">OFFSET(Otago_Reference,50,7)</f>
        <v>0.27249561500000002</v>
      </c>
      <c r="D146" s="4">
        <f ca="1">OFFSET(Otago_Reference,51,7)</f>
        <v>0.29012877199999998</v>
      </c>
      <c r="E146" s="4">
        <f ca="1">OFFSET(Otago_Reference,52,7)</f>
        <v>0.30289364460000001</v>
      </c>
      <c r="F146" s="4">
        <f ca="1">OFFSET(Otago_Reference,53,7)</f>
        <v>0.3089069854</v>
      </c>
      <c r="G146" s="4">
        <f ca="1">OFFSET(Otago_Reference,54,7)</f>
        <v>0.31460680070000002</v>
      </c>
      <c r="H146" s="4">
        <f ca="1">OFFSET(Otago_Reference,55,7)</f>
        <v>0.32067638529999998</v>
      </c>
      <c r="I146" s="1">
        <f ca="1">H146*('Updated Population'!I$136/'Updated Population'!H$136)</f>
        <v>0.32387630026729919</v>
      </c>
      <c r="J146" s="1">
        <f ca="1">I146*('Updated Population'!J$136/'Updated Population'!I$136)</f>
        <v>0.32606690445067948</v>
      </c>
      <c r="K146" s="1">
        <f ca="1">J146*('Updated Population'!K$136/'Updated Population'!J$136)</f>
        <v>0.32756684680944476</v>
      </c>
    </row>
    <row r="147" spans="1:11" x14ac:dyDescent="0.2">
      <c r="A147" t="str">
        <f ca="1">OFFSET(Southland_Reference,0,0)</f>
        <v>15 SOUTHLAND</v>
      </c>
      <c r="I147" s="1"/>
      <c r="J147" s="1"/>
      <c r="K147" s="1"/>
    </row>
    <row r="148" spans="1:11" x14ac:dyDescent="0.2">
      <c r="A148" t="str">
        <f ca="1">OFFSET(Southland_Reference,0,2)</f>
        <v>Pedestrian</v>
      </c>
      <c r="B148" s="4">
        <f ca="1">OFFSET(Southland_Reference,0,7)</f>
        <v>2.2528617661000001</v>
      </c>
      <c r="C148" s="4">
        <f ca="1">OFFSET(Southland_Reference,1,7)</f>
        <v>2.3099048944999998</v>
      </c>
      <c r="D148" s="4">
        <f ca="1">OFFSET(Southland_Reference,2,7)</f>
        <v>2.3308286669</v>
      </c>
      <c r="E148" s="4">
        <f ca="1">OFFSET(Southland_Reference,3,7)</f>
        <v>2.3652563046999999</v>
      </c>
      <c r="F148" s="4">
        <f ca="1">OFFSET(Southland_Reference,4,7)</f>
        <v>2.3688236627000001</v>
      </c>
      <c r="G148" s="4">
        <f ca="1">OFFSET(Southland_Reference,5,7)</f>
        <v>2.3568019641000002</v>
      </c>
      <c r="H148" s="4">
        <f ca="1">OFFSET(Southland_Reference,6,7)</f>
        <v>2.3254653783000001</v>
      </c>
      <c r="I148" s="1">
        <f ca="1">H148*('Updated Population'!I$147/'Updated Population'!H$147)</f>
        <v>2.2943143748151043</v>
      </c>
      <c r="J148" s="1">
        <f ca="1">I148*('Updated Population'!J$147/'Updated Population'!I$147)</f>
        <v>2.2563752904470067</v>
      </c>
      <c r="K148" s="1">
        <f ca="1">J148*('Updated Population'!K$147/'Updated Population'!J$147)</f>
        <v>2.2142946608384619</v>
      </c>
    </row>
    <row r="149" spans="1:11" x14ac:dyDescent="0.2">
      <c r="A149" t="str">
        <f ca="1">OFFSET(Southland_Reference,7,2)</f>
        <v>Cyclist</v>
      </c>
      <c r="B149" s="4">
        <f ca="1">OFFSET(Southland_Reference,7,7)</f>
        <v>0.50294231479999996</v>
      </c>
      <c r="C149" s="4">
        <f ca="1">OFFSET(Southland_Reference,8,7)</f>
        <v>0.54808515440000005</v>
      </c>
      <c r="D149" s="4">
        <f ca="1">OFFSET(Southland_Reference,9,7)</f>
        <v>0.56052972710000004</v>
      </c>
      <c r="E149" s="4">
        <f ca="1">OFFSET(Southland_Reference,10,7)</f>
        <v>0.5441730709</v>
      </c>
      <c r="F149" s="4">
        <f ca="1">OFFSET(Southland_Reference,11,7)</f>
        <v>0.53186193349999999</v>
      </c>
      <c r="G149" s="4">
        <f ca="1">OFFSET(Southland_Reference,12,7)</f>
        <v>0.51604387309999999</v>
      </c>
      <c r="H149" s="4">
        <f ca="1">OFFSET(Southland_Reference,13,7)</f>
        <v>0.49769841500000001</v>
      </c>
      <c r="I149" s="1">
        <f ca="1">H149*('Updated Population'!I$147/'Updated Population'!H$147)</f>
        <v>0.4910314462268825</v>
      </c>
      <c r="J149" s="1">
        <f ca="1">I149*('Updated Population'!J$147/'Updated Population'!I$147)</f>
        <v>0.48291168562637976</v>
      </c>
      <c r="K149" s="1">
        <f ca="1">J149*('Updated Population'!K$147/'Updated Population'!J$147)</f>
        <v>0.47390554739107943</v>
      </c>
    </row>
    <row r="150" spans="1:11" x14ac:dyDescent="0.2">
      <c r="A150" t="str">
        <f ca="1">OFFSET(Southland_Reference,14,2)</f>
        <v>Light Vehicle Driver</v>
      </c>
      <c r="B150" s="4">
        <f ca="1">OFFSET(Southland_Reference,14,7)</f>
        <v>14.603785903</v>
      </c>
      <c r="C150" s="4">
        <f ca="1">OFFSET(Southland_Reference,15,7)</f>
        <v>15.764158567999999</v>
      </c>
      <c r="D150" s="4">
        <f ca="1">OFFSET(Southland_Reference,16,7)</f>
        <v>16.367179683</v>
      </c>
      <c r="E150" s="4">
        <f ca="1">OFFSET(Southland_Reference,17,7)</f>
        <v>16.642924782000001</v>
      </c>
      <c r="F150" s="4">
        <f ca="1">OFFSET(Southland_Reference,18,7)</f>
        <v>16.957569839000001</v>
      </c>
      <c r="G150" s="4">
        <f ca="1">OFFSET(Southland_Reference,19,7)</f>
        <v>17.159267236000002</v>
      </c>
      <c r="H150" s="4">
        <f ca="1">OFFSET(Southland_Reference,20,7)</f>
        <v>17.322447091000001</v>
      </c>
      <c r="I150" s="1">
        <f ca="1">H150*('Updated Population'!I$147/'Updated Population'!H$147)</f>
        <v>17.090402522745393</v>
      </c>
      <c r="J150" s="1">
        <f ca="1">I150*('Updated Population'!J$147/'Updated Population'!I$147)</f>
        <v>16.807793378021081</v>
      </c>
      <c r="K150" s="1">
        <f ca="1">J150*('Updated Population'!K$147/'Updated Population'!J$147)</f>
        <v>16.494333763979068</v>
      </c>
    </row>
    <row r="151" spans="1:11" x14ac:dyDescent="0.2">
      <c r="A151" t="str">
        <f ca="1">OFFSET(Southland_Reference,21,2)</f>
        <v>Light Vehicle Passenger</v>
      </c>
      <c r="B151" s="4">
        <f ca="1">OFFSET(Southland_Reference,21,7)</f>
        <v>7.5859087797999996</v>
      </c>
      <c r="C151" s="4">
        <f ca="1">OFFSET(Southland_Reference,22,7)</f>
        <v>7.7101972741999996</v>
      </c>
      <c r="D151" s="4">
        <f ca="1">OFFSET(Southland_Reference,23,7)</f>
        <v>7.7882716501999996</v>
      </c>
      <c r="E151" s="4">
        <f ca="1">OFFSET(Southland_Reference,24,7)</f>
        <v>7.8350579275000003</v>
      </c>
      <c r="F151" s="4">
        <f ca="1">OFFSET(Southland_Reference,25,7)</f>
        <v>7.8042094655999996</v>
      </c>
      <c r="G151" s="4">
        <f ca="1">OFFSET(Southland_Reference,26,7)</f>
        <v>7.6980202857000002</v>
      </c>
      <c r="H151" s="4">
        <f ca="1">OFFSET(Southland_Reference,27,7)</f>
        <v>7.5395165228999996</v>
      </c>
      <c r="I151" s="1">
        <f ca="1">H151*('Updated Population'!I$147/'Updated Population'!H$147)</f>
        <v>7.4385201771057741</v>
      </c>
      <c r="J151" s="1">
        <f ca="1">I151*('Updated Population'!J$147/'Updated Population'!I$147)</f>
        <v>7.3155158287606366</v>
      </c>
      <c r="K151" s="1">
        <f ca="1">J151*('Updated Population'!K$147/'Updated Population'!J$147)</f>
        <v>7.1790839535806281</v>
      </c>
    </row>
    <row r="152" spans="1:11" x14ac:dyDescent="0.2">
      <c r="A152" t="str">
        <f ca="1">OFFSET(Southland_Reference,28,2)</f>
        <v>Taxi/Vehicle Share</v>
      </c>
      <c r="B152" s="4">
        <f ca="1">OFFSET(Southland_Reference,28,7)</f>
        <v>6.6688903300000005E-2</v>
      </c>
      <c r="C152" s="4">
        <f ca="1">OFFSET(Southland_Reference,29,7)</f>
        <v>7.6673302499999998E-2</v>
      </c>
      <c r="D152" s="4">
        <f ca="1">OFFSET(Southland_Reference,30,7)</f>
        <v>8.3946531000000005E-2</v>
      </c>
      <c r="E152" s="4">
        <f ca="1">OFFSET(Southland_Reference,31,7)</f>
        <v>8.6789243399999993E-2</v>
      </c>
      <c r="F152" s="4">
        <f ca="1">OFFSET(Southland_Reference,32,7)</f>
        <v>8.84954253E-2</v>
      </c>
      <c r="G152" s="4">
        <f ca="1">OFFSET(Southland_Reference,33,7)</f>
        <v>8.8267494799999999E-2</v>
      </c>
      <c r="H152" s="4">
        <f ca="1">OFFSET(Southland_Reference,34,7)</f>
        <v>8.7698902100000004E-2</v>
      </c>
      <c r="I152" s="1">
        <f ca="1">H152*('Updated Population'!I$147/'Updated Population'!H$147)</f>
        <v>8.6524122707267975E-2</v>
      </c>
      <c r="J152" s="1">
        <f ca="1">I152*('Updated Population'!J$147/'Updated Population'!I$147)</f>
        <v>8.5093348430080609E-2</v>
      </c>
      <c r="K152" s="1">
        <f ca="1">J152*('Updated Population'!K$147/'Updated Population'!J$147)</f>
        <v>8.3506386503756871E-2</v>
      </c>
    </row>
    <row r="153" spans="1:11" x14ac:dyDescent="0.2">
      <c r="A153" t="str">
        <f ca="1">OFFSET(Southland_Reference,35,2)</f>
        <v>Motorcyclist</v>
      </c>
      <c r="B153" s="4">
        <f ca="1">OFFSET(Southland_Reference,35,7)</f>
        <v>0.2609239458</v>
      </c>
      <c r="C153" s="4">
        <f ca="1">OFFSET(Southland_Reference,36,7)</f>
        <v>0.33244553160000001</v>
      </c>
      <c r="D153" s="4">
        <f ca="1">OFFSET(Southland_Reference,37,7)</f>
        <v>0.38517696350000002</v>
      </c>
      <c r="E153" s="4">
        <f ca="1">OFFSET(Southland_Reference,38,7)</f>
        <v>0.40892927750000002</v>
      </c>
      <c r="F153" s="4">
        <f ca="1">OFFSET(Southland_Reference,39,7)</f>
        <v>0.4167848938</v>
      </c>
      <c r="G153" s="4">
        <f ca="1">OFFSET(Southland_Reference,40,7)</f>
        <v>0.41425419279999998</v>
      </c>
      <c r="H153" s="4">
        <f ca="1">OFFSET(Southland_Reference,41,7)</f>
        <v>0.40826204700000002</v>
      </c>
      <c r="I153" s="1">
        <f ca="1">H153*('Updated Population'!I$147/'Updated Population'!H$147)</f>
        <v>0.40279313201742356</v>
      </c>
      <c r="J153" s="1">
        <f ca="1">I153*('Updated Population'!J$147/'Updated Population'!I$147)</f>
        <v>0.396132491790327</v>
      </c>
      <c r="K153" s="1">
        <f ca="1">J153*('Updated Population'!K$147/'Updated Population'!J$147)</f>
        <v>0.38874475592319818</v>
      </c>
    </row>
    <row r="154" spans="1:11" x14ac:dyDescent="0.2">
      <c r="A154" t="str">
        <f ca="1">OFFSET(Canterbury_Reference,42,2)</f>
        <v>Local Train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1">
        <f>H154*('Updated Population'!I$147/'Updated Population'!H$147)</f>
        <v>0</v>
      </c>
      <c r="J154" s="1">
        <f>I154*('Updated Population'!J$147/'Updated Population'!I$147)</f>
        <v>0</v>
      </c>
      <c r="K154" s="1">
        <f>J154*('Updated Population'!K$147/'Updated Population'!J$147)</f>
        <v>0</v>
      </c>
    </row>
    <row r="155" spans="1:11" x14ac:dyDescent="0.2">
      <c r="A155" t="str">
        <f ca="1">OFFSET(Southland_Reference,42,2)</f>
        <v>Local Bus</v>
      </c>
      <c r="B155" s="4">
        <f ca="1">OFFSET(Southland_Reference,42,7)</f>
        <v>1.2152660816</v>
      </c>
      <c r="C155" s="4">
        <f ca="1">OFFSET(Southland_Reference,43,7)</f>
        <v>1.2249456878</v>
      </c>
      <c r="D155" s="4">
        <f ca="1">OFFSET(Southland_Reference,44,7)</f>
        <v>1.2547907474</v>
      </c>
      <c r="E155" s="4">
        <f ca="1">OFFSET(Southland_Reference,45,7)</f>
        <v>1.2937955350999999</v>
      </c>
      <c r="F155" s="4">
        <f ca="1">OFFSET(Southland_Reference,46,7)</f>
        <v>1.2771679663</v>
      </c>
      <c r="G155" s="4">
        <f ca="1">OFFSET(Southland_Reference,47,7)</f>
        <v>1.2458233125</v>
      </c>
      <c r="H155" s="4">
        <f ca="1">OFFSET(Southland_Reference,48,7)</f>
        <v>1.2034048404</v>
      </c>
      <c r="I155" s="1">
        <f ca="1">H155*('Updated Population'!I$147/'Updated Population'!H$147)</f>
        <v>1.1872845107976537</v>
      </c>
      <c r="J155" s="1">
        <f ca="1">I155*('Updated Population'!J$147/'Updated Population'!I$147)</f>
        <v>1.167651417914418</v>
      </c>
      <c r="K155" s="1">
        <f ca="1">J155*('Updated Population'!K$147/'Updated Population'!J$147)</f>
        <v>1.1458751172089559</v>
      </c>
    </row>
    <row r="156" spans="1:11" x14ac:dyDescent="0.2">
      <c r="A156" t="str">
        <f ca="1">OFFSET(Wellington_Reference,56,2)</f>
        <v>Local Ferry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1">
        <f>H156*('Updated Population'!I$147/'Updated Population'!H$147)</f>
        <v>0</v>
      </c>
      <c r="J156" s="1">
        <f>I156*('Updated Population'!J$147/'Updated Population'!I$147)</f>
        <v>0</v>
      </c>
      <c r="K156" s="1">
        <f>J156*('Updated Population'!K$147/'Updated Population'!J$147)</f>
        <v>0</v>
      </c>
    </row>
    <row r="157" spans="1:11" x14ac:dyDescent="0.2">
      <c r="A157" t="str">
        <f ca="1">OFFSET(Southland_Reference,49,2)</f>
        <v>Other Household Travel</v>
      </c>
      <c r="B157" s="4">
        <f ca="1">OFFSET(Southland_Reference,49,7)</f>
        <v>8.5162673699999997E-2</v>
      </c>
      <c r="C157" s="4">
        <f ca="1">OFFSET(Southland_Reference,50,7)</f>
        <v>9.5292722900000001E-2</v>
      </c>
      <c r="D157" s="4">
        <f ca="1">OFFSET(Southland_Reference,51,7)</f>
        <v>0.1024965132</v>
      </c>
      <c r="E157" s="4">
        <f ca="1">OFFSET(Southland_Reference,52,7)</f>
        <v>0.1108568816</v>
      </c>
      <c r="F157" s="4">
        <f ca="1">OFFSET(Southland_Reference,53,7)</f>
        <v>0.1203267103</v>
      </c>
      <c r="G157" s="4">
        <f ca="1">OFFSET(Southland_Reference,54,7)</f>
        <v>0.1260387473</v>
      </c>
      <c r="H157" s="4">
        <f ca="1">OFFSET(Southland_Reference,55,7)</f>
        <v>0.12968359260000001</v>
      </c>
      <c r="I157" s="1">
        <f ca="1">H157*('Updated Population'!I$147/'Updated Population'!H$147)</f>
        <v>0.1279464030968952</v>
      </c>
      <c r="J157" s="1">
        <f ca="1">I157*('Updated Population'!J$147/'Updated Population'!I$147)</f>
        <v>0.12583066454119751</v>
      </c>
      <c r="K157" s="1">
        <f ca="1">J157*('Updated Population'!K$147/'Updated Population'!J$147)</f>
        <v>0.12348396556325127</v>
      </c>
    </row>
    <row r="158" spans="1:11" x14ac:dyDescent="0.2">
      <c r="A158" t="s">
        <v>12</v>
      </c>
      <c r="I158" s="1"/>
      <c r="J158" s="1"/>
      <c r="K158" s="1"/>
    </row>
    <row r="159" spans="1:11" x14ac:dyDescent="0.2">
      <c r="A159" t="str">
        <f t="shared" ref="A159:A168" ca="1" si="0">A5</f>
        <v>Pedestrian</v>
      </c>
      <c r="B159" s="4">
        <f ca="1">B5+B16+B27+B38+B49+B60+B71+B82+B93+B104+B115+B126+B137+B148</f>
        <v>205.0143830817</v>
      </c>
      <c r="C159" s="4">
        <f t="shared" ref="C159:I159" ca="1" si="1">C5+C16+C27+C38+C49+C60+C71+C82+C93+C104+C115+C126+C137+C148</f>
        <v>217.1546221543</v>
      </c>
      <c r="D159" s="4">
        <f t="shared" ca="1" si="1"/>
        <v>224.97138491480001</v>
      </c>
      <c r="E159" s="4">
        <f t="shared" ca="1" si="1"/>
        <v>232.23953062500001</v>
      </c>
      <c r="F159" s="4">
        <f t="shared" ca="1" si="1"/>
        <v>237.59961556950003</v>
      </c>
      <c r="G159" s="4">
        <f t="shared" ca="1" si="1"/>
        <v>242.30142432599993</v>
      </c>
      <c r="H159" s="4">
        <f t="shared" ca="1" si="1"/>
        <v>245.90744617580003</v>
      </c>
      <c r="I159" s="1">
        <f t="shared" ca="1" si="1"/>
        <v>251.86290453050788</v>
      </c>
      <c r="J159" s="1">
        <f t="shared" ref="J159:K159" ca="1" si="2">J5+J16+J27+J38+J49+J60+J71+J82+J93+J104+J115+J126+J137+J148</f>
        <v>257.22304807833933</v>
      </c>
      <c r="K159" s="1">
        <f t="shared" ca="1" si="2"/>
        <v>262.21529693965687</v>
      </c>
    </row>
    <row r="160" spans="1:11" x14ac:dyDescent="0.2">
      <c r="A160" t="str">
        <f t="shared" ca="1" si="0"/>
        <v>Cyclist</v>
      </c>
      <c r="B160" s="4">
        <f t="shared" ref="B160:I168" ca="1" si="3">B6+B17+B28+B39+B50+B61+B72+B83+B94+B105+B116+B127+B138+B149</f>
        <v>24.928098629399997</v>
      </c>
      <c r="C160" s="4">
        <f t="shared" ca="1" si="3"/>
        <v>26.906793556</v>
      </c>
      <c r="D160" s="4">
        <f t="shared" ca="1" si="3"/>
        <v>27.988735212800002</v>
      </c>
      <c r="E160" s="4">
        <f t="shared" ca="1" si="3"/>
        <v>28.6755378736</v>
      </c>
      <c r="F160" s="4">
        <f t="shared" ca="1" si="3"/>
        <v>29.578471235200002</v>
      </c>
      <c r="G160" s="4">
        <f t="shared" ca="1" si="3"/>
        <v>30.773496934600001</v>
      </c>
      <c r="H160" s="4">
        <f t="shared" ca="1" si="3"/>
        <v>31.935924947299998</v>
      </c>
      <c r="I160" s="1">
        <f t="shared" ca="1" si="3"/>
        <v>32.550340446302769</v>
      </c>
      <c r="J160" s="1">
        <f t="shared" ref="J160:K160" ca="1" si="4">J6+J17+J28+J39+J50+J61+J72+J83+J94+J105+J116+J127+J138+J149</f>
        <v>33.080201265461127</v>
      </c>
      <c r="K160" s="1">
        <f t="shared" ca="1" si="4"/>
        <v>33.555770534923695</v>
      </c>
    </row>
    <row r="161" spans="1:11" x14ac:dyDescent="0.2">
      <c r="A161" t="str">
        <f t="shared" ca="1" si="0"/>
        <v>Light Vehicle Driver</v>
      </c>
      <c r="B161" s="4">
        <f t="shared" ca="1" si="3"/>
        <v>820.39837236829999</v>
      </c>
      <c r="C161" s="4">
        <f t="shared" ca="1" si="3"/>
        <v>901.43615233870014</v>
      </c>
      <c r="D161" s="4">
        <f t="shared" ca="1" si="3"/>
        <v>954.33673071069984</v>
      </c>
      <c r="E161" s="4">
        <f t="shared" ca="1" si="3"/>
        <v>995.42379152039996</v>
      </c>
      <c r="F161" s="4">
        <f t="shared" ca="1" si="3"/>
        <v>1034.6958901034002</v>
      </c>
      <c r="G161" s="4">
        <f t="shared" ca="1" si="3"/>
        <v>1066.3972568088002</v>
      </c>
      <c r="H161" s="4">
        <f t="shared" ca="1" si="3"/>
        <v>1094.2609268572</v>
      </c>
      <c r="I161" s="1">
        <f t="shared" ca="1" si="3"/>
        <v>1120.7968907743705</v>
      </c>
      <c r="J161" s="1">
        <f t="shared" ref="J161:K161" ca="1" si="5">J7+J18+J29+J40+J51+J62+J73+J84+J95+J106+J117+J128+J139+J150</f>
        <v>1144.6837021709609</v>
      </c>
      <c r="K161" s="1">
        <f t="shared" ca="1" si="5"/>
        <v>1166.9324935641007</v>
      </c>
    </row>
    <row r="162" spans="1:11" x14ac:dyDescent="0.2">
      <c r="A162" t="str">
        <f t="shared" ca="1" si="0"/>
        <v>Light Vehicle Passenger</v>
      </c>
      <c r="B162" s="4">
        <f t="shared" ca="1" si="3"/>
        <v>430.09037615619997</v>
      </c>
      <c r="C162" s="4">
        <f t="shared" ca="1" si="3"/>
        <v>450.9240539246</v>
      </c>
      <c r="D162" s="4">
        <f t="shared" ca="1" si="3"/>
        <v>464.67055292359987</v>
      </c>
      <c r="E162" s="4">
        <f t="shared" ca="1" si="3"/>
        <v>476.83123455139997</v>
      </c>
      <c r="F162" s="4">
        <f t="shared" ca="1" si="3"/>
        <v>487.04785002420005</v>
      </c>
      <c r="G162" s="4">
        <f t="shared" ca="1" si="3"/>
        <v>495.33211730559998</v>
      </c>
      <c r="H162" s="4">
        <f t="shared" ca="1" si="3"/>
        <v>501.0612941573001</v>
      </c>
      <c r="I162" s="1">
        <f t="shared" ca="1" si="3"/>
        <v>512.99859459489164</v>
      </c>
      <c r="J162" s="1">
        <f t="shared" ref="J162:K162" ca="1" si="6">J8+J19+J30+J41+J52+J63+J74+J85+J96+J107+J118+J129+J140+J151</f>
        <v>523.71626793861299</v>
      </c>
      <c r="K162" s="1">
        <f t="shared" ca="1" si="6"/>
        <v>533.67848515788762</v>
      </c>
    </row>
    <row r="163" spans="1:11" x14ac:dyDescent="0.2">
      <c r="A163" t="str">
        <f t="shared" ca="1" si="0"/>
        <v>Taxi/Vehicle Share</v>
      </c>
      <c r="B163" s="4">
        <f t="shared" ca="1" si="3"/>
        <v>4.6704390591000005</v>
      </c>
      <c r="C163" s="4">
        <f t="shared" ca="1" si="3"/>
        <v>5.3460634366999997</v>
      </c>
      <c r="D163" s="4">
        <f t="shared" ca="1" si="3"/>
        <v>5.9125819338999994</v>
      </c>
      <c r="E163" s="4">
        <f t="shared" ca="1" si="3"/>
        <v>6.4796880258000007</v>
      </c>
      <c r="F163" s="4">
        <f t="shared" ca="1" si="3"/>
        <v>7.0093778647000011</v>
      </c>
      <c r="G163" s="4">
        <f t="shared" ca="1" si="3"/>
        <v>7.4459479201000001</v>
      </c>
      <c r="H163" s="4">
        <f t="shared" ca="1" si="3"/>
        <v>7.865246867299998</v>
      </c>
      <c r="I163" s="1">
        <f t="shared" ca="1" si="3"/>
        <v>8.0805061604271113</v>
      </c>
      <c r="J163" s="1">
        <f t="shared" ref="J163:K163" ca="1" si="7">J9+J20+J31+J42+J53+J64+J75+J86+J97+J108+J119+J130+J141+J152</f>
        <v>8.277963393049717</v>
      </c>
      <c r="K163" s="1">
        <f t="shared" ca="1" si="7"/>
        <v>8.4647710715932725</v>
      </c>
    </row>
    <row r="164" spans="1:11" x14ac:dyDescent="0.2">
      <c r="A164" t="str">
        <f t="shared" ca="1" si="0"/>
        <v>Motorcyclist</v>
      </c>
      <c r="B164" s="4">
        <f t="shared" ca="1" si="3"/>
        <v>6.0136150244</v>
      </c>
      <c r="C164" s="4">
        <f t="shared" ca="1" si="3"/>
        <v>6.4879206181000004</v>
      </c>
      <c r="D164" s="4">
        <f t="shared" ca="1" si="3"/>
        <v>6.7760474137999998</v>
      </c>
      <c r="E164" s="4">
        <f t="shared" ca="1" si="3"/>
        <v>6.9442960639000013</v>
      </c>
      <c r="F164" s="4">
        <f t="shared" ca="1" si="3"/>
        <v>7.0984130051000003</v>
      </c>
      <c r="G164" s="4">
        <f t="shared" ca="1" si="3"/>
        <v>7.1576242305000006</v>
      </c>
      <c r="H164" s="4">
        <f t="shared" ca="1" si="3"/>
        <v>7.1796967897999986</v>
      </c>
      <c r="I164" s="1">
        <f t="shared" ca="1" si="3"/>
        <v>7.3259276426807478</v>
      </c>
      <c r="J164" s="1">
        <f t="shared" ref="J164:K164" ca="1" si="8">J10+J21+J32+J43+J54+J65+J76+J87+J98+J109+J120+J131+J142+J153</f>
        <v>7.4540052033408415</v>
      </c>
      <c r="K164" s="1">
        <f t="shared" ca="1" si="8"/>
        <v>7.5707190229768271</v>
      </c>
    </row>
    <row r="165" spans="1:11" x14ac:dyDescent="0.2">
      <c r="A165" t="str">
        <f t="shared" ca="1" si="0"/>
        <v>Local Train</v>
      </c>
      <c r="B165" s="4">
        <f t="shared" ca="1" si="3"/>
        <v>9.9999446903999978</v>
      </c>
      <c r="C165" s="4">
        <f t="shared" ca="1" si="3"/>
        <v>10.971446009999999</v>
      </c>
      <c r="D165" s="4">
        <f t="shared" ca="1" si="3"/>
        <v>11.6704450268</v>
      </c>
      <c r="E165" s="4">
        <f t="shared" ca="1" si="3"/>
        <v>12.304408305000001</v>
      </c>
      <c r="F165" s="4">
        <f t="shared" ca="1" si="3"/>
        <v>12.795869347900002</v>
      </c>
      <c r="G165" s="4">
        <f t="shared" ca="1" si="3"/>
        <v>13.236359481199999</v>
      </c>
      <c r="H165" s="4">
        <f t="shared" ca="1" si="3"/>
        <v>13.602203250500001</v>
      </c>
      <c r="I165" s="1">
        <f t="shared" ca="1" si="3"/>
        <v>13.932866774472547</v>
      </c>
      <c r="J165" s="1">
        <f t="shared" ref="J165:K165" ca="1" si="9">J11+J22+J33+J44+J55+J66+J77+J88+J99+J110+J121+J132+J143+J154</f>
        <v>14.230614846412342</v>
      </c>
      <c r="K165" s="1">
        <f t="shared" ca="1" si="9"/>
        <v>14.508051059103504</v>
      </c>
    </row>
    <row r="166" spans="1:11" x14ac:dyDescent="0.2">
      <c r="A166" t="str">
        <f t="shared" ca="1" si="0"/>
        <v>Local Bus</v>
      </c>
      <c r="B166" s="4">
        <f t="shared" ca="1" si="3"/>
        <v>54.150595508499997</v>
      </c>
      <c r="C166" s="4">
        <f t="shared" ca="1" si="3"/>
        <v>56.347151649900006</v>
      </c>
      <c r="D166" s="4">
        <f t="shared" ca="1" si="3"/>
        <v>57.286682051000007</v>
      </c>
      <c r="E166" s="4">
        <f t="shared" ca="1" si="3"/>
        <v>58.821590634000003</v>
      </c>
      <c r="F166" s="4">
        <f t="shared" ca="1" si="3"/>
        <v>59.462581360600019</v>
      </c>
      <c r="G166" s="4">
        <f t="shared" ca="1" si="3"/>
        <v>60.146764892499995</v>
      </c>
      <c r="H166" s="4">
        <f t="shared" ca="1" si="3"/>
        <v>60.505359336799991</v>
      </c>
      <c r="I166" s="1">
        <f t="shared" ca="1" si="3"/>
        <v>62.148880103499465</v>
      </c>
      <c r="J166" s="1">
        <f t="shared" ref="J166:K166" ca="1" si="10">J12+J23+J34+J45+J56+J67+J78+J89+J100+J111+J122+J133+J144+J155</f>
        <v>63.653359486765368</v>
      </c>
      <c r="K166" s="1">
        <f t="shared" ca="1" si="10"/>
        <v>65.073869809332862</v>
      </c>
    </row>
    <row r="167" spans="1:11" x14ac:dyDescent="0.2">
      <c r="A167" t="str">
        <f t="shared" ca="1" si="0"/>
        <v>Local Ferry</v>
      </c>
      <c r="B167" s="4">
        <f t="shared" ca="1" si="3"/>
        <v>1.3964695746999998</v>
      </c>
      <c r="C167" s="4">
        <f t="shared" ca="1" si="3"/>
        <v>1.6087557845</v>
      </c>
      <c r="D167" s="4">
        <f t="shared" ca="1" si="3"/>
        <v>1.7684585076999999</v>
      </c>
      <c r="E167" s="4">
        <f t="shared" ca="1" si="3"/>
        <v>1.90405578</v>
      </c>
      <c r="F167" s="4">
        <f t="shared" ca="1" si="3"/>
        <v>2.0290103232000001</v>
      </c>
      <c r="G167" s="4">
        <f t="shared" ca="1" si="3"/>
        <v>2.1958088529999999</v>
      </c>
      <c r="H167" s="4">
        <f t="shared" ca="1" si="3"/>
        <v>2.3556568942000005</v>
      </c>
      <c r="I167" s="1">
        <f t="shared" ca="1" si="3"/>
        <v>2.4498106880645438</v>
      </c>
      <c r="J167" s="1">
        <f t="shared" ref="J167:K167" ca="1" si="11">J13+J24+J35+J46+J57+J68+J79+J90+J101+J112+J123+J134+J145+J156</f>
        <v>2.5398367034610296</v>
      </c>
      <c r="K167" s="1">
        <f t="shared" ca="1" si="11"/>
        <v>2.6277316708248026</v>
      </c>
    </row>
    <row r="168" spans="1:11" x14ac:dyDescent="0.2">
      <c r="A168" t="str">
        <f t="shared" ca="1" si="0"/>
        <v>Other Household Travel</v>
      </c>
      <c r="B168" s="4">
        <f t="shared" ca="1" si="3"/>
        <v>5.6740244923000009</v>
      </c>
      <c r="C168" s="4">
        <f t="shared" ca="1" si="3"/>
        <v>6.229129287300001</v>
      </c>
      <c r="D168" s="4">
        <f t="shared" ca="1" si="3"/>
        <v>6.6507538194999993</v>
      </c>
      <c r="E168" s="4">
        <f t="shared" ca="1" si="3"/>
        <v>6.9521191123999992</v>
      </c>
      <c r="F168" s="4">
        <f t="shared" ca="1" si="3"/>
        <v>7.2332933530999997</v>
      </c>
      <c r="G168" s="4">
        <f t="shared" ca="1" si="3"/>
        <v>7.5772526864000005</v>
      </c>
      <c r="H168" s="4">
        <f t="shared" ca="1" si="3"/>
        <v>7.8913503683999986</v>
      </c>
      <c r="I168" s="1">
        <f t="shared" ca="1" si="3"/>
        <v>8.1079367532079072</v>
      </c>
      <c r="J168" s="1">
        <f t="shared" ref="J168:K168" ca="1" si="12">J14+J25+J36+J47+J58+J69+J80+J91+J102+J113+J124+J135+J146+J157</f>
        <v>8.3062474296768229</v>
      </c>
      <c r="K168" s="1">
        <f t="shared" ca="1" si="12"/>
        <v>8.4934395805797944</v>
      </c>
    </row>
    <row r="170" spans="1:11" x14ac:dyDescent="0.2">
      <c r="B170" s="4"/>
      <c r="C170" s="4"/>
      <c r="D170" s="4"/>
      <c r="E170" s="4"/>
      <c r="F170" s="4"/>
      <c r="G170" s="4"/>
      <c r="H170" s="4"/>
    </row>
    <row r="171" spans="1:11" x14ac:dyDescent="0.2">
      <c r="B171" s="4"/>
      <c r="C171" s="4"/>
      <c r="D171" s="4"/>
      <c r="E171" s="4"/>
      <c r="F171" s="4"/>
      <c r="G171" s="4"/>
      <c r="H171" s="4"/>
    </row>
    <row r="172" spans="1:11" x14ac:dyDescent="0.2">
      <c r="B172" s="4"/>
      <c r="C172" s="4"/>
      <c r="D172" s="4"/>
      <c r="E172" s="4"/>
      <c r="F172" s="4"/>
      <c r="G172" s="4"/>
      <c r="H172" s="4"/>
    </row>
    <row r="173" spans="1:11" x14ac:dyDescent="0.2">
      <c r="B173" s="4"/>
      <c r="C173" s="4"/>
      <c r="D173" s="4"/>
      <c r="E173" s="4"/>
      <c r="F173" s="4"/>
      <c r="G173" s="4"/>
      <c r="H173" s="4"/>
    </row>
    <row r="174" spans="1:11" x14ac:dyDescent="0.2">
      <c r="B174" s="4"/>
      <c r="C174" s="4"/>
      <c r="D174" s="4"/>
      <c r="E174" s="4"/>
      <c r="F174" s="4"/>
      <c r="G174" s="4"/>
      <c r="H174" s="4"/>
    </row>
    <row r="175" spans="1:11" x14ac:dyDescent="0.2">
      <c r="B175" s="4"/>
      <c r="C175" s="4"/>
      <c r="D175" s="4"/>
      <c r="E175" s="4"/>
      <c r="F175" s="4"/>
      <c r="G175" s="4"/>
      <c r="H175" s="4"/>
    </row>
    <row r="176" spans="1:11" x14ac:dyDescent="0.2">
      <c r="B176" s="4"/>
      <c r="C176" s="4"/>
      <c r="D176" s="4"/>
      <c r="E176" s="4"/>
      <c r="F176" s="4"/>
      <c r="G176" s="4"/>
      <c r="H176" s="4"/>
    </row>
    <row r="177" spans="2:8" x14ac:dyDescent="0.2">
      <c r="B177" s="4"/>
      <c r="C177" s="4"/>
      <c r="D177" s="4"/>
      <c r="E177" s="4"/>
      <c r="F177" s="4"/>
      <c r="G177" s="4"/>
      <c r="H177" s="4"/>
    </row>
    <row r="178" spans="2:8" x14ac:dyDescent="0.2">
      <c r="B178" s="4"/>
      <c r="C178" s="4"/>
      <c r="D178" s="4"/>
      <c r="E178" s="4"/>
      <c r="F178" s="4"/>
      <c r="G178" s="4"/>
      <c r="H178" s="4"/>
    </row>
    <row r="179" spans="2:8" x14ac:dyDescent="0.2">
      <c r="B179" s="4"/>
      <c r="C179" s="4"/>
      <c r="D179" s="4"/>
      <c r="E179" s="4"/>
      <c r="F179" s="4"/>
      <c r="G179" s="4"/>
      <c r="H179" s="4"/>
    </row>
    <row r="181" spans="2:8" x14ac:dyDescent="0.2">
      <c r="B181" s="4"/>
      <c r="C181" s="4"/>
      <c r="D181" s="4"/>
      <c r="E181" s="4"/>
      <c r="F181" s="4"/>
      <c r="G181" s="4"/>
      <c r="H181" s="4"/>
    </row>
    <row r="182" spans="2:8" x14ac:dyDescent="0.2">
      <c r="B182" s="4"/>
      <c r="C182" s="4"/>
      <c r="D182" s="4"/>
      <c r="E182" s="4"/>
      <c r="F182" s="4"/>
      <c r="G182" s="4"/>
      <c r="H182" s="4"/>
    </row>
    <row r="183" spans="2:8" x14ac:dyDescent="0.2">
      <c r="B183" s="4"/>
      <c r="C183" s="4"/>
      <c r="D183" s="4"/>
      <c r="E183" s="4"/>
      <c r="F183" s="4"/>
      <c r="G183" s="4"/>
      <c r="H183" s="4"/>
    </row>
    <row r="184" spans="2:8" x14ac:dyDescent="0.2">
      <c r="B184" s="4"/>
      <c r="C184" s="4"/>
      <c r="D184" s="4"/>
      <c r="E184" s="4"/>
      <c r="F184" s="4"/>
      <c r="G184" s="4"/>
      <c r="H184" s="4"/>
    </row>
    <row r="185" spans="2:8" x14ac:dyDescent="0.2">
      <c r="B185" s="4"/>
      <c r="C185" s="4"/>
      <c r="D185" s="4"/>
      <c r="E185" s="4"/>
      <c r="F185" s="4"/>
      <c r="G185" s="4"/>
      <c r="H185" s="4"/>
    </row>
    <row r="186" spans="2:8" x14ac:dyDescent="0.2">
      <c r="B186" s="4"/>
      <c r="C186" s="4"/>
      <c r="D186" s="4"/>
      <c r="E186" s="4"/>
      <c r="F186" s="4"/>
      <c r="G186" s="4"/>
      <c r="H186" s="4"/>
    </row>
    <row r="187" spans="2:8" x14ac:dyDescent="0.2">
      <c r="B187" s="4"/>
      <c r="C187" s="4"/>
      <c r="D187" s="4"/>
      <c r="E187" s="4"/>
      <c r="F187" s="4"/>
      <c r="G187" s="4"/>
      <c r="H187" s="4"/>
    </row>
    <row r="188" spans="2:8" x14ac:dyDescent="0.2">
      <c r="B188" s="4"/>
      <c r="C188" s="4"/>
      <c r="D188" s="4"/>
      <c r="E188" s="4"/>
      <c r="F188" s="4"/>
      <c r="G188" s="4"/>
      <c r="H188" s="4"/>
    </row>
    <row r="189" spans="2:8" x14ac:dyDescent="0.2">
      <c r="B189" s="4"/>
      <c r="C189" s="4"/>
      <c r="D189" s="4"/>
      <c r="E189" s="4"/>
      <c r="F189" s="4"/>
      <c r="G189" s="4"/>
      <c r="H189" s="4"/>
    </row>
    <row r="190" spans="2:8" x14ac:dyDescent="0.2">
      <c r="B190" s="4"/>
      <c r="C190" s="4"/>
      <c r="D190" s="4"/>
      <c r="E190" s="4"/>
      <c r="F190" s="4"/>
      <c r="G190" s="4"/>
      <c r="H190" s="4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H190"/>
  <sheetViews>
    <sheetView topLeftCell="A130" workbookViewId="0">
      <selection activeCell="H158" sqref="H158"/>
    </sheetView>
  </sheetViews>
  <sheetFormatPr defaultRowHeight="12.75" x14ac:dyDescent="0.2"/>
  <cols>
    <col min="1" max="1" width="26.140625" customWidth="1"/>
  </cols>
  <sheetData>
    <row r="2" spans="1:8" x14ac:dyDescent="0.2">
      <c r="A2" s="3" t="s">
        <v>15</v>
      </c>
    </row>
    <row r="3" spans="1:8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</row>
    <row r="4" spans="1:8" x14ac:dyDescent="0.2">
      <c r="A4" t="str">
        <f ca="1">OFFSET(Northland_Reference,0,0)</f>
        <v>01 NORTHLAND</v>
      </c>
      <c r="B4" s="5">
        <f>[3]Population!D4</f>
        <v>164700</v>
      </c>
      <c r="C4" s="5">
        <f>[3]Population!E4</f>
        <v>171100</v>
      </c>
      <c r="D4" s="5">
        <f>[3]Population!F4</f>
        <v>175500</v>
      </c>
      <c r="E4" s="5">
        <f>[3]Population!G4</f>
        <v>179100</v>
      </c>
      <c r="F4" s="5">
        <f>[3]Population!H4</f>
        <v>181600</v>
      </c>
      <c r="G4" s="5">
        <f>[3]Population!I4</f>
        <v>182700</v>
      </c>
      <c r="H4" s="5">
        <f>[3]Population!J4</f>
        <v>182900</v>
      </c>
    </row>
    <row r="5" spans="1:8" x14ac:dyDescent="0.2">
      <c r="A5" t="str">
        <f ca="1">OFFSET(Northland_Reference,0,2)</f>
        <v>Pedestrian</v>
      </c>
      <c r="B5" s="4"/>
      <c r="C5" s="4"/>
      <c r="D5" s="4"/>
      <c r="E5" s="4"/>
      <c r="F5" s="4"/>
      <c r="G5" s="4"/>
      <c r="H5" s="4"/>
    </row>
    <row r="6" spans="1:8" x14ac:dyDescent="0.2">
      <c r="A6" t="str">
        <f ca="1">OFFSET(Northland_Reference,7,2)</f>
        <v>Cyclist</v>
      </c>
      <c r="B6" s="4"/>
      <c r="C6" s="4"/>
      <c r="D6" s="4"/>
      <c r="E6" s="4"/>
      <c r="F6" s="4"/>
      <c r="G6" s="4"/>
      <c r="H6" s="4"/>
    </row>
    <row r="7" spans="1:8" x14ac:dyDescent="0.2">
      <c r="A7" t="str">
        <f ca="1">OFFSET(Northland_Reference,14,2)</f>
        <v>Light Vehicle Driver</v>
      </c>
      <c r="B7" s="4"/>
      <c r="C7" s="4"/>
      <c r="D7" s="4"/>
      <c r="E7" s="4"/>
      <c r="F7" s="4"/>
      <c r="G7" s="4"/>
      <c r="H7" s="4"/>
    </row>
    <row r="8" spans="1:8" x14ac:dyDescent="0.2">
      <c r="A8" t="str">
        <f ca="1">OFFSET(Northland_Reference,21,2)</f>
        <v>Light Vehicle Passenger</v>
      </c>
      <c r="B8" s="4"/>
      <c r="C8" s="4"/>
      <c r="D8" s="4"/>
      <c r="E8" s="4"/>
      <c r="F8" s="4"/>
      <c r="G8" s="4"/>
      <c r="H8" s="4"/>
    </row>
    <row r="9" spans="1:8" x14ac:dyDescent="0.2">
      <c r="A9" t="str">
        <f ca="1">OFFSET(Northland_Reference,28,2)</f>
        <v>Taxi/Vehicle Share</v>
      </c>
      <c r="B9" s="4"/>
      <c r="C9" s="4"/>
      <c r="D9" s="4"/>
      <c r="E9" s="4"/>
      <c r="F9" s="4"/>
      <c r="G9" s="4"/>
      <c r="H9" s="4"/>
    </row>
    <row r="10" spans="1:8" x14ac:dyDescent="0.2">
      <c r="A10" t="str">
        <f ca="1">OFFSET(Northland_Reference,35,2)</f>
        <v>Motorcyclist</v>
      </c>
      <c r="B10" s="4"/>
      <c r="C10" s="4"/>
      <c r="D10" s="4"/>
      <c r="E10" s="4"/>
      <c r="F10" s="4"/>
      <c r="G10" s="4"/>
      <c r="H10" s="4"/>
    </row>
    <row r="11" spans="1:8" x14ac:dyDescent="0.2">
      <c r="A11" t="str">
        <f ca="1">OFFSET(Auckland_Reference,42,2)</f>
        <v>Local Train</v>
      </c>
      <c r="B11" s="4"/>
      <c r="C11" s="4"/>
      <c r="D11" s="4"/>
      <c r="E11" s="4"/>
      <c r="F11" s="4"/>
      <c r="G11" s="4"/>
      <c r="H11" s="4"/>
    </row>
    <row r="12" spans="1:8" x14ac:dyDescent="0.2">
      <c r="A12" t="str">
        <f ca="1">OFFSET(Northland_Reference,42,2)</f>
        <v>Local Bus</v>
      </c>
      <c r="B12" s="4"/>
      <c r="C12" s="4"/>
      <c r="D12" s="4"/>
      <c r="E12" s="4"/>
      <c r="F12" s="4"/>
      <c r="G12" s="4"/>
      <c r="H12" s="4"/>
    </row>
    <row r="13" spans="1:8" x14ac:dyDescent="0.2">
      <c r="A13" t="str">
        <f ca="1">OFFSET(Northland_Reference,49,2)</f>
        <v>Local Ferry</v>
      </c>
      <c r="B13" s="4"/>
      <c r="C13" s="4"/>
      <c r="D13" s="4"/>
      <c r="E13" s="4"/>
      <c r="F13" s="4"/>
      <c r="G13" s="4"/>
      <c r="H13" s="4"/>
    </row>
    <row r="14" spans="1:8" x14ac:dyDescent="0.2">
      <c r="A14" t="str">
        <f ca="1">OFFSET(Northland_Reference,56,2)</f>
        <v>Other Household Travel</v>
      </c>
      <c r="B14" s="4"/>
      <c r="C14" s="4"/>
      <c r="D14" s="4"/>
      <c r="E14" s="4"/>
      <c r="F14" s="4"/>
      <c r="G14" s="4"/>
      <c r="H14" s="4"/>
    </row>
    <row r="15" spans="1:8" x14ac:dyDescent="0.2">
      <c r="A15" t="str">
        <f ca="1">OFFSET(Auckland_Reference,0,0)</f>
        <v>02 AUCKLAND</v>
      </c>
      <c r="B15">
        <f>[3]Population!D5</f>
        <v>1493200</v>
      </c>
      <c r="C15">
        <f>[3]Population!E5</f>
        <v>1646500</v>
      </c>
      <c r="D15">
        <f>[3]Population!F5</f>
        <v>1767500</v>
      </c>
      <c r="E15">
        <f>[3]Population!G5</f>
        <v>1890900</v>
      </c>
      <c r="F15">
        <f>[3]Population!H5</f>
        <v>2010500</v>
      </c>
      <c r="G15">
        <f>[3]Population!I5</f>
        <v>2123000</v>
      </c>
      <c r="H15">
        <f>[3]Population!J5</f>
        <v>2229300</v>
      </c>
    </row>
    <row r="16" spans="1:8" x14ac:dyDescent="0.2">
      <c r="A16" t="str">
        <f ca="1">OFFSET(Auckland_Reference,0,2)</f>
        <v>Pedestrian</v>
      </c>
      <c r="B16" s="4"/>
      <c r="C16" s="4"/>
      <c r="D16" s="4"/>
      <c r="E16" s="4"/>
      <c r="F16" s="4"/>
      <c r="G16" s="4"/>
      <c r="H16" s="4"/>
    </row>
    <row r="17" spans="1:8" x14ac:dyDescent="0.2">
      <c r="A17" t="str">
        <f ca="1">OFFSET(Auckland_Reference,7,2)</f>
        <v>Cyclist</v>
      </c>
      <c r="B17" s="4"/>
      <c r="C17" s="4"/>
      <c r="D17" s="4"/>
      <c r="E17" s="4"/>
      <c r="F17" s="4"/>
      <c r="G17" s="4"/>
      <c r="H17" s="4"/>
    </row>
    <row r="18" spans="1:8" x14ac:dyDescent="0.2">
      <c r="A18" t="str">
        <f ca="1">OFFSET(Auckland_Reference,14,2)</f>
        <v>Light Vehicle Driver</v>
      </c>
      <c r="B18" s="4"/>
      <c r="C18" s="4"/>
      <c r="D18" s="4"/>
      <c r="E18" s="4"/>
      <c r="F18" s="4"/>
      <c r="G18" s="4"/>
      <c r="H18" s="4"/>
    </row>
    <row r="19" spans="1:8" x14ac:dyDescent="0.2">
      <c r="A19" t="str">
        <f ca="1">OFFSET(Auckland_Reference,21,2)</f>
        <v>Light Vehicle Passenger</v>
      </c>
      <c r="B19" s="4"/>
      <c r="C19" s="4"/>
      <c r="D19" s="4"/>
      <c r="E19" s="4"/>
      <c r="F19" s="4"/>
      <c r="G19" s="4"/>
      <c r="H19" s="4"/>
    </row>
    <row r="20" spans="1:8" x14ac:dyDescent="0.2">
      <c r="A20" t="str">
        <f ca="1">OFFSET(Auckland_Reference,28,2)</f>
        <v>Taxi/Vehicle Share</v>
      </c>
      <c r="B20" s="4"/>
      <c r="C20" s="4"/>
      <c r="D20" s="4"/>
      <c r="E20" s="4"/>
      <c r="F20" s="4"/>
      <c r="G20" s="4"/>
      <c r="H20" s="4"/>
    </row>
    <row r="21" spans="1:8" x14ac:dyDescent="0.2">
      <c r="A21" t="str">
        <f ca="1">OFFSET(Auckland_Reference,35,2)</f>
        <v>Motorcyclist</v>
      </c>
      <c r="B21" s="4"/>
      <c r="C21" s="4"/>
      <c r="D21" s="4"/>
      <c r="E21" s="4"/>
      <c r="F21" s="4"/>
      <c r="G21" s="4"/>
      <c r="H21" s="4"/>
    </row>
    <row r="22" spans="1:8" x14ac:dyDescent="0.2">
      <c r="A22" t="str">
        <f ca="1">OFFSET(Auckland_Reference,42,2)</f>
        <v>Local Train</v>
      </c>
      <c r="B22" s="4"/>
      <c r="C22" s="4"/>
      <c r="D22" s="4"/>
      <c r="E22" s="4"/>
      <c r="F22" s="4"/>
      <c r="G22" s="4"/>
      <c r="H22" s="4"/>
    </row>
    <row r="23" spans="1:8" x14ac:dyDescent="0.2">
      <c r="A23" t="str">
        <f ca="1">OFFSET(Auckland_Reference,49,2)</f>
        <v>Local Bus</v>
      </c>
      <c r="B23" s="4"/>
      <c r="C23" s="4"/>
      <c r="D23" s="4"/>
      <c r="E23" s="4"/>
      <c r="F23" s="4"/>
      <c r="G23" s="4"/>
      <c r="H23" s="4"/>
    </row>
    <row r="24" spans="1:8" x14ac:dyDescent="0.2">
      <c r="A24" t="str">
        <f ca="1">OFFSET(Auckland_Reference,56,2)</f>
        <v>Local Ferry</v>
      </c>
      <c r="B24" s="4"/>
      <c r="C24" s="4"/>
      <c r="D24" s="4"/>
      <c r="E24" s="4"/>
      <c r="F24" s="4"/>
      <c r="G24" s="4"/>
      <c r="H24" s="4"/>
    </row>
    <row r="25" spans="1:8" x14ac:dyDescent="0.2">
      <c r="A25" t="str">
        <f ca="1">OFFSET(Auckland_Reference,63,2)</f>
        <v>Other Household Travel</v>
      </c>
      <c r="B25" s="4"/>
      <c r="C25" s="4"/>
      <c r="D25" s="4"/>
      <c r="E25" s="4"/>
      <c r="F25" s="4"/>
      <c r="G25" s="4"/>
      <c r="H25" s="4"/>
    </row>
    <row r="26" spans="1:8" x14ac:dyDescent="0.2">
      <c r="A26" t="str">
        <f ca="1">OFFSET(Waikato_Reference,0,0)</f>
        <v>03 WAIKATO</v>
      </c>
      <c r="B26">
        <f>[3]Population!D6</f>
        <v>424600</v>
      </c>
      <c r="C26">
        <f>[3]Population!E6</f>
        <v>449500</v>
      </c>
      <c r="D26">
        <f>[3]Population!F6</f>
        <v>466800</v>
      </c>
      <c r="E26">
        <f>[3]Population!G6</f>
        <v>482800</v>
      </c>
      <c r="F26">
        <f>[3]Population!H6</f>
        <v>496600</v>
      </c>
      <c r="G26">
        <f>[3]Population!I6</f>
        <v>507900</v>
      </c>
      <c r="H26">
        <f>[3]Population!J6</f>
        <v>517400</v>
      </c>
    </row>
    <row r="27" spans="1:8" x14ac:dyDescent="0.2">
      <c r="A27" t="str">
        <f ca="1">OFFSET(Waikato_Reference,0,2)</f>
        <v>Pedestrian</v>
      </c>
      <c r="B27" s="4"/>
      <c r="C27" s="4"/>
      <c r="D27" s="4"/>
      <c r="E27" s="4"/>
      <c r="F27" s="4"/>
      <c r="G27" s="4"/>
      <c r="H27" s="4"/>
    </row>
    <row r="28" spans="1:8" x14ac:dyDescent="0.2">
      <c r="A28" t="str">
        <f ca="1">OFFSET(Waikato_Reference,7,2)</f>
        <v>Cyclist</v>
      </c>
      <c r="B28" s="4"/>
      <c r="C28" s="4"/>
      <c r="D28" s="4"/>
      <c r="E28" s="4"/>
      <c r="F28" s="4"/>
      <c r="G28" s="4"/>
      <c r="H28" s="4"/>
    </row>
    <row r="29" spans="1:8" x14ac:dyDescent="0.2">
      <c r="A29" t="str">
        <f ca="1">OFFSET(Waikato_Reference,14,2)</f>
        <v>Light Vehicle Driver</v>
      </c>
      <c r="B29" s="4"/>
      <c r="C29" s="4"/>
      <c r="D29" s="4"/>
      <c r="E29" s="4"/>
      <c r="F29" s="4"/>
      <c r="G29" s="4"/>
      <c r="H29" s="4"/>
    </row>
    <row r="30" spans="1:8" x14ac:dyDescent="0.2">
      <c r="A30" t="str">
        <f ca="1">OFFSET(Waikato_Reference,21,2)</f>
        <v>Light Vehicle Passenger</v>
      </c>
      <c r="B30" s="4"/>
      <c r="C30" s="4"/>
      <c r="D30" s="4"/>
      <c r="E30" s="4"/>
      <c r="F30" s="4"/>
      <c r="G30" s="4"/>
      <c r="H30" s="4"/>
    </row>
    <row r="31" spans="1:8" x14ac:dyDescent="0.2">
      <c r="A31" t="str">
        <f ca="1">OFFSET(Waikato_Reference,28,2)</f>
        <v>Taxi/Vehicle Share</v>
      </c>
      <c r="B31" s="4"/>
      <c r="C31" s="4"/>
      <c r="D31" s="4"/>
      <c r="E31" s="4"/>
      <c r="F31" s="4"/>
      <c r="G31" s="4"/>
      <c r="H31" s="4"/>
    </row>
    <row r="32" spans="1:8" x14ac:dyDescent="0.2">
      <c r="A32" t="str">
        <f ca="1">OFFSET(Waikato_Reference,35,2)</f>
        <v>Motorcyclist</v>
      </c>
      <c r="B32" s="4"/>
      <c r="C32" s="4"/>
      <c r="D32" s="4"/>
      <c r="E32" s="4"/>
      <c r="F32" s="4"/>
      <c r="G32" s="4"/>
      <c r="H32" s="4"/>
    </row>
    <row r="33" spans="1:8" x14ac:dyDescent="0.2">
      <c r="A33" t="str">
        <f ca="1">OFFSET(Waikato_Reference,42,2)</f>
        <v>Local Train</v>
      </c>
      <c r="B33" s="4"/>
      <c r="C33" s="4"/>
      <c r="D33" s="4"/>
      <c r="E33" s="4"/>
      <c r="F33" s="4"/>
      <c r="G33" s="4"/>
      <c r="H33" s="4"/>
    </row>
    <row r="34" spans="1:8" x14ac:dyDescent="0.2">
      <c r="A34" t="str">
        <f ca="1">OFFSET(Waikato_Reference,49,2)</f>
        <v>Local Bus</v>
      </c>
      <c r="B34" s="4"/>
      <c r="C34" s="4"/>
      <c r="D34" s="4"/>
      <c r="E34" s="4"/>
      <c r="F34" s="4"/>
      <c r="G34" s="4"/>
      <c r="H34" s="4"/>
    </row>
    <row r="35" spans="1:8" x14ac:dyDescent="0.2">
      <c r="A35" t="str">
        <f ca="1">OFFSET(Waikato_Reference,56,2)</f>
        <v>Local Ferry</v>
      </c>
      <c r="B35" s="4"/>
      <c r="C35" s="4"/>
      <c r="D35" s="4"/>
      <c r="E35" s="4"/>
      <c r="F35" s="4"/>
      <c r="G35" s="4"/>
      <c r="H35" s="4"/>
    </row>
    <row r="36" spans="1:8" x14ac:dyDescent="0.2">
      <c r="A36" t="str">
        <f ca="1">OFFSET(Waikato_Reference,63,2)</f>
        <v>Other Household Travel</v>
      </c>
      <c r="B36" s="4"/>
      <c r="C36" s="4"/>
      <c r="D36" s="4"/>
      <c r="E36" s="4"/>
      <c r="F36" s="4"/>
      <c r="G36" s="4"/>
      <c r="H36" s="4"/>
    </row>
    <row r="37" spans="1:8" x14ac:dyDescent="0.2">
      <c r="A37" t="str">
        <f ca="1">OFFSET(BOP_Reference,0,0)</f>
        <v>04 BAY OF PLENTY</v>
      </c>
      <c r="B37">
        <f>[3]Population!D7</f>
        <v>279700</v>
      </c>
      <c r="C37">
        <f>[3]Population!E7</f>
        <v>291200</v>
      </c>
      <c r="D37">
        <f>[3]Population!F7</f>
        <v>301100</v>
      </c>
      <c r="E37">
        <f>[3]Population!G7</f>
        <v>310200</v>
      </c>
      <c r="F37">
        <f>[3]Population!H7</f>
        <v>318000</v>
      </c>
      <c r="G37">
        <f>[3]Population!I7</f>
        <v>324100</v>
      </c>
      <c r="H37">
        <f>[3]Population!J7</f>
        <v>328700</v>
      </c>
    </row>
    <row r="38" spans="1:8" x14ac:dyDescent="0.2">
      <c r="A38" t="str">
        <f ca="1">OFFSET(BOP_Reference,0,2)</f>
        <v>Pedestrian</v>
      </c>
      <c r="B38" s="4"/>
      <c r="C38" s="4"/>
      <c r="D38" s="4"/>
      <c r="E38" s="4"/>
      <c r="F38" s="4"/>
      <c r="G38" s="4"/>
      <c r="H38" s="4"/>
    </row>
    <row r="39" spans="1:8" x14ac:dyDescent="0.2">
      <c r="A39" t="str">
        <f ca="1">OFFSET(BOP_Reference,7,2)</f>
        <v>Cyclist</v>
      </c>
      <c r="B39" s="4"/>
      <c r="C39" s="4"/>
      <c r="D39" s="4"/>
      <c r="E39" s="4"/>
      <c r="F39" s="4"/>
      <c r="G39" s="4"/>
      <c r="H39" s="4"/>
    </row>
    <row r="40" spans="1:8" x14ac:dyDescent="0.2">
      <c r="A40" t="str">
        <f ca="1">OFFSET(BOP_Reference,14,2)</f>
        <v>Light Vehicle Driver</v>
      </c>
      <c r="B40" s="4"/>
      <c r="C40" s="4"/>
      <c r="D40" s="4"/>
      <c r="E40" s="4"/>
      <c r="F40" s="4"/>
      <c r="G40" s="4"/>
      <c r="H40" s="4"/>
    </row>
    <row r="41" spans="1:8" x14ac:dyDescent="0.2">
      <c r="A41" t="str">
        <f ca="1">OFFSET(BOP_Reference,21,2)</f>
        <v>Light Vehicle Passenger</v>
      </c>
      <c r="B41" s="4"/>
      <c r="C41" s="4"/>
      <c r="D41" s="4"/>
      <c r="E41" s="4"/>
      <c r="F41" s="4"/>
      <c r="G41" s="4"/>
      <c r="H41" s="4"/>
    </row>
    <row r="42" spans="1:8" x14ac:dyDescent="0.2">
      <c r="A42" t="str">
        <f ca="1">OFFSET(BOP_Reference,28,2)</f>
        <v>Taxi/Vehicle Share</v>
      </c>
      <c r="B42" s="4"/>
      <c r="C42" s="4"/>
      <c r="D42" s="4"/>
      <c r="E42" s="4"/>
      <c r="F42" s="4"/>
      <c r="G42" s="4"/>
      <c r="H42" s="4"/>
    </row>
    <row r="43" spans="1:8" x14ac:dyDescent="0.2">
      <c r="A43" t="str">
        <f ca="1">OFFSET(BOP_Reference,35,2)</f>
        <v>Motorcyclist</v>
      </c>
      <c r="B43" s="4"/>
      <c r="C43" s="4"/>
      <c r="D43" s="4"/>
      <c r="E43" s="4"/>
      <c r="F43" s="4"/>
      <c r="G43" s="4"/>
      <c r="H43" s="4"/>
    </row>
    <row r="44" spans="1:8" x14ac:dyDescent="0.2">
      <c r="A44" t="str">
        <f ca="1">OFFSET(Auckland_Reference,42,2)</f>
        <v>Local Train</v>
      </c>
      <c r="B44" s="4"/>
      <c r="C44" s="4"/>
      <c r="D44" s="4"/>
      <c r="E44" s="4"/>
      <c r="F44" s="4"/>
      <c r="G44" s="4"/>
      <c r="H44" s="4"/>
    </row>
    <row r="45" spans="1:8" x14ac:dyDescent="0.2">
      <c r="A45" t="str">
        <f ca="1">OFFSET(BOP_Reference,42,2)</f>
        <v>Local Bus</v>
      </c>
      <c r="B45" s="4"/>
      <c r="C45" s="4"/>
      <c r="D45" s="4"/>
      <c r="E45" s="4"/>
      <c r="F45" s="4"/>
      <c r="G45" s="4"/>
      <c r="H45" s="4"/>
    </row>
    <row r="46" spans="1:8" x14ac:dyDescent="0.2">
      <c r="A46" t="str">
        <f ca="1">OFFSET(Waikato_Reference,56,2)</f>
        <v>Local Ferry</v>
      </c>
      <c r="B46" s="4"/>
      <c r="C46" s="4"/>
      <c r="D46" s="4"/>
      <c r="E46" s="4"/>
      <c r="F46" s="4"/>
      <c r="G46" s="4"/>
      <c r="H46" s="4"/>
    </row>
    <row r="47" spans="1:8" x14ac:dyDescent="0.2">
      <c r="A47" t="str">
        <f ca="1">OFFSET(BOP_Reference,49,2)</f>
        <v>Other Household Travel</v>
      </c>
      <c r="B47" s="4"/>
      <c r="C47" s="4"/>
      <c r="D47" s="4"/>
      <c r="E47" s="4"/>
      <c r="F47" s="4"/>
      <c r="G47" s="4"/>
      <c r="H47" s="4"/>
    </row>
    <row r="48" spans="1:8" x14ac:dyDescent="0.2">
      <c r="A48" t="str">
        <f ca="1">OFFSET(Gisborne_Reference,0,0)</f>
        <v>05 GISBORNE</v>
      </c>
      <c r="B48">
        <f>[3]Population!D8</f>
        <v>47000</v>
      </c>
      <c r="C48">
        <f>[3]Population!E8</f>
        <v>47800</v>
      </c>
      <c r="D48">
        <f>[3]Population!F8</f>
        <v>48300</v>
      </c>
      <c r="E48">
        <f>[3]Population!G8</f>
        <v>48600</v>
      </c>
      <c r="F48">
        <f>[3]Population!H8</f>
        <v>48600</v>
      </c>
      <c r="G48">
        <f>[3]Population!I8</f>
        <v>48200</v>
      </c>
      <c r="H48">
        <f>[3]Population!J8</f>
        <v>47600</v>
      </c>
    </row>
    <row r="49" spans="1:8" x14ac:dyDescent="0.2">
      <c r="A49" t="str">
        <f ca="1">OFFSET(Gisborne_Reference,0,2)</f>
        <v>Pedestrian</v>
      </c>
      <c r="B49" s="4"/>
      <c r="C49" s="4"/>
      <c r="D49" s="4"/>
      <c r="E49" s="4"/>
      <c r="F49" s="4"/>
      <c r="G49" s="4"/>
      <c r="H49" s="4"/>
    </row>
    <row r="50" spans="1:8" x14ac:dyDescent="0.2">
      <c r="A50" t="str">
        <f ca="1">OFFSET(Gisborne_Reference,7,2)</f>
        <v>Cyclist</v>
      </c>
      <c r="B50" s="4"/>
      <c r="C50" s="4"/>
      <c r="D50" s="4"/>
      <c r="E50" s="4"/>
      <c r="F50" s="4"/>
      <c r="G50" s="4"/>
      <c r="H50" s="4"/>
    </row>
    <row r="51" spans="1:8" x14ac:dyDescent="0.2">
      <c r="A51" t="str">
        <f ca="1">OFFSET(Gisborne_Reference,14,2)</f>
        <v>Light Vehicle Driver</v>
      </c>
      <c r="B51" s="4"/>
      <c r="C51" s="4"/>
      <c r="D51" s="4"/>
      <c r="E51" s="4"/>
      <c r="F51" s="4"/>
      <c r="G51" s="4"/>
      <c r="H51" s="4"/>
    </row>
    <row r="52" spans="1:8" x14ac:dyDescent="0.2">
      <c r="A52" t="str">
        <f ca="1">OFFSET(Gisborne_Reference,21,2)</f>
        <v>Light Vehicle Passenger</v>
      </c>
      <c r="B52" s="4"/>
      <c r="C52" s="4"/>
      <c r="D52" s="4"/>
      <c r="E52" s="4"/>
      <c r="F52" s="4"/>
      <c r="G52" s="4"/>
      <c r="H52" s="4"/>
    </row>
    <row r="53" spans="1:8" x14ac:dyDescent="0.2">
      <c r="A53" t="str">
        <f ca="1">OFFSET(Gisborne_Reference,28,2)</f>
        <v>Taxi/Vehicle Share</v>
      </c>
      <c r="B53" s="4"/>
      <c r="C53" s="4"/>
      <c r="D53" s="4"/>
      <c r="E53" s="4"/>
      <c r="F53" s="4"/>
      <c r="G53" s="4"/>
      <c r="H53" s="4"/>
    </row>
    <row r="54" spans="1:8" x14ac:dyDescent="0.2">
      <c r="A54" t="str">
        <f ca="1">OFFSET(Gisborne_Reference,35,2)</f>
        <v>Motorcyclist</v>
      </c>
      <c r="B54" s="4"/>
      <c r="C54" s="4"/>
      <c r="D54" s="4"/>
      <c r="E54" s="4"/>
      <c r="F54" s="4"/>
      <c r="G54" s="4"/>
      <c r="H54" s="4"/>
    </row>
    <row r="55" spans="1:8" x14ac:dyDescent="0.2">
      <c r="A55" t="str">
        <f ca="1">OFFSET(Gisborne_Reference,42,2)</f>
        <v>Local Train</v>
      </c>
      <c r="B55" s="4"/>
      <c r="C55" s="4"/>
      <c r="D55" s="4"/>
      <c r="E55" s="4"/>
      <c r="F55" s="4"/>
      <c r="G55" s="4"/>
      <c r="H55" s="4"/>
    </row>
    <row r="56" spans="1:8" x14ac:dyDescent="0.2">
      <c r="A56" t="str">
        <f ca="1">OFFSET(Gisborne_Reference,49,2)</f>
        <v>Local Bus</v>
      </c>
      <c r="B56" s="4"/>
      <c r="C56" s="4"/>
      <c r="D56" s="4"/>
      <c r="E56" s="4"/>
      <c r="F56" s="4"/>
      <c r="G56" s="4"/>
      <c r="H56" s="4"/>
    </row>
    <row r="57" spans="1:8" x14ac:dyDescent="0.2">
      <c r="A57" t="str">
        <f ca="1">OFFSET(Gisborne_Reference,56,2)</f>
        <v>Local Ferry</v>
      </c>
      <c r="B57" s="4"/>
      <c r="C57" s="4"/>
      <c r="D57" s="4"/>
      <c r="E57" s="4"/>
      <c r="F57" s="4"/>
      <c r="G57" s="4"/>
      <c r="H57" s="4"/>
    </row>
    <row r="58" spans="1:8" x14ac:dyDescent="0.2">
      <c r="A58" t="str">
        <f ca="1">OFFSET(Gisborne_Reference,63,2)</f>
        <v>Other Household Travel</v>
      </c>
      <c r="B58" s="4"/>
      <c r="C58" s="4"/>
      <c r="D58" s="4"/>
      <c r="E58" s="4"/>
      <c r="F58" s="4"/>
      <c r="G58" s="4"/>
      <c r="H58" s="4"/>
    </row>
    <row r="59" spans="1:8" x14ac:dyDescent="0.2">
      <c r="A59" t="str">
        <f ca="1">OFFSET(Hawkes_Bay_Reference,0,0)</f>
        <v>06 HAWKE`S BAY</v>
      </c>
      <c r="B59">
        <f>[3]Population!D9</f>
        <v>158000</v>
      </c>
      <c r="C59">
        <f>[3]Population!E9</f>
        <v>162400</v>
      </c>
      <c r="D59">
        <f>[3]Population!F9</f>
        <v>164600</v>
      </c>
      <c r="E59">
        <f>[3]Population!G9</f>
        <v>166200</v>
      </c>
      <c r="F59">
        <f>[3]Population!H9</f>
        <v>166600</v>
      </c>
      <c r="G59">
        <f>[3]Population!I9</f>
        <v>165800</v>
      </c>
      <c r="H59">
        <f>[3]Population!J9</f>
        <v>164000</v>
      </c>
    </row>
    <row r="60" spans="1:8" x14ac:dyDescent="0.2">
      <c r="A60" t="str">
        <f ca="1">OFFSET(Hawkes_Bay_Reference,0,2)</f>
        <v>Pedestrian</v>
      </c>
      <c r="B60" s="4"/>
      <c r="C60" s="4"/>
      <c r="D60" s="4"/>
      <c r="E60" s="4"/>
      <c r="F60" s="4"/>
      <c r="G60" s="4"/>
      <c r="H60" s="4"/>
    </row>
    <row r="61" spans="1:8" x14ac:dyDescent="0.2">
      <c r="A61" t="str">
        <f ca="1">OFFSET(Hawkes_Bay_Reference,7,2)</f>
        <v>Cyclist</v>
      </c>
      <c r="B61" s="4"/>
      <c r="C61" s="4"/>
      <c r="D61" s="4"/>
      <c r="E61" s="4"/>
      <c r="F61" s="4"/>
      <c r="G61" s="4"/>
      <c r="H61" s="4"/>
    </row>
    <row r="62" spans="1:8" x14ac:dyDescent="0.2">
      <c r="A62" t="str">
        <f ca="1">OFFSET(Hawkes_Bay_Reference,14,2)</f>
        <v>Light Vehicle Driver</v>
      </c>
      <c r="B62" s="4"/>
      <c r="C62" s="4"/>
      <c r="D62" s="4"/>
      <c r="E62" s="4"/>
      <c r="F62" s="4"/>
      <c r="G62" s="4"/>
      <c r="H62" s="4"/>
    </row>
    <row r="63" spans="1:8" x14ac:dyDescent="0.2">
      <c r="A63" t="str">
        <f ca="1">OFFSET(Hawkes_Bay_Reference,21,2)</f>
        <v>Light Vehicle Passenger</v>
      </c>
      <c r="B63" s="4"/>
      <c r="C63" s="4"/>
      <c r="D63" s="4"/>
      <c r="E63" s="4"/>
      <c r="F63" s="4"/>
      <c r="G63" s="4"/>
      <c r="H63" s="4"/>
    </row>
    <row r="64" spans="1:8" x14ac:dyDescent="0.2">
      <c r="A64" t="str">
        <f ca="1">OFFSET(Hawkes_Bay_Reference,28,2)</f>
        <v>Taxi/Vehicle Share</v>
      </c>
      <c r="B64" s="4"/>
      <c r="C64" s="4"/>
      <c r="D64" s="4"/>
      <c r="E64" s="4"/>
      <c r="F64" s="4"/>
      <c r="G64" s="4"/>
      <c r="H64" s="4"/>
    </row>
    <row r="65" spans="1:8" x14ac:dyDescent="0.2">
      <c r="A65" t="str">
        <f ca="1">OFFSET(Hawkes_Bay_Reference,35,2)</f>
        <v>Motorcyclist</v>
      </c>
      <c r="B65" s="4"/>
      <c r="C65" s="4"/>
      <c r="D65" s="4"/>
      <c r="E65" s="4"/>
      <c r="F65" s="4"/>
      <c r="G65" s="4"/>
      <c r="H65" s="4"/>
    </row>
    <row r="66" spans="1:8" x14ac:dyDescent="0.2">
      <c r="A66" t="str">
        <f ca="1">OFFSET(Auckland_Reference,42,2)</f>
        <v>Local Train</v>
      </c>
      <c r="B66" s="4"/>
      <c r="C66" s="4"/>
      <c r="D66" s="4"/>
      <c r="E66" s="4"/>
      <c r="F66" s="4"/>
      <c r="G66" s="4"/>
      <c r="H66" s="4"/>
    </row>
    <row r="67" spans="1:8" x14ac:dyDescent="0.2">
      <c r="A67" t="str">
        <f ca="1">OFFSET(Hawkes_Bay_Reference,42,2)</f>
        <v>Local Bus</v>
      </c>
      <c r="B67" s="4"/>
      <c r="C67" s="4"/>
      <c r="D67" s="4"/>
      <c r="E67" s="4"/>
      <c r="F67" s="4"/>
      <c r="G67" s="4"/>
      <c r="H67" s="4"/>
    </row>
    <row r="68" spans="1:8" x14ac:dyDescent="0.2">
      <c r="A68" t="str">
        <f ca="1">OFFSET(Waikato_Reference,56,2)</f>
        <v>Local Ferry</v>
      </c>
      <c r="B68" s="4"/>
      <c r="C68" s="4"/>
      <c r="D68" s="4"/>
      <c r="E68" s="4"/>
      <c r="F68" s="4"/>
      <c r="G68" s="4"/>
      <c r="H68" s="4"/>
    </row>
    <row r="69" spans="1:8" x14ac:dyDescent="0.2">
      <c r="A69" t="str">
        <f ca="1">OFFSET(Hawkes_Bay_Reference,49,2)</f>
        <v>Other Household Travel</v>
      </c>
      <c r="B69" s="4"/>
      <c r="C69" s="4"/>
      <c r="D69" s="4"/>
      <c r="E69" s="4"/>
      <c r="F69" s="4"/>
      <c r="G69" s="4"/>
      <c r="H69" s="4"/>
    </row>
    <row r="70" spans="1:8" x14ac:dyDescent="0.2">
      <c r="A70" t="str">
        <f ca="1">OFFSET(Taranaki_Reference,0,0)</f>
        <v>07 TARANAKI</v>
      </c>
      <c r="B70">
        <f>[3]Population!D10</f>
        <v>113600</v>
      </c>
      <c r="C70">
        <f>[3]Population!E10</f>
        <v>118800</v>
      </c>
      <c r="D70">
        <f>[3]Population!F10</f>
        <v>122000</v>
      </c>
      <c r="E70">
        <f>[3]Population!G10</f>
        <v>124900</v>
      </c>
      <c r="F70">
        <f>[3]Population!H10</f>
        <v>127200</v>
      </c>
      <c r="G70">
        <f>[3]Population!I10</f>
        <v>128900</v>
      </c>
      <c r="H70">
        <f>[3]Population!J10</f>
        <v>130200</v>
      </c>
    </row>
    <row r="71" spans="1:8" x14ac:dyDescent="0.2">
      <c r="A71" t="str">
        <f ca="1">OFFSET(Taranaki_Reference,0,2)</f>
        <v>Pedestrian</v>
      </c>
      <c r="B71" s="4"/>
      <c r="C71" s="4"/>
      <c r="D71" s="4"/>
      <c r="E71" s="4"/>
      <c r="F71" s="4"/>
      <c r="G71" s="4"/>
      <c r="H71" s="4"/>
    </row>
    <row r="72" spans="1:8" x14ac:dyDescent="0.2">
      <c r="A72" t="str">
        <f ca="1">OFFSET(Taranaki_Reference,7,2)</f>
        <v>Cyclist</v>
      </c>
      <c r="B72" s="4"/>
      <c r="C72" s="4"/>
      <c r="D72" s="4"/>
      <c r="E72" s="4"/>
      <c r="F72" s="4"/>
      <c r="G72" s="4"/>
      <c r="H72" s="4"/>
    </row>
    <row r="73" spans="1:8" x14ac:dyDescent="0.2">
      <c r="A73" t="str">
        <f ca="1">OFFSET(Taranaki_Reference,14,2)</f>
        <v>Light Vehicle Driver</v>
      </c>
      <c r="B73" s="4"/>
      <c r="C73" s="4"/>
      <c r="D73" s="4"/>
      <c r="E73" s="4"/>
      <c r="F73" s="4"/>
      <c r="G73" s="4"/>
      <c r="H73" s="4"/>
    </row>
    <row r="74" spans="1:8" x14ac:dyDescent="0.2">
      <c r="A74" t="str">
        <f ca="1">OFFSET(Taranaki_Reference,21,2)</f>
        <v>Light Vehicle Passenger</v>
      </c>
      <c r="B74" s="4"/>
      <c r="C74" s="4"/>
      <c r="D74" s="4"/>
      <c r="E74" s="4"/>
      <c r="F74" s="4"/>
      <c r="G74" s="4"/>
      <c r="H74" s="4"/>
    </row>
    <row r="75" spans="1:8" x14ac:dyDescent="0.2">
      <c r="A75" t="str">
        <f ca="1">OFFSET(Taranaki_Reference,28,2)</f>
        <v>Taxi/Vehicle Share</v>
      </c>
      <c r="B75" s="4"/>
      <c r="C75" s="4"/>
      <c r="D75" s="4"/>
      <c r="E75" s="4"/>
      <c r="F75" s="4"/>
      <c r="G75" s="4"/>
      <c r="H75" s="4"/>
    </row>
    <row r="76" spans="1:8" x14ac:dyDescent="0.2">
      <c r="A76" t="str">
        <f ca="1">OFFSET(Taranaki_Reference,35,2)</f>
        <v>Motorcyclist</v>
      </c>
      <c r="B76" s="4"/>
      <c r="C76" s="4"/>
      <c r="D76" s="4"/>
      <c r="E76" s="4"/>
      <c r="F76" s="4"/>
      <c r="G76" s="4"/>
      <c r="H76" s="4"/>
    </row>
    <row r="77" spans="1:8" x14ac:dyDescent="0.2">
      <c r="A77" t="str">
        <f ca="1">OFFSET(Taranaki_Reference,42,2)</f>
        <v>Local Train</v>
      </c>
      <c r="B77" s="4"/>
      <c r="C77" s="4"/>
      <c r="D77" s="4"/>
      <c r="E77" s="4"/>
      <c r="F77" s="4"/>
      <c r="G77" s="4"/>
      <c r="H77" s="4"/>
    </row>
    <row r="78" spans="1:8" x14ac:dyDescent="0.2">
      <c r="A78" t="str">
        <f ca="1">OFFSET(Taranaki_Reference,49,2)</f>
        <v>Local Bus</v>
      </c>
      <c r="B78" s="4"/>
      <c r="C78" s="4"/>
      <c r="D78" s="4"/>
      <c r="E78" s="4"/>
      <c r="F78" s="4"/>
      <c r="G78" s="4"/>
      <c r="H78" s="4"/>
    </row>
    <row r="79" spans="1:8" x14ac:dyDescent="0.2">
      <c r="A79" t="str">
        <f ca="1">OFFSET(Waikato_Reference,56,2)</f>
        <v>Local Ferry</v>
      </c>
      <c r="B79" s="4"/>
      <c r="C79" s="4"/>
      <c r="D79" s="4"/>
      <c r="E79" s="4"/>
      <c r="F79" s="4"/>
      <c r="G79" s="4"/>
      <c r="H79" s="4"/>
    </row>
    <row r="80" spans="1:8" x14ac:dyDescent="0.2">
      <c r="A80" t="str">
        <f ca="1">OFFSET(Taranaki_Reference,56,2)</f>
        <v>Other Household Travel</v>
      </c>
      <c r="B80" s="4"/>
      <c r="C80" s="4"/>
      <c r="D80" s="4"/>
      <c r="E80" s="4"/>
      <c r="F80" s="4"/>
      <c r="G80" s="4"/>
      <c r="H80" s="4"/>
    </row>
    <row r="81" spans="1:8" x14ac:dyDescent="0.2">
      <c r="A81" t="str">
        <f ca="1">OFFSET(Manawatu_Reference,0,0)</f>
        <v>08 MANAWATU-WANGANUI</v>
      </c>
      <c r="B81">
        <f>[3]Population!D11</f>
        <v>231200</v>
      </c>
      <c r="C81">
        <f>[3]Population!E11</f>
        <v>234800</v>
      </c>
      <c r="D81">
        <f>[3]Population!F11</f>
        <v>237000</v>
      </c>
      <c r="E81">
        <f>[3]Population!G11</f>
        <v>238500</v>
      </c>
      <c r="F81">
        <f>[3]Population!H11</f>
        <v>238600</v>
      </c>
      <c r="G81">
        <f>[3]Population!I11</f>
        <v>237300</v>
      </c>
      <c r="H81">
        <f>[3]Population!J11</f>
        <v>234700</v>
      </c>
    </row>
    <row r="82" spans="1:8" x14ac:dyDescent="0.2">
      <c r="A82" t="str">
        <f ca="1">OFFSET(Manawatu_Reference,0,2)</f>
        <v>Pedestrian</v>
      </c>
      <c r="B82" s="4"/>
      <c r="C82" s="4"/>
      <c r="D82" s="4"/>
      <c r="E82" s="4"/>
      <c r="F82" s="4"/>
      <c r="G82" s="4"/>
      <c r="H82" s="4"/>
    </row>
    <row r="83" spans="1:8" x14ac:dyDescent="0.2">
      <c r="A83" t="str">
        <f ca="1">OFFSET(Manawatu_Reference,7,2)</f>
        <v>Cyclist</v>
      </c>
      <c r="B83" s="4"/>
      <c r="C83" s="4"/>
      <c r="D83" s="4"/>
      <c r="E83" s="4"/>
      <c r="F83" s="4"/>
      <c r="G83" s="4"/>
      <c r="H83" s="4"/>
    </row>
    <row r="84" spans="1:8" x14ac:dyDescent="0.2">
      <c r="A84" t="str">
        <f ca="1">OFFSET(Manawatu_Reference,14,2)</f>
        <v>Light Vehicle Driver</v>
      </c>
      <c r="B84" s="4"/>
      <c r="C84" s="4"/>
      <c r="D84" s="4"/>
      <c r="E84" s="4"/>
      <c r="F84" s="4"/>
      <c r="G84" s="4"/>
      <c r="H84" s="4"/>
    </row>
    <row r="85" spans="1:8" x14ac:dyDescent="0.2">
      <c r="A85" t="str">
        <f ca="1">OFFSET(Manawatu_Reference,21,2)</f>
        <v>Light Vehicle Passenger</v>
      </c>
      <c r="B85" s="4"/>
      <c r="C85" s="4"/>
      <c r="D85" s="4"/>
      <c r="E85" s="4"/>
      <c r="F85" s="4"/>
      <c r="G85" s="4"/>
      <c r="H85" s="4"/>
    </row>
    <row r="86" spans="1:8" x14ac:dyDescent="0.2">
      <c r="A86" t="str">
        <f ca="1">OFFSET(Manawatu_Reference,28,2)</f>
        <v>Taxi/Vehicle Share</v>
      </c>
      <c r="B86" s="4"/>
      <c r="C86" s="4"/>
      <c r="D86" s="4"/>
      <c r="E86" s="4"/>
      <c r="F86" s="4"/>
      <c r="G86" s="4"/>
      <c r="H86" s="4"/>
    </row>
    <row r="87" spans="1:8" x14ac:dyDescent="0.2">
      <c r="A87" t="str">
        <f ca="1">OFFSET(Manawatu_Reference,35,2)</f>
        <v>Motorcyclist</v>
      </c>
      <c r="B87" s="4"/>
      <c r="C87" s="4"/>
      <c r="D87" s="4"/>
      <c r="E87" s="4"/>
      <c r="F87" s="4"/>
      <c r="G87" s="4"/>
      <c r="H87" s="4"/>
    </row>
    <row r="88" spans="1:8" x14ac:dyDescent="0.2">
      <c r="A88" t="str">
        <f ca="1">OFFSET(Taranaki_Reference,42,2)</f>
        <v>Local Train</v>
      </c>
      <c r="B88" s="4"/>
      <c r="C88" s="4"/>
      <c r="D88" s="4"/>
      <c r="E88" s="4"/>
      <c r="F88" s="4"/>
      <c r="G88" s="4"/>
      <c r="H88" s="4"/>
    </row>
    <row r="89" spans="1:8" x14ac:dyDescent="0.2">
      <c r="A89" t="str">
        <f ca="1">OFFSET(Manawatu_Reference,42,2)</f>
        <v>Local Bus</v>
      </c>
      <c r="B89" s="4"/>
      <c r="C89" s="4"/>
      <c r="D89" s="4"/>
      <c r="E89" s="4"/>
      <c r="F89" s="4"/>
      <c r="G89" s="4"/>
      <c r="H89" s="4"/>
    </row>
    <row r="90" spans="1:8" x14ac:dyDescent="0.2">
      <c r="A90" t="str">
        <f ca="1">OFFSET(Manawatu_Reference,49,2)</f>
        <v>Local Ferry</v>
      </c>
      <c r="B90" s="4"/>
      <c r="C90" s="4"/>
      <c r="D90" s="4"/>
      <c r="E90" s="4"/>
      <c r="F90" s="4"/>
      <c r="G90" s="4"/>
      <c r="H90" s="4"/>
    </row>
    <row r="91" spans="1:8" x14ac:dyDescent="0.2">
      <c r="A91" t="str">
        <f ca="1">OFFSET(Manawatu_Reference,56,2)</f>
        <v>Other Household Travel</v>
      </c>
      <c r="B91" s="4"/>
      <c r="C91" s="4"/>
      <c r="D91" s="4"/>
      <c r="E91" s="4"/>
      <c r="F91" s="4"/>
      <c r="G91" s="4"/>
      <c r="H91" s="4"/>
    </row>
    <row r="92" spans="1:8" x14ac:dyDescent="0.2">
      <c r="A92" t="str">
        <f ca="1">OFFSET(Wellington_Reference,0,0)</f>
        <v>09 WELLINGTON</v>
      </c>
      <c r="B92">
        <f>[3]Population!D12</f>
        <v>486700</v>
      </c>
      <c r="C92">
        <f>[3]Population!E12</f>
        <v>505800</v>
      </c>
      <c r="D92">
        <f>[3]Population!F12</f>
        <v>518200</v>
      </c>
      <c r="E92">
        <f>[3]Population!G12</f>
        <v>529500</v>
      </c>
      <c r="F92">
        <f>[3]Population!H12</f>
        <v>538500</v>
      </c>
      <c r="G92">
        <f>[3]Population!I12</f>
        <v>544700</v>
      </c>
      <c r="H92">
        <f>[3]Population!J12</f>
        <v>548400</v>
      </c>
    </row>
    <row r="93" spans="1:8" x14ac:dyDescent="0.2">
      <c r="A93" t="str">
        <f ca="1">OFFSET(Wellington_Reference,0,2)</f>
        <v>Pedestrian</v>
      </c>
      <c r="B93" s="4"/>
      <c r="C93" s="4"/>
      <c r="D93" s="4"/>
      <c r="E93" s="4"/>
      <c r="F93" s="4"/>
      <c r="G93" s="4"/>
      <c r="H93" s="4"/>
    </row>
    <row r="94" spans="1:8" x14ac:dyDescent="0.2">
      <c r="A94" t="str">
        <f ca="1">OFFSET(Wellington_Reference,7,2)</f>
        <v>Cyclist</v>
      </c>
      <c r="B94" s="4"/>
      <c r="C94" s="4"/>
      <c r="D94" s="4"/>
      <c r="E94" s="4"/>
      <c r="F94" s="4"/>
      <c r="G94" s="4"/>
      <c r="H94" s="4"/>
    </row>
    <row r="95" spans="1:8" x14ac:dyDescent="0.2">
      <c r="A95" t="str">
        <f ca="1">OFFSET(Wellington_Reference,14,2)</f>
        <v>Light Vehicle Driver</v>
      </c>
      <c r="B95" s="4"/>
      <c r="C95" s="4"/>
      <c r="D95" s="4"/>
      <c r="E95" s="4"/>
      <c r="F95" s="4"/>
      <c r="G95" s="4"/>
      <c r="H95" s="4"/>
    </row>
    <row r="96" spans="1:8" x14ac:dyDescent="0.2">
      <c r="A96" t="str">
        <f ca="1">OFFSET(Wellington_Reference,21,2)</f>
        <v>Light Vehicle Passenger</v>
      </c>
      <c r="B96" s="4"/>
      <c r="C96" s="4"/>
      <c r="D96" s="4"/>
      <c r="E96" s="4"/>
      <c r="F96" s="4"/>
      <c r="G96" s="4"/>
      <c r="H96" s="4"/>
    </row>
    <row r="97" spans="1:8" x14ac:dyDescent="0.2">
      <c r="A97" t="str">
        <f ca="1">OFFSET(Wellington_Reference,28,2)</f>
        <v>Taxi/Vehicle Share</v>
      </c>
      <c r="B97" s="4"/>
      <c r="C97" s="4"/>
      <c r="D97" s="4"/>
      <c r="E97" s="4"/>
      <c r="F97" s="4"/>
      <c r="G97" s="4"/>
      <c r="H97" s="4"/>
    </row>
    <row r="98" spans="1:8" x14ac:dyDescent="0.2">
      <c r="A98" t="str">
        <f ca="1">OFFSET(Wellington_Reference,35,2)</f>
        <v>Motorcyclist</v>
      </c>
      <c r="B98" s="4"/>
      <c r="C98" s="4"/>
      <c r="D98" s="4"/>
      <c r="E98" s="4"/>
      <c r="F98" s="4"/>
      <c r="G98" s="4"/>
      <c r="H98" s="4"/>
    </row>
    <row r="99" spans="1:8" x14ac:dyDescent="0.2">
      <c r="A99" t="str">
        <f ca="1">OFFSET(Wellington_Reference,42,2)</f>
        <v>Local Train</v>
      </c>
      <c r="B99" s="4"/>
      <c r="C99" s="4"/>
      <c r="D99" s="4"/>
      <c r="E99" s="4"/>
      <c r="F99" s="4"/>
      <c r="G99" s="4"/>
      <c r="H99" s="4"/>
    </row>
    <row r="100" spans="1:8" x14ac:dyDescent="0.2">
      <c r="A100" t="str">
        <f ca="1">OFFSET(Wellington_Reference,49,2)</f>
        <v>Local Bus</v>
      </c>
      <c r="B100" s="4"/>
      <c r="C100" s="4"/>
      <c r="D100" s="4"/>
      <c r="E100" s="4"/>
      <c r="F100" s="4"/>
      <c r="G100" s="4"/>
      <c r="H100" s="4"/>
    </row>
    <row r="101" spans="1:8" x14ac:dyDescent="0.2">
      <c r="A101" t="str">
        <f ca="1">OFFSET(Wellington_Reference,56,2)</f>
        <v>Local Ferry</v>
      </c>
      <c r="B101" s="4"/>
      <c r="C101" s="4"/>
      <c r="D101" s="4"/>
      <c r="E101" s="4"/>
      <c r="F101" s="4"/>
      <c r="G101" s="4"/>
      <c r="H101" s="4"/>
    </row>
    <row r="102" spans="1:8" x14ac:dyDescent="0.2">
      <c r="A102" t="str">
        <f ca="1">OFFSET(Wellington_Reference,63,2)</f>
        <v>Other Household Travel</v>
      </c>
      <c r="B102" s="4"/>
      <c r="C102" s="4"/>
      <c r="D102" s="4"/>
      <c r="E102" s="4"/>
      <c r="F102" s="4"/>
      <c r="G102" s="4"/>
      <c r="H102" s="4"/>
    </row>
    <row r="103" spans="1:8" x14ac:dyDescent="0.2">
      <c r="A103" t="str">
        <f ca="1">OFFSET(Nelson_Reference,0,0)</f>
        <v>10 NELS-MARLB-TAS</v>
      </c>
      <c r="B103">
        <f>[3]Population!D13</f>
        <v>142200</v>
      </c>
      <c r="C103">
        <f>[3]Population!E13</f>
        <v>147900</v>
      </c>
      <c r="D103">
        <f>[3]Population!F13</f>
        <v>151500</v>
      </c>
      <c r="E103">
        <f>[3]Population!G13</f>
        <v>154400</v>
      </c>
      <c r="F103">
        <f>[3]Population!H13</f>
        <v>156200</v>
      </c>
      <c r="G103">
        <f>[3]Population!I13</f>
        <v>156900</v>
      </c>
      <c r="H103">
        <f>[3]Population!J13</f>
        <v>156600</v>
      </c>
    </row>
    <row r="104" spans="1:8" x14ac:dyDescent="0.2">
      <c r="A104" t="str">
        <f ca="1">OFFSET(Nelson_Reference,0,2)</f>
        <v>Pedestrian</v>
      </c>
      <c r="B104" s="4"/>
      <c r="C104" s="4"/>
      <c r="D104" s="4"/>
      <c r="E104" s="4"/>
      <c r="F104" s="4"/>
      <c r="G104" s="4"/>
      <c r="H104" s="4"/>
    </row>
    <row r="105" spans="1:8" x14ac:dyDescent="0.2">
      <c r="A105" t="str">
        <f ca="1">OFFSET(Nelson_Reference,7,2)</f>
        <v>Cyclist</v>
      </c>
      <c r="B105" s="4"/>
      <c r="C105" s="4"/>
      <c r="D105" s="4"/>
      <c r="E105" s="4"/>
      <c r="F105" s="4"/>
      <c r="G105" s="4"/>
      <c r="H105" s="4"/>
    </row>
    <row r="106" spans="1:8" x14ac:dyDescent="0.2">
      <c r="A106" t="str">
        <f ca="1">OFFSET(Nelson_Reference,14,2)</f>
        <v>Light Vehicle Driver</v>
      </c>
      <c r="B106" s="4"/>
      <c r="C106" s="4"/>
      <c r="D106" s="4"/>
      <c r="E106" s="4"/>
      <c r="F106" s="4"/>
      <c r="G106" s="4"/>
      <c r="H106" s="4"/>
    </row>
    <row r="107" spans="1:8" x14ac:dyDescent="0.2">
      <c r="A107" t="str">
        <f ca="1">OFFSET(Nelson_Reference,21,2)</f>
        <v>Light Vehicle Passenger</v>
      </c>
      <c r="B107" s="4"/>
      <c r="C107" s="4"/>
      <c r="D107" s="4"/>
      <c r="E107" s="4"/>
      <c r="F107" s="4"/>
      <c r="G107" s="4"/>
      <c r="H107" s="4"/>
    </row>
    <row r="108" spans="1:8" x14ac:dyDescent="0.2">
      <c r="A108" t="str">
        <f ca="1">OFFSET(Nelson_Reference,28,2)</f>
        <v>Taxi/Vehicle Share</v>
      </c>
      <c r="B108" s="4"/>
      <c r="C108" s="4"/>
      <c r="D108" s="4"/>
      <c r="E108" s="4"/>
      <c r="F108" s="4"/>
      <c r="G108" s="4"/>
      <c r="H108" s="4"/>
    </row>
    <row r="109" spans="1:8" x14ac:dyDescent="0.2">
      <c r="A109" t="str">
        <f ca="1">OFFSET(Nelson_Reference,35,2)</f>
        <v>Motorcyclist</v>
      </c>
      <c r="B109" s="4"/>
      <c r="C109" s="4"/>
      <c r="D109" s="4"/>
      <c r="E109" s="4"/>
      <c r="F109" s="4"/>
      <c r="G109" s="4"/>
      <c r="H109" s="4"/>
    </row>
    <row r="110" spans="1:8" x14ac:dyDescent="0.2">
      <c r="A110" t="str">
        <f ca="1">OFFSET(Nelson_Reference,42,2)</f>
        <v>Local Train</v>
      </c>
      <c r="B110" s="4"/>
      <c r="C110" s="4"/>
      <c r="D110" s="4"/>
      <c r="E110" s="4"/>
      <c r="F110" s="4"/>
      <c r="G110" s="4"/>
      <c r="H110" s="4"/>
    </row>
    <row r="111" spans="1:8" x14ac:dyDescent="0.2">
      <c r="A111" t="str">
        <f ca="1">OFFSET(Nelson_Reference,49,2)</f>
        <v>Local Bus</v>
      </c>
      <c r="B111" s="4"/>
      <c r="C111" s="4"/>
      <c r="D111" s="4"/>
      <c r="E111" s="4"/>
      <c r="F111" s="4"/>
      <c r="G111" s="4"/>
      <c r="H111" s="4"/>
    </row>
    <row r="112" spans="1:8" x14ac:dyDescent="0.2">
      <c r="A112" t="str">
        <f ca="1">OFFSET(Wellington_Reference,56,2)</f>
        <v>Local Ferry</v>
      </c>
      <c r="B112" s="4"/>
      <c r="C112" s="4"/>
      <c r="D112" s="4"/>
      <c r="E112" s="4"/>
      <c r="F112" s="4"/>
      <c r="G112" s="4"/>
      <c r="H112" s="4"/>
    </row>
    <row r="113" spans="1:8" x14ac:dyDescent="0.2">
      <c r="A113" t="str">
        <f ca="1">OFFSET(Nelson_Reference,56,2)</f>
        <v>Other Household Travel</v>
      </c>
      <c r="B113" s="4"/>
      <c r="C113" s="4"/>
      <c r="D113" s="4"/>
      <c r="E113" s="4"/>
      <c r="F113" s="4"/>
      <c r="G113" s="4"/>
      <c r="H113" s="4"/>
    </row>
    <row r="114" spans="1:8" x14ac:dyDescent="0.2">
      <c r="A114" t="str">
        <f ca="1">OFFSET(West_Coast_Reference,0,0)</f>
        <v>12 WEST COAST</v>
      </c>
      <c r="B114">
        <f>[3]Population!D14</f>
        <v>33000</v>
      </c>
      <c r="C114">
        <f>[3]Population!E14</f>
        <v>33800</v>
      </c>
      <c r="D114">
        <f>[3]Population!F14</f>
        <v>34000</v>
      </c>
      <c r="E114">
        <f>[3]Population!G14</f>
        <v>34100</v>
      </c>
      <c r="F114">
        <f>[3]Population!H14</f>
        <v>34000</v>
      </c>
      <c r="G114">
        <f>[3]Population!I14</f>
        <v>33700</v>
      </c>
      <c r="H114">
        <f>[3]Population!J14</f>
        <v>33200</v>
      </c>
    </row>
    <row r="115" spans="1:8" x14ac:dyDescent="0.2">
      <c r="A115" t="str">
        <f ca="1">OFFSET(West_Coast_Reference,0,2)</f>
        <v>Pedestrian</v>
      </c>
      <c r="B115" s="4"/>
      <c r="C115" s="4"/>
      <c r="D115" s="4"/>
      <c r="E115" s="4"/>
      <c r="F115" s="4"/>
      <c r="G115" s="4"/>
      <c r="H115" s="4"/>
    </row>
    <row r="116" spans="1:8" x14ac:dyDescent="0.2">
      <c r="A116" t="str">
        <f ca="1">OFFSET(West_Coast_Reference,7,2)</f>
        <v>Cyclist</v>
      </c>
      <c r="B116" s="4"/>
      <c r="C116" s="4"/>
      <c r="D116" s="4"/>
      <c r="E116" s="4"/>
      <c r="F116" s="4"/>
      <c r="G116" s="4"/>
      <c r="H116" s="4"/>
    </row>
    <row r="117" spans="1:8" x14ac:dyDescent="0.2">
      <c r="A117" t="str">
        <f ca="1">OFFSET(West_Coast_Reference,14,2)</f>
        <v>Light Vehicle Driver</v>
      </c>
      <c r="B117" s="4"/>
      <c r="C117" s="4"/>
      <c r="D117" s="4"/>
      <c r="E117" s="4"/>
      <c r="F117" s="4"/>
      <c r="G117" s="4"/>
      <c r="H117" s="4"/>
    </row>
    <row r="118" spans="1:8" x14ac:dyDescent="0.2">
      <c r="A118" t="str">
        <f ca="1">OFFSET(West_Coast_Reference,21,2)</f>
        <v>Light Vehicle Passenger</v>
      </c>
      <c r="B118" s="4"/>
      <c r="C118" s="4"/>
      <c r="D118" s="4"/>
      <c r="E118" s="4"/>
      <c r="F118" s="4"/>
      <c r="G118" s="4"/>
      <c r="H118" s="4"/>
    </row>
    <row r="119" spans="1:8" x14ac:dyDescent="0.2">
      <c r="A119" t="str">
        <f ca="1">OFFSET(West_Coast_Reference,28,2)</f>
        <v>Taxi/Vehicle Share</v>
      </c>
      <c r="B119" s="4"/>
      <c r="C119" s="4"/>
      <c r="D119" s="4"/>
      <c r="E119" s="4"/>
      <c r="F119" s="4"/>
      <c r="G119" s="4"/>
      <c r="H119" s="4"/>
    </row>
    <row r="120" spans="1:8" x14ac:dyDescent="0.2">
      <c r="A120" t="str">
        <f ca="1">OFFSET(West_Coast_Reference,35,2)</f>
        <v>Motorcyclist</v>
      </c>
      <c r="B120" s="4"/>
      <c r="C120" s="4"/>
      <c r="D120" s="4"/>
      <c r="E120" s="4"/>
      <c r="F120" s="4"/>
      <c r="G120" s="4"/>
      <c r="H120" s="4"/>
    </row>
    <row r="121" spans="1:8" x14ac:dyDescent="0.2">
      <c r="A121" t="str">
        <f ca="1">OFFSET(Nelson_Reference,42,2)</f>
        <v>Local Train</v>
      </c>
      <c r="B121" s="4"/>
      <c r="C121" s="4"/>
      <c r="D121" s="4"/>
      <c r="E121" s="4"/>
      <c r="F121" s="4"/>
      <c r="G121" s="4"/>
      <c r="H121" s="4"/>
    </row>
    <row r="122" spans="1:8" x14ac:dyDescent="0.2">
      <c r="A122" t="str">
        <f ca="1">OFFSET(West_Coast_Reference,42,2)</f>
        <v>Local Bus</v>
      </c>
      <c r="B122" s="4"/>
      <c r="C122" s="4"/>
      <c r="D122" s="4"/>
      <c r="E122" s="4"/>
      <c r="F122" s="4"/>
      <c r="G122" s="4"/>
      <c r="H122" s="4"/>
    </row>
    <row r="123" spans="1:8" x14ac:dyDescent="0.2">
      <c r="A123" t="str">
        <f ca="1">OFFSET(Wellington_Reference,56,2)</f>
        <v>Local Ferry</v>
      </c>
      <c r="B123" s="4"/>
      <c r="C123" s="4"/>
      <c r="D123" s="4"/>
      <c r="E123" s="4"/>
      <c r="F123" s="4"/>
      <c r="G123" s="4"/>
      <c r="H123" s="4"/>
    </row>
    <row r="124" spans="1:8" x14ac:dyDescent="0.2">
      <c r="A124" t="str">
        <f ca="1">OFFSET(West_Coast_Reference,49,2)</f>
        <v>Other Household Travel</v>
      </c>
      <c r="B124" s="4"/>
      <c r="C124" s="4"/>
      <c r="D124" s="4"/>
      <c r="E124" s="4"/>
      <c r="F124" s="4"/>
      <c r="G124" s="4"/>
      <c r="H124" s="4"/>
    </row>
    <row r="125" spans="1:8" x14ac:dyDescent="0.2">
      <c r="A125" t="str">
        <f ca="1">OFFSET(Canterbury_Reference,0,0)</f>
        <v>13 CANTERBURY</v>
      </c>
      <c r="B125">
        <f>[3]Population!D15</f>
        <v>562900</v>
      </c>
      <c r="C125">
        <f>[3]Population!E15</f>
        <v>611900</v>
      </c>
      <c r="D125">
        <f>[3]Population!F15</f>
        <v>638900</v>
      </c>
      <c r="E125">
        <f>[3]Population!G15</f>
        <v>665000</v>
      </c>
      <c r="F125">
        <f>[3]Population!H15</f>
        <v>689000</v>
      </c>
      <c r="G125">
        <f>[3]Population!I15</f>
        <v>710300</v>
      </c>
      <c r="H125">
        <f>[3]Population!J15</f>
        <v>729200</v>
      </c>
    </row>
    <row r="126" spans="1:8" x14ac:dyDescent="0.2">
      <c r="A126" t="str">
        <f ca="1">OFFSET(Canterbury_Reference,0,2)</f>
        <v>Pedestrian</v>
      </c>
      <c r="B126" s="4"/>
      <c r="C126" s="4"/>
      <c r="D126" s="4"/>
      <c r="E126" s="4"/>
      <c r="F126" s="4"/>
      <c r="G126" s="4"/>
      <c r="H126" s="4"/>
    </row>
    <row r="127" spans="1:8" x14ac:dyDescent="0.2">
      <c r="A127" t="str">
        <f ca="1">OFFSET(Canterbury_Reference,7,2)</f>
        <v>Cyclist</v>
      </c>
      <c r="B127" s="4"/>
      <c r="C127" s="4"/>
      <c r="D127" s="4"/>
      <c r="E127" s="4"/>
      <c r="F127" s="4"/>
      <c r="G127" s="4"/>
      <c r="H127" s="4"/>
    </row>
    <row r="128" spans="1:8" x14ac:dyDescent="0.2">
      <c r="A128" t="str">
        <f ca="1">OFFSET(Canterbury_Reference,14,2)</f>
        <v>Light Vehicle Driver</v>
      </c>
      <c r="B128" s="4"/>
      <c r="C128" s="4"/>
      <c r="D128" s="4"/>
      <c r="E128" s="4"/>
      <c r="F128" s="4"/>
      <c r="G128" s="4"/>
      <c r="H128" s="4"/>
    </row>
    <row r="129" spans="1:8" x14ac:dyDescent="0.2">
      <c r="A129" t="str">
        <f ca="1">OFFSET(Canterbury_Reference,21,2)</f>
        <v>Light Vehicle Passenger</v>
      </c>
      <c r="B129" s="4"/>
      <c r="C129" s="4"/>
      <c r="D129" s="4"/>
      <c r="E129" s="4"/>
      <c r="F129" s="4"/>
      <c r="G129" s="4"/>
      <c r="H129" s="4"/>
    </row>
    <row r="130" spans="1:8" x14ac:dyDescent="0.2">
      <c r="A130" t="str">
        <f ca="1">OFFSET(Canterbury_Reference,28,2)</f>
        <v>Taxi/Vehicle Share</v>
      </c>
      <c r="B130" s="4"/>
      <c r="C130" s="4"/>
      <c r="D130" s="4"/>
      <c r="E130" s="4"/>
      <c r="F130" s="4"/>
      <c r="G130" s="4"/>
      <c r="H130" s="4"/>
    </row>
    <row r="131" spans="1:8" x14ac:dyDescent="0.2">
      <c r="A131" t="str">
        <f ca="1">OFFSET(Canterbury_Reference,35,2)</f>
        <v>Motorcyclist</v>
      </c>
      <c r="B131" s="4"/>
      <c r="C131" s="4"/>
      <c r="D131" s="4"/>
      <c r="E131" s="4"/>
      <c r="F131" s="4"/>
      <c r="G131" s="4"/>
      <c r="H131" s="4"/>
    </row>
    <row r="132" spans="1:8" x14ac:dyDescent="0.2">
      <c r="A132" t="str">
        <f ca="1">OFFSET(Canterbury_Reference,42,2)</f>
        <v>Local Train</v>
      </c>
      <c r="B132" s="4"/>
      <c r="C132" s="4"/>
      <c r="D132" s="4"/>
      <c r="E132" s="4"/>
      <c r="F132" s="4"/>
      <c r="G132" s="4"/>
      <c r="H132" s="4"/>
    </row>
    <row r="133" spans="1:8" x14ac:dyDescent="0.2">
      <c r="A133" t="str">
        <f ca="1">OFFSET(Canterbury_Reference,49,2)</f>
        <v>Local Bus</v>
      </c>
      <c r="B133" s="4"/>
      <c r="C133" s="4"/>
      <c r="D133" s="4"/>
      <c r="E133" s="4"/>
      <c r="F133" s="4"/>
      <c r="G133" s="4"/>
      <c r="H133" s="4"/>
    </row>
    <row r="134" spans="1:8" x14ac:dyDescent="0.2">
      <c r="A134" t="str">
        <f ca="1">OFFSET(Wellington_Reference,56,2)</f>
        <v>Local Ferry</v>
      </c>
      <c r="B134" s="4"/>
      <c r="C134" s="4"/>
      <c r="D134" s="4"/>
      <c r="E134" s="4"/>
      <c r="F134" s="4"/>
      <c r="G134" s="4"/>
      <c r="H134" s="4"/>
    </row>
    <row r="135" spans="1:8" x14ac:dyDescent="0.2">
      <c r="A135" t="str">
        <f ca="1">OFFSET(Canterbury_Reference,56,2)</f>
        <v>Other Household Travel</v>
      </c>
      <c r="B135" s="4"/>
      <c r="C135" s="4"/>
      <c r="D135" s="4"/>
      <c r="E135" s="4"/>
      <c r="F135" s="4"/>
      <c r="G135" s="4"/>
      <c r="H135" s="4"/>
    </row>
    <row r="136" spans="1:8" x14ac:dyDescent="0.2">
      <c r="A136" t="str">
        <f ca="1">OFFSET(Otago_Reference,0,0)</f>
        <v>14 OTAGO</v>
      </c>
      <c r="B136">
        <f>[3]Population!D16</f>
        <v>208800</v>
      </c>
      <c r="C136">
        <f>[3]Population!E16</f>
        <v>218000</v>
      </c>
      <c r="D136">
        <f>[3]Population!F16</f>
        <v>223800</v>
      </c>
      <c r="E136">
        <f>[3]Population!G16</f>
        <v>229100</v>
      </c>
      <c r="F136">
        <f>[3]Population!H16</f>
        <v>233600</v>
      </c>
      <c r="G136">
        <f>[3]Population!I16</f>
        <v>237100</v>
      </c>
      <c r="H136">
        <f>[3]Population!J16</f>
        <v>239800</v>
      </c>
    </row>
    <row r="137" spans="1:8" x14ac:dyDescent="0.2">
      <c r="A137" t="str">
        <f ca="1">OFFSET(Otago_Reference,0,2)</f>
        <v>Pedestrian</v>
      </c>
      <c r="B137" s="4"/>
      <c r="C137" s="4"/>
      <c r="D137" s="4"/>
      <c r="E137" s="4"/>
      <c r="F137" s="4"/>
      <c r="G137" s="4"/>
      <c r="H137" s="4"/>
    </row>
    <row r="138" spans="1:8" x14ac:dyDescent="0.2">
      <c r="A138" t="str">
        <f ca="1">OFFSET(Otago_Reference,7,2)</f>
        <v>Cyclist</v>
      </c>
      <c r="B138" s="4"/>
      <c r="C138" s="4"/>
      <c r="D138" s="4"/>
      <c r="E138" s="4"/>
      <c r="F138" s="4"/>
      <c r="G138" s="4"/>
      <c r="H138" s="4"/>
    </row>
    <row r="139" spans="1:8" x14ac:dyDescent="0.2">
      <c r="A139" t="str">
        <f ca="1">OFFSET(Otago_Reference,14,2)</f>
        <v>Light Vehicle Driver</v>
      </c>
      <c r="B139" s="4"/>
      <c r="C139" s="4"/>
      <c r="D139" s="4"/>
      <c r="E139" s="4"/>
      <c r="F139" s="4"/>
      <c r="G139" s="4"/>
      <c r="H139" s="4"/>
    </row>
    <row r="140" spans="1:8" x14ac:dyDescent="0.2">
      <c r="A140" t="str">
        <f ca="1">OFFSET(Otago_Reference,21,2)</f>
        <v>Light Vehicle Passenger</v>
      </c>
      <c r="B140" s="4"/>
      <c r="C140" s="4"/>
      <c r="D140" s="4"/>
      <c r="E140" s="4"/>
      <c r="F140" s="4"/>
      <c r="G140" s="4"/>
      <c r="H140" s="4"/>
    </row>
    <row r="141" spans="1:8" x14ac:dyDescent="0.2">
      <c r="A141" t="str">
        <f ca="1">OFFSET(Otago_Reference,28,2)</f>
        <v>Taxi/Vehicle Share</v>
      </c>
      <c r="B141" s="4"/>
      <c r="C141" s="4"/>
      <c r="D141" s="4"/>
      <c r="E141" s="4"/>
      <c r="F141" s="4"/>
      <c r="G141" s="4"/>
      <c r="H141" s="4"/>
    </row>
    <row r="142" spans="1:8" x14ac:dyDescent="0.2">
      <c r="A142" t="str">
        <f ca="1">OFFSET(Otago_Reference,35,2)</f>
        <v>Motorcyclist</v>
      </c>
      <c r="B142" s="4"/>
      <c r="C142" s="4"/>
      <c r="D142" s="4"/>
      <c r="E142" s="4"/>
      <c r="F142" s="4"/>
      <c r="G142" s="4"/>
      <c r="H142" s="4"/>
    </row>
    <row r="143" spans="1:8" x14ac:dyDescent="0.2">
      <c r="A143" t="str">
        <f ca="1">OFFSET(Canterbury_Reference,42,2)</f>
        <v>Local Train</v>
      </c>
      <c r="B143" s="4"/>
      <c r="C143" s="4"/>
      <c r="D143" s="4"/>
      <c r="E143" s="4"/>
      <c r="F143" s="4"/>
      <c r="G143" s="4"/>
      <c r="H143" s="4"/>
    </row>
    <row r="144" spans="1:8" x14ac:dyDescent="0.2">
      <c r="A144" t="str">
        <f ca="1">OFFSET(Otago_Reference,42,2)</f>
        <v>Local Bus</v>
      </c>
      <c r="B144" s="4"/>
      <c r="C144" s="4"/>
      <c r="D144" s="4"/>
      <c r="E144" s="4"/>
      <c r="F144" s="4"/>
      <c r="G144" s="4"/>
      <c r="H144" s="4"/>
    </row>
    <row r="145" spans="1:8" x14ac:dyDescent="0.2">
      <c r="A145" t="str">
        <f ca="1">OFFSET(Wellington_Reference,56,2)</f>
        <v>Local Ferry</v>
      </c>
      <c r="B145" s="4"/>
      <c r="C145" s="4"/>
      <c r="D145" s="4"/>
      <c r="E145" s="4"/>
      <c r="F145" s="4"/>
      <c r="G145" s="4"/>
      <c r="H145" s="4"/>
    </row>
    <row r="146" spans="1:8" x14ac:dyDescent="0.2">
      <c r="A146" t="str">
        <f ca="1">OFFSET(Otago_Reference,49,2)</f>
        <v>Other Household Travel</v>
      </c>
      <c r="B146" s="4"/>
      <c r="C146" s="4"/>
      <c r="D146" s="4"/>
      <c r="E146" s="4"/>
      <c r="F146" s="4"/>
      <c r="G146" s="4"/>
      <c r="H146" s="4"/>
    </row>
    <row r="147" spans="1:8" x14ac:dyDescent="0.2">
      <c r="A147" t="str">
        <f ca="1">OFFSET(Southland_Reference,0,0)</f>
        <v>15 SOUTHLAND</v>
      </c>
      <c r="B147">
        <f>[3]Population!D17</f>
        <v>96000</v>
      </c>
      <c r="C147">
        <f>[3]Population!E17</f>
        <v>98400</v>
      </c>
      <c r="D147">
        <f>[3]Population!F17</f>
        <v>98900</v>
      </c>
      <c r="E147">
        <f>[3]Population!G17</f>
        <v>99200</v>
      </c>
      <c r="F147">
        <f>[3]Population!H17</f>
        <v>98900</v>
      </c>
      <c r="G147">
        <f>[3]Population!I17</f>
        <v>98000</v>
      </c>
      <c r="H147">
        <f>[3]Population!J17</f>
        <v>96800</v>
      </c>
    </row>
    <row r="148" spans="1:8" x14ac:dyDescent="0.2">
      <c r="A148" t="str">
        <f ca="1">OFFSET(Southland_Reference,0,2)</f>
        <v>Pedestrian</v>
      </c>
      <c r="B148" s="4"/>
      <c r="C148" s="4"/>
      <c r="D148" s="4"/>
      <c r="E148" s="4"/>
      <c r="F148" s="4"/>
      <c r="G148" s="4"/>
      <c r="H148" s="4"/>
    </row>
    <row r="149" spans="1:8" x14ac:dyDescent="0.2">
      <c r="A149" t="str">
        <f ca="1">OFFSET(Southland_Reference,7,2)</f>
        <v>Cyclist</v>
      </c>
      <c r="B149" s="4"/>
      <c r="C149" s="4"/>
      <c r="D149" s="4"/>
      <c r="E149" s="4"/>
      <c r="F149" s="4"/>
      <c r="G149" s="4"/>
      <c r="H149" s="4"/>
    </row>
    <row r="150" spans="1:8" x14ac:dyDescent="0.2">
      <c r="A150" t="str">
        <f ca="1">OFFSET(Southland_Reference,14,2)</f>
        <v>Light Vehicle Driver</v>
      </c>
      <c r="B150" s="4"/>
      <c r="C150" s="4"/>
      <c r="D150" s="4"/>
      <c r="E150" s="4"/>
      <c r="F150" s="4"/>
      <c r="G150" s="4"/>
      <c r="H150" s="4"/>
    </row>
    <row r="151" spans="1:8" x14ac:dyDescent="0.2">
      <c r="A151" t="str">
        <f ca="1">OFFSET(Southland_Reference,21,2)</f>
        <v>Light Vehicle Passenger</v>
      </c>
      <c r="B151" s="4"/>
      <c r="C151" s="4"/>
      <c r="D151" s="4"/>
      <c r="E151" s="4"/>
      <c r="F151" s="4"/>
      <c r="G151" s="4"/>
      <c r="H151" s="4"/>
    </row>
    <row r="152" spans="1:8" x14ac:dyDescent="0.2">
      <c r="A152" t="str">
        <f ca="1">OFFSET(Southland_Reference,28,2)</f>
        <v>Taxi/Vehicle Share</v>
      </c>
      <c r="B152" s="4"/>
      <c r="C152" s="4"/>
      <c r="D152" s="4"/>
      <c r="E152" s="4"/>
      <c r="F152" s="4"/>
      <c r="G152" s="4"/>
      <c r="H152" s="4"/>
    </row>
    <row r="153" spans="1:8" x14ac:dyDescent="0.2">
      <c r="A153" t="str">
        <f ca="1">OFFSET(Southland_Reference,35,2)</f>
        <v>Motorcyclist</v>
      </c>
      <c r="B153" s="4"/>
      <c r="C153" s="4"/>
      <c r="D153" s="4"/>
      <c r="E153" s="4"/>
      <c r="F153" s="4"/>
      <c r="G153" s="4"/>
      <c r="H153" s="4"/>
    </row>
    <row r="154" spans="1:8" x14ac:dyDescent="0.2">
      <c r="A154" t="str">
        <f ca="1">OFFSET(Canterbury_Reference,42,2)</f>
        <v>Local Train</v>
      </c>
      <c r="B154" s="4"/>
      <c r="C154" s="4"/>
      <c r="D154" s="4"/>
      <c r="E154" s="4"/>
      <c r="F154" s="4"/>
      <c r="G154" s="4"/>
      <c r="H154" s="4"/>
    </row>
    <row r="155" spans="1:8" x14ac:dyDescent="0.2">
      <c r="A155" t="str">
        <f ca="1">OFFSET(Southland_Reference,42,2)</f>
        <v>Local Bus</v>
      </c>
      <c r="B155" s="4"/>
      <c r="C155" s="4"/>
      <c r="D155" s="4"/>
      <c r="E155" s="4"/>
      <c r="F155" s="4"/>
      <c r="G155" s="4"/>
      <c r="H155" s="4"/>
    </row>
    <row r="156" spans="1:8" x14ac:dyDescent="0.2">
      <c r="A156" t="str">
        <f ca="1">OFFSET(Wellington_Reference,56,2)</f>
        <v>Local Ferry</v>
      </c>
      <c r="B156" s="4"/>
      <c r="C156" s="4"/>
      <c r="D156" s="4"/>
      <c r="E156" s="4"/>
      <c r="F156" s="4"/>
      <c r="G156" s="4"/>
      <c r="H156" s="4"/>
    </row>
    <row r="157" spans="1:8" x14ac:dyDescent="0.2">
      <c r="A157" t="str">
        <f ca="1">OFFSET(Southland_Reference,49,2)</f>
        <v>Other Household Travel</v>
      </c>
      <c r="B157" s="4"/>
      <c r="C157" s="4"/>
      <c r="D157" s="4"/>
      <c r="E157" s="4"/>
      <c r="F157" s="4"/>
      <c r="G157" s="4"/>
      <c r="H157" s="4"/>
    </row>
    <row r="158" spans="1:8" x14ac:dyDescent="0.2">
      <c r="A158" t="s">
        <v>12</v>
      </c>
      <c r="B158">
        <f>[3]Population!D18</f>
        <v>4441600</v>
      </c>
      <c r="C158">
        <f>[3]Population!E18</f>
        <v>4737900</v>
      </c>
      <c r="D158">
        <f>[3]Population!F18</f>
        <v>4948100</v>
      </c>
      <c r="E158">
        <f>[3]Population!G18</f>
        <v>5152500</v>
      </c>
      <c r="F158">
        <f>[3]Population!H18</f>
        <v>5337900</v>
      </c>
      <c r="G158">
        <f>[3]Population!I18</f>
        <v>5498600</v>
      </c>
      <c r="H158">
        <f>[3]Population!J18</f>
        <v>5638800</v>
      </c>
    </row>
    <row r="159" spans="1:8" x14ac:dyDescent="0.2">
      <c r="A159" t="str">
        <f t="shared" ref="A159:A168" ca="1" si="0">A5</f>
        <v>Pedestrian</v>
      </c>
      <c r="B159" s="4"/>
      <c r="C159" s="4"/>
      <c r="D159" s="4"/>
      <c r="E159" s="4"/>
      <c r="F159" s="4"/>
      <c r="G159" s="4"/>
      <c r="H159" s="4"/>
    </row>
    <row r="160" spans="1:8" x14ac:dyDescent="0.2">
      <c r="A160" t="str">
        <f t="shared" ca="1" si="0"/>
        <v>Cyclist</v>
      </c>
      <c r="B160" s="4"/>
      <c r="C160" s="4"/>
      <c r="D160" s="4"/>
      <c r="E160" s="4"/>
      <c r="F160" s="4"/>
      <c r="G160" s="4"/>
      <c r="H160" s="4"/>
    </row>
    <row r="161" spans="1:8" x14ac:dyDescent="0.2">
      <c r="A161" t="str">
        <f t="shared" ca="1" si="0"/>
        <v>Light Vehicle Driver</v>
      </c>
      <c r="B161" s="4"/>
      <c r="C161" s="4"/>
      <c r="D161" s="4"/>
      <c r="E161" s="4"/>
      <c r="F161" s="4"/>
      <c r="G161" s="4"/>
      <c r="H161" s="4"/>
    </row>
    <row r="162" spans="1:8" x14ac:dyDescent="0.2">
      <c r="A162" t="str">
        <f t="shared" ca="1" si="0"/>
        <v>Light Vehicle Passenger</v>
      </c>
      <c r="B162" s="4"/>
      <c r="C162" s="4"/>
      <c r="D162" s="4"/>
      <c r="E162" s="4"/>
      <c r="F162" s="4"/>
      <c r="G162" s="4"/>
      <c r="H162" s="4"/>
    </row>
    <row r="163" spans="1:8" x14ac:dyDescent="0.2">
      <c r="A163" t="str">
        <f t="shared" ca="1" si="0"/>
        <v>Taxi/Vehicle Share</v>
      </c>
      <c r="B163" s="4"/>
      <c r="C163" s="4"/>
      <c r="D163" s="4"/>
      <c r="E163" s="4"/>
      <c r="F163" s="4"/>
      <c r="G163" s="4"/>
      <c r="H163" s="4"/>
    </row>
    <row r="164" spans="1:8" x14ac:dyDescent="0.2">
      <c r="A164" t="str">
        <f t="shared" ca="1" si="0"/>
        <v>Motorcyclist</v>
      </c>
      <c r="B164" s="4"/>
      <c r="C164" s="4"/>
      <c r="D164" s="4"/>
      <c r="E164" s="4"/>
      <c r="F164" s="4"/>
      <c r="G164" s="4"/>
      <c r="H164" s="4"/>
    </row>
    <row r="165" spans="1:8" x14ac:dyDescent="0.2">
      <c r="A165" t="str">
        <f t="shared" ca="1" si="0"/>
        <v>Local Train</v>
      </c>
      <c r="B165" s="4"/>
      <c r="C165" s="4"/>
      <c r="D165" s="4"/>
      <c r="E165" s="4"/>
      <c r="F165" s="4"/>
      <c r="G165" s="4"/>
      <c r="H165" s="4"/>
    </row>
    <row r="166" spans="1:8" x14ac:dyDescent="0.2">
      <c r="A166" t="str">
        <f t="shared" ca="1" si="0"/>
        <v>Local Bus</v>
      </c>
      <c r="B166" s="4"/>
      <c r="C166" s="4"/>
      <c r="D166" s="4"/>
      <c r="E166" s="4"/>
      <c r="F166" s="4"/>
      <c r="G166" s="4"/>
      <c r="H166" s="4"/>
    </row>
    <row r="167" spans="1:8" x14ac:dyDescent="0.2">
      <c r="A167" t="str">
        <f t="shared" ca="1" si="0"/>
        <v>Local Ferry</v>
      </c>
      <c r="B167" s="4"/>
      <c r="C167" s="4"/>
      <c r="D167" s="4"/>
      <c r="E167" s="4"/>
      <c r="F167" s="4"/>
      <c r="G167" s="4"/>
      <c r="H167" s="4"/>
    </row>
    <row r="168" spans="1:8" x14ac:dyDescent="0.2">
      <c r="A168" t="str">
        <f t="shared" ca="1" si="0"/>
        <v>Other Household Travel</v>
      </c>
      <c r="B168" s="4"/>
      <c r="C168" s="4"/>
      <c r="D168" s="4"/>
      <c r="E168" s="4"/>
      <c r="F168" s="4"/>
      <c r="G168" s="4"/>
      <c r="H168" s="4"/>
    </row>
    <row r="169" spans="1:8" x14ac:dyDescent="0.2">
      <c r="A169" t="s">
        <v>111</v>
      </c>
      <c r="B169" s="5">
        <f>B4+B26+B37+B48+B59+B70+B81+B103+B114+B136+B147</f>
        <v>1898800</v>
      </c>
      <c r="C169">
        <f t="shared" ref="C169:H169" si="1">C4+C26+C37+C48+C59+C70+C81+C103+C114+C136+C147</f>
        <v>1973700</v>
      </c>
      <c r="D169">
        <f t="shared" si="1"/>
        <v>2023500</v>
      </c>
      <c r="E169">
        <f t="shared" si="1"/>
        <v>2067100</v>
      </c>
      <c r="F169">
        <f t="shared" si="1"/>
        <v>2099900</v>
      </c>
      <c r="G169">
        <f t="shared" si="1"/>
        <v>2120600</v>
      </c>
      <c r="H169">
        <f t="shared" si="1"/>
        <v>2131900</v>
      </c>
    </row>
    <row r="170" spans="1:8" x14ac:dyDescent="0.2">
      <c r="B170" s="4"/>
      <c r="C170" s="4"/>
      <c r="D170" s="4"/>
      <c r="E170" s="4"/>
      <c r="F170" s="4"/>
      <c r="G170" s="4"/>
      <c r="H170" s="4"/>
    </row>
    <row r="171" spans="1:8" x14ac:dyDescent="0.2">
      <c r="B171" s="4"/>
      <c r="C171" s="4"/>
      <c r="D171" s="4"/>
      <c r="E171" s="4"/>
      <c r="F171" s="4"/>
      <c r="G171" s="4"/>
      <c r="H171" s="4"/>
    </row>
    <row r="172" spans="1:8" x14ac:dyDescent="0.2">
      <c r="B172" s="4"/>
      <c r="C172" s="4"/>
      <c r="D172" s="4"/>
      <c r="E172" s="4"/>
      <c r="F172" s="4"/>
      <c r="G172" s="4"/>
      <c r="H172" s="4"/>
    </row>
    <row r="173" spans="1:8" x14ac:dyDescent="0.2">
      <c r="B173" s="4"/>
      <c r="C173" s="4"/>
      <c r="D173" s="4"/>
      <c r="E173" s="4"/>
      <c r="F173" s="4"/>
      <c r="G173" s="4"/>
      <c r="H173" s="4"/>
    </row>
    <row r="174" spans="1:8" x14ac:dyDescent="0.2">
      <c r="B174" s="4"/>
      <c r="C174" s="4"/>
      <c r="D174" s="4"/>
      <c r="E174" s="4"/>
      <c r="F174" s="4"/>
      <c r="G174" s="4"/>
      <c r="H174" s="4"/>
    </row>
    <row r="175" spans="1:8" x14ac:dyDescent="0.2">
      <c r="B175" s="4"/>
      <c r="C175" s="4"/>
      <c r="D175" s="4"/>
      <c r="E175" s="4"/>
      <c r="F175" s="4"/>
      <c r="G175" s="4"/>
      <c r="H175" s="4"/>
    </row>
    <row r="176" spans="1:8" x14ac:dyDescent="0.2">
      <c r="B176" s="4"/>
      <c r="C176" s="4"/>
      <c r="D176" s="4"/>
      <c r="E176" s="4"/>
      <c r="F176" s="4"/>
      <c r="G176" s="4"/>
      <c r="H176" s="4"/>
    </row>
    <row r="177" spans="2:8" x14ac:dyDescent="0.2">
      <c r="B177" s="4"/>
      <c r="C177" s="4"/>
      <c r="D177" s="4"/>
      <c r="E177" s="4"/>
      <c r="F177" s="4"/>
      <c r="G177" s="4"/>
      <c r="H177" s="4"/>
    </row>
    <row r="178" spans="2:8" x14ac:dyDescent="0.2">
      <c r="B178" s="4"/>
      <c r="C178" s="4"/>
      <c r="D178" s="4"/>
      <c r="E178" s="4"/>
      <c r="F178" s="4"/>
      <c r="G178" s="4"/>
      <c r="H178" s="4"/>
    </row>
    <row r="179" spans="2:8" x14ac:dyDescent="0.2">
      <c r="B179" s="4"/>
      <c r="C179" s="4"/>
      <c r="D179" s="4"/>
      <c r="E179" s="4"/>
      <c r="F179" s="4"/>
      <c r="G179" s="4"/>
      <c r="H179" s="4"/>
    </row>
    <row r="181" spans="2:8" x14ac:dyDescent="0.2">
      <c r="B181" s="4"/>
      <c r="C181" s="4"/>
      <c r="D181" s="4"/>
      <c r="E181" s="4"/>
      <c r="F181" s="4"/>
      <c r="G181" s="4"/>
      <c r="H181" s="4"/>
    </row>
    <row r="182" spans="2:8" x14ac:dyDescent="0.2">
      <c r="B182" s="4"/>
      <c r="C182" s="4"/>
      <c r="D182" s="4"/>
      <c r="E182" s="4"/>
      <c r="F182" s="4"/>
      <c r="G182" s="4"/>
      <c r="H182" s="4"/>
    </row>
    <row r="183" spans="2:8" x14ac:dyDescent="0.2">
      <c r="B183" s="4"/>
      <c r="C183" s="4"/>
      <c r="D183" s="4"/>
      <c r="E183" s="4"/>
      <c r="F183" s="4"/>
      <c r="G183" s="4"/>
      <c r="H183" s="4"/>
    </row>
    <row r="184" spans="2:8" x14ac:dyDescent="0.2">
      <c r="B184" s="4"/>
      <c r="C184" s="4"/>
      <c r="D184" s="4"/>
      <c r="E184" s="4"/>
      <c r="F184" s="4"/>
      <c r="G184" s="4"/>
      <c r="H184" s="4"/>
    </row>
    <row r="185" spans="2:8" x14ac:dyDescent="0.2">
      <c r="B185" s="4"/>
      <c r="C185" s="4"/>
      <c r="D185" s="4"/>
      <c r="E185" s="4"/>
      <c r="F185" s="4"/>
      <c r="G185" s="4"/>
      <c r="H185" s="4"/>
    </row>
    <row r="186" spans="2:8" x14ac:dyDescent="0.2">
      <c r="B186" s="4"/>
      <c r="C186" s="4"/>
      <c r="D186" s="4"/>
      <c r="E186" s="4"/>
      <c r="F186" s="4"/>
      <c r="G186" s="4"/>
      <c r="H186" s="4"/>
    </row>
    <row r="187" spans="2:8" x14ac:dyDescent="0.2">
      <c r="B187" s="4"/>
      <c r="C187" s="4"/>
      <c r="D187" s="4"/>
      <c r="E187" s="4"/>
      <c r="F187" s="4"/>
      <c r="G187" s="4"/>
      <c r="H187" s="4"/>
    </row>
    <row r="188" spans="2:8" x14ac:dyDescent="0.2">
      <c r="B188" s="4"/>
      <c r="C188" s="4"/>
      <c r="D188" s="4"/>
      <c r="E188" s="4"/>
      <c r="F188" s="4"/>
      <c r="G188" s="4"/>
      <c r="H188" s="4"/>
    </row>
    <row r="189" spans="2:8" x14ac:dyDescent="0.2">
      <c r="B189" s="4"/>
      <c r="C189" s="4"/>
      <c r="D189" s="4"/>
      <c r="E189" s="4"/>
      <c r="F189" s="4"/>
      <c r="G189" s="4"/>
      <c r="H189" s="4"/>
    </row>
    <row r="190" spans="2:8" x14ac:dyDescent="0.2">
      <c r="B190" s="4"/>
      <c r="C190" s="4"/>
      <c r="D190" s="4"/>
      <c r="E190" s="4"/>
      <c r="F190" s="4"/>
      <c r="G190" s="4"/>
      <c r="H190" s="4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2:K190"/>
  <sheetViews>
    <sheetView workbookViewId="0">
      <pane xSplit="1" ySplit="3" topLeftCell="B133" activePane="bottomRight" state="frozen"/>
      <selection pane="topRight" activeCell="B1" sqref="B1"/>
      <selection pane="bottomLeft" activeCell="A4" sqref="A4"/>
      <selection pane="bottomRight" activeCell="H158" sqref="H158"/>
    </sheetView>
  </sheetViews>
  <sheetFormatPr defaultRowHeight="12.75" x14ac:dyDescent="0.2"/>
  <cols>
    <col min="1" max="1" width="26.140625" customWidth="1"/>
  </cols>
  <sheetData>
    <row r="2" spans="1:11" x14ac:dyDescent="0.2">
      <c r="A2" s="3" t="s">
        <v>15</v>
      </c>
    </row>
    <row r="3" spans="1:11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">
      <c r="A4" t="str">
        <f ca="1">OFFSET(Northland_Reference,0,0)</f>
        <v>01 NORTHLAND</v>
      </c>
      <c r="B4" s="5">
        <f>[4]Population!D4</f>
        <v>164700</v>
      </c>
      <c r="C4" s="5">
        <f>[4]Population!E4</f>
        <v>176100</v>
      </c>
      <c r="D4" s="5">
        <f>[4]Population!F4</f>
        <v>183300</v>
      </c>
      <c r="E4" s="5">
        <f>[4]Population!G4</f>
        <v>188600</v>
      </c>
      <c r="F4" s="5">
        <f>[4]Population!H4</f>
        <v>192500</v>
      </c>
      <c r="G4" s="5">
        <f>[4]Population!I4</f>
        <v>195100</v>
      </c>
      <c r="H4" s="5">
        <f>[4]Population!J4</f>
        <v>196700</v>
      </c>
      <c r="I4" s="5">
        <f>[4]Population!K4</f>
        <v>197632.92754735926</v>
      </c>
      <c r="J4" s="5">
        <f>[4]Population!L4</f>
        <v>197938.19645723698</v>
      </c>
      <c r="K4" s="5">
        <f>[4]Population!M4</f>
        <v>197817.89786960755</v>
      </c>
    </row>
    <row r="5" spans="1:11" x14ac:dyDescent="0.2">
      <c r="A5" t="str">
        <f ca="1">OFFSET(Northland_Reference,0,2)</f>
        <v>Pedestrian</v>
      </c>
      <c r="B5" s="4"/>
      <c r="C5" s="4"/>
      <c r="D5" s="4"/>
      <c r="E5" s="4"/>
      <c r="F5" s="4"/>
      <c r="G5" s="4"/>
      <c r="H5" s="4"/>
      <c r="I5" s="5"/>
      <c r="J5" s="5"/>
      <c r="K5" s="5"/>
    </row>
    <row r="6" spans="1:11" x14ac:dyDescent="0.2">
      <c r="A6" t="str">
        <f ca="1">OFFSET(Northland_Reference,7,2)</f>
        <v>Cyclist</v>
      </c>
      <c r="B6" s="4"/>
      <c r="C6" s="4"/>
      <c r="D6" s="4"/>
      <c r="E6" s="4"/>
      <c r="F6" s="4"/>
      <c r="G6" s="4"/>
      <c r="H6" s="4"/>
      <c r="I6" s="5"/>
      <c r="J6" s="5"/>
      <c r="K6" s="5"/>
    </row>
    <row r="7" spans="1:11" x14ac:dyDescent="0.2">
      <c r="A7" t="str">
        <f ca="1">OFFSET(Northland_Reference,14,2)</f>
        <v>Light Vehicle Driver</v>
      </c>
      <c r="B7" s="4"/>
      <c r="C7" s="4"/>
      <c r="D7" s="4"/>
      <c r="E7" s="4"/>
      <c r="F7" s="4"/>
      <c r="G7" s="4"/>
      <c r="H7" s="4"/>
      <c r="I7" s="5"/>
      <c r="J7" s="5"/>
      <c r="K7" s="5"/>
    </row>
    <row r="8" spans="1:11" x14ac:dyDescent="0.2">
      <c r="A8" t="str">
        <f ca="1">OFFSET(Northland_Reference,21,2)</f>
        <v>Light Vehicle Passenger</v>
      </c>
      <c r="B8" s="4"/>
      <c r="C8" s="4"/>
      <c r="D8" s="4"/>
      <c r="E8" s="4"/>
      <c r="F8" s="4"/>
      <c r="G8" s="4"/>
      <c r="H8" s="4"/>
      <c r="I8" s="5"/>
      <c r="J8" s="5"/>
      <c r="K8" s="5"/>
    </row>
    <row r="9" spans="1:11" x14ac:dyDescent="0.2">
      <c r="A9" t="str">
        <f ca="1">OFFSET(Northland_Reference,28,2)</f>
        <v>Taxi/Vehicle Share</v>
      </c>
      <c r="B9" s="4"/>
      <c r="C9" s="4"/>
      <c r="D9" s="4"/>
      <c r="E9" s="4"/>
      <c r="F9" s="4"/>
      <c r="G9" s="4"/>
      <c r="H9" s="4"/>
      <c r="I9" s="5"/>
      <c r="J9" s="5"/>
      <c r="K9" s="5"/>
    </row>
    <row r="10" spans="1:11" x14ac:dyDescent="0.2">
      <c r="A10" t="str">
        <f ca="1">OFFSET(Northland_Reference,35,2)</f>
        <v>Motorcyclist</v>
      </c>
      <c r="B10" s="4"/>
      <c r="C10" s="4"/>
      <c r="D10" s="4"/>
      <c r="E10" s="4"/>
      <c r="F10" s="4"/>
      <c r="G10" s="4"/>
      <c r="H10" s="4"/>
      <c r="I10" s="5"/>
      <c r="J10" s="5"/>
      <c r="K10" s="5"/>
    </row>
    <row r="11" spans="1:11" x14ac:dyDescent="0.2">
      <c r="A11" t="str">
        <f ca="1">OFFSET(Auckland_Reference,42,2)</f>
        <v>Local Train</v>
      </c>
      <c r="B11" s="4"/>
      <c r="C11" s="4"/>
      <c r="D11" s="4"/>
      <c r="E11" s="4"/>
      <c r="F11" s="4"/>
      <c r="G11" s="4"/>
      <c r="H11" s="4"/>
      <c r="I11" s="5"/>
      <c r="J11" s="5"/>
      <c r="K11" s="5"/>
    </row>
    <row r="12" spans="1:11" x14ac:dyDescent="0.2">
      <c r="A12" t="str">
        <f ca="1">OFFSET(Northland_Reference,42,2)</f>
        <v>Local Bus</v>
      </c>
      <c r="B12" s="4"/>
      <c r="C12" s="4"/>
      <c r="D12" s="4"/>
      <c r="E12" s="4"/>
      <c r="F12" s="4"/>
      <c r="G12" s="4"/>
      <c r="H12" s="4"/>
      <c r="I12" s="5"/>
      <c r="J12" s="5"/>
      <c r="K12" s="5"/>
    </row>
    <row r="13" spans="1:11" x14ac:dyDescent="0.2">
      <c r="A13" t="str">
        <f ca="1">OFFSET(Northland_Reference,49,2)</f>
        <v>Local Ferry</v>
      </c>
      <c r="B13" s="4"/>
      <c r="C13" s="4"/>
      <c r="D13" s="4"/>
      <c r="E13" s="4"/>
      <c r="F13" s="4"/>
      <c r="G13" s="4"/>
      <c r="H13" s="4"/>
      <c r="I13" s="5"/>
      <c r="J13" s="5"/>
      <c r="K13" s="5"/>
    </row>
    <row r="14" spans="1:11" x14ac:dyDescent="0.2">
      <c r="A14" t="str">
        <f ca="1">OFFSET(Northland_Reference,56,2)</f>
        <v>Other Household Travel</v>
      </c>
      <c r="B14" s="4"/>
      <c r="C14" s="4"/>
      <c r="D14" s="4"/>
      <c r="E14" s="4"/>
      <c r="F14" s="4"/>
      <c r="G14" s="4"/>
      <c r="H14" s="4"/>
      <c r="I14" s="5"/>
      <c r="J14" s="5"/>
      <c r="K14" s="5"/>
    </row>
    <row r="15" spans="1:11" x14ac:dyDescent="0.2">
      <c r="A15" t="str">
        <f ca="1">OFFSET(Auckland_Reference,0,0)</f>
        <v>02 AUCKLAND</v>
      </c>
      <c r="B15">
        <f>[4]Population!D5</f>
        <v>1493200</v>
      </c>
      <c r="C15">
        <f>[4]Population!E5</f>
        <v>1699900</v>
      </c>
      <c r="D15">
        <f>[4]Population!F5</f>
        <v>1859300</v>
      </c>
      <c r="E15">
        <f>[4]Population!G5</f>
        <v>1990100</v>
      </c>
      <c r="F15">
        <f>[4]Population!H5</f>
        <v>2112000</v>
      </c>
      <c r="G15">
        <f>[4]Population!I5</f>
        <v>2222700</v>
      </c>
      <c r="H15">
        <f>[4]Population!J5</f>
        <v>2326200</v>
      </c>
      <c r="I15" s="5">
        <f>[4]Population!K5</f>
        <v>2426169.3209874001</v>
      </c>
      <c r="J15" s="5">
        <f>[4]Population!L5</f>
        <v>2522380.0510219927</v>
      </c>
      <c r="K15" s="5">
        <f>[4]Population!M5</f>
        <v>2616770.3366602762</v>
      </c>
    </row>
    <row r="16" spans="1:11" x14ac:dyDescent="0.2">
      <c r="A16" t="str">
        <f ca="1">OFFSET(Auckland_Reference,0,2)</f>
        <v>Pedestrian</v>
      </c>
      <c r="B16" s="4"/>
      <c r="C16" s="4"/>
      <c r="D16" s="4"/>
      <c r="E16" s="4"/>
      <c r="F16" s="4"/>
      <c r="G16" s="4"/>
      <c r="H16" s="4"/>
      <c r="I16" s="5"/>
      <c r="J16" s="5"/>
      <c r="K16" s="5"/>
    </row>
    <row r="17" spans="1:11" x14ac:dyDescent="0.2">
      <c r="A17" t="str">
        <f ca="1">OFFSET(Auckland_Reference,7,2)</f>
        <v>Cyclist</v>
      </c>
      <c r="B17" s="4"/>
      <c r="C17" s="4"/>
      <c r="D17" s="4"/>
      <c r="E17" s="4"/>
      <c r="F17" s="4"/>
      <c r="G17" s="4"/>
      <c r="H17" s="4"/>
      <c r="I17" s="5"/>
      <c r="J17" s="5"/>
      <c r="K17" s="5"/>
    </row>
    <row r="18" spans="1:11" x14ac:dyDescent="0.2">
      <c r="A18" t="str">
        <f ca="1">OFFSET(Auckland_Reference,14,2)</f>
        <v>Light Vehicle Driver</v>
      </c>
      <c r="B18" s="4"/>
      <c r="C18" s="4"/>
      <c r="D18" s="4"/>
      <c r="E18" s="4"/>
      <c r="F18" s="4"/>
      <c r="G18" s="4"/>
      <c r="H18" s="4"/>
      <c r="I18" s="5"/>
      <c r="J18" s="5"/>
      <c r="K18" s="5"/>
    </row>
    <row r="19" spans="1:11" x14ac:dyDescent="0.2">
      <c r="A19" t="str">
        <f ca="1">OFFSET(Auckland_Reference,21,2)</f>
        <v>Light Vehicle Passenger</v>
      </c>
      <c r="B19" s="4"/>
      <c r="C19" s="4"/>
      <c r="D19" s="4"/>
      <c r="E19" s="4"/>
      <c r="F19" s="4"/>
      <c r="G19" s="4"/>
      <c r="H19" s="4"/>
      <c r="I19" s="5"/>
      <c r="J19" s="5"/>
      <c r="K19" s="5"/>
    </row>
    <row r="20" spans="1:11" x14ac:dyDescent="0.2">
      <c r="A20" t="str">
        <f ca="1">OFFSET(Auckland_Reference,28,2)</f>
        <v>Taxi/Vehicle Share</v>
      </c>
      <c r="B20" s="4"/>
      <c r="C20" s="4"/>
      <c r="D20" s="4"/>
      <c r="E20" s="4"/>
      <c r="F20" s="4"/>
      <c r="G20" s="4"/>
      <c r="H20" s="4"/>
      <c r="I20" s="5"/>
      <c r="J20" s="5"/>
      <c r="K20" s="5"/>
    </row>
    <row r="21" spans="1:11" x14ac:dyDescent="0.2">
      <c r="A21" t="str">
        <f ca="1">OFFSET(Auckland_Reference,35,2)</f>
        <v>Motorcyclist</v>
      </c>
      <c r="B21" s="4"/>
      <c r="C21" s="4"/>
      <c r="D21" s="4"/>
      <c r="E21" s="4"/>
      <c r="F21" s="4"/>
      <c r="G21" s="4"/>
      <c r="H21" s="4"/>
      <c r="I21" s="5"/>
      <c r="J21" s="5"/>
      <c r="K21" s="5"/>
    </row>
    <row r="22" spans="1:11" x14ac:dyDescent="0.2">
      <c r="A22" t="str">
        <f ca="1">OFFSET(Auckland_Reference,42,2)</f>
        <v>Local Train</v>
      </c>
      <c r="B22" s="4"/>
      <c r="C22" s="4"/>
      <c r="D22" s="4"/>
      <c r="E22" s="4"/>
      <c r="F22" s="4"/>
      <c r="G22" s="4"/>
      <c r="H22" s="4"/>
      <c r="I22" s="5"/>
      <c r="J22" s="5"/>
      <c r="K22" s="5"/>
    </row>
    <row r="23" spans="1:11" x14ac:dyDescent="0.2">
      <c r="A23" t="str">
        <f ca="1">OFFSET(Auckland_Reference,49,2)</f>
        <v>Local Bus</v>
      </c>
      <c r="B23" s="4"/>
      <c r="C23" s="4"/>
      <c r="D23" s="4"/>
      <c r="E23" s="4"/>
      <c r="F23" s="4"/>
      <c r="G23" s="4"/>
      <c r="H23" s="4"/>
      <c r="I23" s="5"/>
      <c r="J23" s="5"/>
      <c r="K23" s="5"/>
    </row>
    <row r="24" spans="1:11" x14ac:dyDescent="0.2">
      <c r="A24" t="str">
        <f ca="1">OFFSET(Auckland_Reference,56,2)</f>
        <v>Local Ferry</v>
      </c>
      <c r="B24" s="4"/>
      <c r="C24" s="4"/>
      <c r="D24" s="4"/>
      <c r="E24" s="4"/>
      <c r="F24" s="4"/>
      <c r="G24" s="4"/>
      <c r="H24" s="4"/>
      <c r="I24" s="5"/>
      <c r="J24" s="5"/>
      <c r="K24" s="5"/>
    </row>
    <row r="25" spans="1:11" x14ac:dyDescent="0.2">
      <c r="A25" t="str">
        <f ca="1">OFFSET(Auckland_Reference,63,2)</f>
        <v>Other Household Travel</v>
      </c>
      <c r="B25" s="4"/>
      <c r="C25" s="4"/>
      <c r="D25" s="4"/>
      <c r="E25" s="4"/>
      <c r="F25" s="4"/>
      <c r="G25" s="4"/>
      <c r="H25" s="4"/>
      <c r="I25" s="5"/>
      <c r="J25" s="5"/>
      <c r="K25" s="5"/>
    </row>
    <row r="26" spans="1:11" x14ac:dyDescent="0.2">
      <c r="A26" t="str">
        <f ca="1">OFFSET(Waikato_Reference,0,0)</f>
        <v>03 WAIKATO</v>
      </c>
      <c r="B26">
        <f>[4]Population!D6</f>
        <v>424600</v>
      </c>
      <c r="C26">
        <f>[4]Population!E6</f>
        <v>467200</v>
      </c>
      <c r="D26">
        <f>[4]Population!F6</f>
        <v>493500</v>
      </c>
      <c r="E26">
        <f>[4]Population!G6</f>
        <v>514600</v>
      </c>
      <c r="F26">
        <f>[4]Population!H6</f>
        <v>533000</v>
      </c>
      <c r="G26">
        <f>[4]Population!I6</f>
        <v>548500</v>
      </c>
      <c r="H26">
        <f>[4]Population!J6</f>
        <v>562100</v>
      </c>
      <c r="I26" s="5">
        <f>[4]Population!K6</f>
        <v>574061.46126187849</v>
      </c>
      <c r="J26" s="5">
        <f>[4]Population!L6</f>
        <v>584411.23967119039</v>
      </c>
      <c r="K26" s="5">
        <f>[4]Population!M6</f>
        <v>593669.03382608329</v>
      </c>
    </row>
    <row r="27" spans="1:11" x14ac:dyDescent="0.2">
      <c r="A27" t="str">
        <f ca="1">OFFSET(Waikato_Reference,0,2)</f>
        <v>Pedestrian</v>
      </c>
      <c r="B27" s="4"/>
      <c r="C27" s="4"/>
      <c r="D27" s="4"/>
      <c r="E27" s="4"/>
      <c r="F27" s="4"/>
      <c r="G27" s="4"/>
      <c r="H27" s="4"/>
      <c r="I27" s="5"/>
      <c r="J27" s="5"/>
      <c r="K27" s="5"/>
    </row>
    <row r="28" spans="1:11" x14ac:dyDescent="0.2">
      <c r="A28" t="str">
        <f ca="1">OFFSET(Waikato_Reference,7,2)</f>
        <v>Cyclist</v>
      </c>
      <c r="B28" s="4"/>
      <c r="C28" s="4"/>
      <c r="D28" s="4"/>
      <c r="E28" s="4"/>
      <c r="F28" s="4"/>
      <c r="G28" s="4"/>
      <c r="H28" s="4"/>
      <c r="I28" s="5"/>
      <c r="J28" s="5"/>
      <c r="K28" s="5"/>
    </row>
    <row r="29" spans="1:11" x14ac:dyDescent="0.2">
      <c r="A29" t="str">
        <f ca="1">OFFSET(Waikato_Reference,14,2)</f>
        <v>Light Vehicle Driver</v>
      </c>
      <c r="B29" s="4"/>
      <c r="C29" s="4"/>
      <c r="D29" s="4"/>
      <c r="E29" s="4"/>
      <c r="F29" s="4"/>
      <c r="G29" s="4"/>
      <c r="H29" s="4"/>
      <c r="I29" s="5"/>
      <c r="J29" s="5"/>
      <c r="K29" s="5"/>
    </row>
    <row r="30" spans="1:11" x14ac:dyDescent="0.2">
      <c r="A30" t="str">
        <f ca="1">OFFSET(Waikato_Reference,21,2)</f>
        <v>Light Vehicle Passenger</v>
      </c>
      <c r="B30" s="4"/>
      <c r="C30" s="4"/>
      <c r="D30" s="4"/>
      <c r="E30" s="4"/>
      <c r="F30" s="4"/>
      <c r="G30" s="4"/>
      <c r="H30" s="4"/>
      <c r="I30" s="5"/>
      <c r="J30" s="5"/>
      <c r="K30" s="5"/>
    </row>
    <row r="31" spans="1:11" x14ac:dyDescent="0.2">
      <c r="A31" t="str">
        <f ca="1">OFFSET(Waikato_Reference,28,2)</f>
        <v>Taxi/Vehicle Share</v>
      </c>
      <c r="B31" s="4"/>
      <c r="C31" s="4"/>
      <c r="D31" s="4"/>
      <c r="E31" s="4"/>
      <c r="F31" s="4"/>
      <c r="G31" s="4"/>
      <c r="H31" s="4"/>
      <c r="I31" s="5"/>
      <c r="J31" s="5"/>
      <c r="K31" s="5"/>
    </row>
    <row r="32" spans="1:11" x14ac:dyDescent="0.2">
      <c r="A32" t="str">
        <f ca="1">OFFSET(Waikato_Reference,35,2)</f>
        <v>Motorcyclist</v>
      </c>
      <c r="B32" s="4"/>
      <c r="C32" s="4"/>
      <c r="D32" s="4"/>
      <c r="E32" s="4"/>
      <c r="F32" s="4"/>
      <c r="G32" s="4"/>
      <c r="H32" s="4"/>
      <c r="I32" s="5"/>
      <c r="J32" s="5"/>
      <c r="K32" s="5"/>
    </row>
    <row r="33" spans="1:11" x14ac:dyDescent="0.2">
      <c r="A33" t="str">
        <f ca="1">OFFSET(Waikato_Reference,42,2)</f>
        <v>Local Train</v>
      </c>
      <c r="B33" s="4"/>
      <c r="C33" s="4"/>
      <c r="D33" s="4"/>
      <c r="E33" s="4"/>
      <c r="F33" s="4"/>
      <c r="G33" s="4"/>
      <c r="H33" s="4"/>
      <c r="I33" s="5"/>
      <c r="J33" s="5"/>
      <c r="K33" s="5"/>
    </row>
    <row r="34" spans="1:11" x14ac:dyDescent="0.2">
      <c r="A34" t="str">
        <f ca="1">OFFSET(Waikato_Reference,49,2)</f>
        <v>Local Bus</v>
      </c>
      <c r="B34" s="4"/>
      <c r="C34" s="4"/>
      <c r="D34" s="4"/>
      <c r="E34" s="4"/>
      <c r="F34" s="4"/>
      <c r="G34" s="4"/>
      <c r="H34" s="4"/>
      <c r="I34" s="5"/>
      <c r="J34" s="5"/>
      <c r="K34" s="5"/>
    </row>
    <row r="35" spans="1:11" x14ac:dyDescent="0.2">
      <c r="A35" t="str">
        <f ca="1">OFFSET(Waikato_Reference,56,2)</f>
        <v>Local Ferry</v>
      </c>
      <c r="B35" s="4"/>
      <c r="C35" s="4"/>
      <c r="D35" s="4"/>
      <c r="E35" s="4"/>
      <c r="F35" s="4"/>
      <c r="G35" s="4"/>
      <c r="H35" s="4"/>
      <c r="I35" s="5"/>
      <c r="J35" s="5"/>
      <c r="K35" s="5"/>
    </row>
    <row r="36" spans="1:11" x14ac:dyDescent="0.2">
      <c r="A36" t="str">
        <f ca="1">OFFSET(Waikato_Reference,63,2)</f>
        <v>Other Household Travel</v>
      </c>
      <c r="B36" s="4"/>
      <c r="C36" s="4"/>
      <c r="D36" s="4"/>
      <c r="E36" s="4"/>
      <c r="F36" s="4"/>
      <c r="G36" s="4"/>
      <c r="H36" s="4"/>
      <c r="I36" s="5"/>
      <c r="J36" s="5"/>
      <c r="K36" s="5"/>
    </row>
    <row r="37" spans="1:11" x14ac:dyDescent="0.2">
      <c r="A37" t="str">
        <f ca="1">OFFSET(BOP_Reference,0,0)</f>
        <v>04 BAY OF PLENTY</v>
      </c>
      <c r="B37">
        <f>[4]Population!D7</f>
        <v>279700</v>
      </c>
      <c r="C37">
        <f>[4]Population!E7</f>
        <v>303500</v>
      </c>
      <c r="D37">
        <f>[4]Population!F7</f>
        <v>318400</v>
      </c>
      <c r="E37">
        <f>[4]Population!G7</f>
        <v>329800</v>
      </c>
      <c r="F37">
        <f>[4]Population!H7</f>
        <v>339400</v>
      </c>
      <c r="G37">
        <f>[4]Population!I7</f>
        <v>346900</v>
      </c>
      <c r="H37">
        <f>[4]Population!J7</f>
        <v>353100</v>
      </c>
      <c r="I37" s="5">
        <f>[4]Population!K7</f>
        <v>358178.0673412038</v>
      </c>
      <c r="J37" s="5">
        <f>[4]Population!L7</f>
        <v>362172.62499492266</v>
      </c>
      <c r="K37" s="5">
        <f>[4]Population!M7</f>
        <v>365424.7190309171</v>
      </c>
    </row>
    <row r="38" spans="1:11" x14ac:dyDescent="0.2">
      <c r="A38" t="str">
        <f ca="1">OFFSET(BOP_Reference,0,2)</f>
        <v>Pedestrian</v>
      </c>
      <c r="B38" s="4"/>
      <c r="C38" s="4"/>
      <c r="D38" s="4"/>
      <c r="E38" s="4"/>
      <c r="F38" s="4"/>
      <c r="G38" s="4"/>
      <c r="H38" s="4"/>
      <c r="I38" s="5"/>
      <c r="J38" s="5"/>
      <c r="K38" s="5"/>
    </row>
    <row r="39" spans="1:11" x14ac:dyDescent="0.2">
      <c r="A39" t="str">
        <f ca="1">OFFSET(BOP_Reference,7,2)</f>
        <v>Cyclist</v>
      </c>
      <c r="B39" s="4"/>
      <c r="C39" s="4"/>
      <c r="D39" s="4"/>
      <c r="E39" s="4"/>
      <c r="F39" s="4"/>
      <c r="G39" s="4"/>
      <c r="H39" s="4"/>
      <c r="I39" s="5"/>
      <c r="J39" s="5"/>
      <c r="K39" s="5"/>
    </row>
    <row r="40" spans="1:11" x14ac:dyDescent="0.2">
      <c r="A40" t="str">
        <f ca="1">OFFSET(BOP_Reference,14,2)</f>
        <v>Light Vehicle Driver</v>
      </c>
      <c r="B40" s="4"/>
      <c r="C40" s="4"/>
      <c r="D40" s="4"/>
      <c r="E40" s="4"/>
      <c r="F40" s="4"/>
      <c r="G40" s="4"/>
      <c r="H40" s="4"/>
      <c r="I40" s="5"/>
      <c r="J40" s="5"/>
      <c r="K40" s="5"/>
    </row>
    <row r="41" spans="1:11" x14ac:dyDescent="0.2">
      <c r="A41" t="str">
        <f ca="1">OFFSET(BOP_Reference,21,2)</f>
        <v>Light Vehicle Passenger</v>
      </c>
      <c r="B41" s="4"/>
      <c r="C41" s="4"/>
      <c r="D41" s="4"/>
      <c r="E41" s="4"/>
      <c r="F41" s="4"/>
      <c r="G41" s="4"/>
      <c r="H41" s="4"/>
      <c r="I41" s="5"/>
      <c r="J41" s="5"/>
      <c r="K41" s="5"/>
    </row>
    <row r="42" spans="1:11" x14ac:dyDescent="0.2">
      <c r="A42" t="str">
        <f ca="1">OFFSET(BOP_Reference,28,2)</f>
        <v>Taxi/Vehicle Share</v>
      </c>
      <c r="B42" s="4"/>
      <c r="C42" s="4"/>
      <c r="D42" s="4"/>
      <c r="E42" s="4"/>
      <c r="F42" s="4"/>
      <c r="G42" s="4"/>
      <c r="H42" s="4"/>
      <c r="I42" s="5"/>
      <c r="J42" s="5"/>
      <c r="K42" s="5"/>
    </row>
    <row r="43" spans="1:11" x14ac:dyDescent="0.2">
      <c r="A43" t="str">
        <f ca="1">OFFSET(BOP_Reference,35,2)</f>
        <v>Motorcyclist</v>
      </c>
      <c r="B43" s="4"/>
      <c r="C43" s="4"/>
      <c r="D43" s="4"/>
      <c r="E43" s="4"/>
      <c r="F43" s="4"/>
      <c r="G43" s="4"/>
      <c r="H43" s="4"/>
      <c r="I43" s="5"/>
      <c r="J43" s="5"/>
      <c r="K43" s="5"/>
    </row>
    <row r="44" spans="1:11" x14ac:dyDescent="0.2">
      <c r="A44" t="str">
        <f ca="1">OFFSET(Auckland_Reference,42,2)</f>
        <v>Local Train</v>
      </c>
      <c r="B44" s="4"/>
      <c r="C44" s="4"/>
      <c r="D44" s="4"/>
      <c r="E44" s="4"/>
      <c r="F44" s="4"/>
      <c r="G44" s="4"/>
      <c r="H44" s="4"/>
      <c r="I44" s="5"/>
      <c r="J44" s="5"/>
      <c r="K44" s="5"/>
    </row>
    <row r="45" spans="1:11" x14ac:dyDescent="0.2">
      <c r="A45" t="str">
        <f ca="1">OFFSET(BOP_Reference,42,2)</f>
        <v>Local Bus</v>
      </c>
      <c r="B45" s="4"/>
      <c r="C45" s="4"/>
      <c r="D45" s="4"/>
      <c r="E45" s="4"/>
      <c r="F45" s="4"/>
      <c r="G45" s="4"/>
      <c r="H45" s="4"/>
      <c r="I45" s="5"/>
      <c r="J45" s="5"/>
      <c r="K45" s="5"/>
    </row>
    <row r="46" spans="1:11" x14ac:dyDescent="0.2">
      <c r="A46" t="str">
        <f ca="1">OFFSET(Waikato_Reference,56,2)</f>
        <v>Local Ferry</v>
      </c>
      <c r="B46" s="4"/>
      <c r="C46" s="4"/>
      <c r="D46" s="4"/>
      <c r="E46" s="4"/>
      <c r="F46" s="4"/>
      <c r="G46" s="4"/>
      <c r="H46" s="4"/>
      <c r="I46" s="5"/>
      <c r="J46" s="5"/>
      <c r="K46" s="5"/>
    </row>
    <row r="47" spans="1:11" x14ac:dyDescent="0.2">
      <c r="A47" t="str">
        <f ca="1">OFFSET(BOP_Reference,49,2)</f>
        <v>Other Household Travel</v>
      </c>
      <c r="B47" s="4"/>
      <c r="C47" s="4"/>
      <c r="D47" s="4"/>
      <c r="E47" s="4"/>
      <c r="F47" s="4"/>
      <c r="G47" s="4"/>
      <c r="H47" s="4"/>
      <c r="I47" s="5"/>
      <c r="J47" s="5"/>
      <c r="K47" s="5"/>
    </row>
    <row r="48" spans="1:11" x14ac:dyDescent="0.2">
      <c r="A48" t="str">
        <f ca="1">OFFSET(Gisborne_Reference,0,0)</f>
        <v>05 GISBORNE</v>
      </c>
      <c r="B48">
        <f>[4]Population!D8</f>
        <v>47000</v>
      </c>
      <c r="C48">
        <f>[4]Population!E8</f>
        <v>48500</v>
      </c>
      <c r="D48">
        <f>[4]Population!F8</f>
        <v>49400</v>
      </c>
      <c r="E48">
        <f>[4]Population!G8</f>
        <v>50000</v>
      </c>
      <c r="F48">
        <f>[4]Population!H8</f>
        <v>50300</v>
      </c>
      <c r="G48">
        <f>[4]Population!I8</f>
        <v>50200</v>
      </c>
      <c r="H48">
        <f>[4]Population!J8</f>
        <v>49900</v>
      </c>
      <c r="I48" s="5">
        <f>[4]Population!K8</f>
        <v>49431.663701127458</v>
      </c>
      <c r="J48" s="5">
        <f>[4]Population!L8</f>
        <v>48811.850271600131</v>
      </c>
      <c r="K48" s="5">
        <f>[4]Population!M8</f>
        <v>48096.224053239421</v>
      </c>
    </row>
    <row r="49" spans="1:11" x14ac:dyDescent="0.2">
      <c r="A49" t="str">
        <f ca="1">OFFSET(Gisborne_Reference,0,2)</f>
        <v>Pedestrian</v>
      </c>
      <c r="B49" s="4"/>
      <c r="C49" s="4"/>
      <c r="D49" s="4"/>
      <c r="E49" s="4"/>
      <c r="F49" s="4"/>
      <c r="G49" s="4"/>
      <c r="H49" s="4"/>
      <c r="I49" s="5"/>
      <c r="J49" s="5"/>
      <c r="K49" s="5"/>
    </row>
    <row r="50" spans="1:11" x14ac:dyDescent="0.2">
      <c r="A50" t="str">
        <f ca="1">OFFSET(Gisborne_Reference,7,2)</f>
        <v>Cyclist</v>
      </c>
      <c r="B50" s="4"/>
      <c r="C50" s="4"/>
      <c r="D50" s="4"/>
      <c r="E50" s="4"/>
      <c r="F50" s="4"/>
      <c r="G50" s="4"/>
      <c r="H50" s="4"/>
      <c r="I50" s="5"/>
      <c r="J50" s="5"/>
      <c r="K50" s="5"/>
    </row>
    <row r="51" spans="1:11" x14ac:dyDescent="0.2">
      <c r="A51" t="str">
        <f ca="1">OFFSET(Gisborne_Reference,14,2)</f>
        <v>Light Vehicle Driver</v>
      </c>
      <c r="B51" s="4"/>
      <c r="C51" s="4"/>
      <c r="D51" s="4"/>
      <c r="E51" s="4"/>
      <c r="F51" s="4"/>
      <c r="G51" s="4"/>
      <c r="H51" s="4"/>
      <c r="I51" s="5"/>
      <c r="J51" s="5"/>
      <c r="K51" s="5"/>
    </row>
    <row r="52" spans="1:11" x14ac:dyDescent="0.2">
      <c r="A52" t="str">
        <f ca="1">OFFSET(Gisborne_Reference,21,2)</f>
        <v>Light Vehicle Passenger</v>
      </c>
      <c r="B52" s="4"/>
      <c r="C52" s="4"/>
      <c r="D52" s="4"/>
      <c r="E52" s="4"/>
      <c r="F52" s="4"/>
      <c r="G52" s="4"/>
      <c r="H52" s="4"/>
      <c r="I52" s="5"/>
      <c r="J52" s="5"/>
      <c r="K52" s="5"/>
    </row>
    <row r="53" spans="1:11" x14ac:dyDescent="0.2">
      <c r="A53" t="str">
        <f ca="1">OFFSET(Gisborne_Reference,28,2)</f>
        <v>Taxi/Vehicle Share</v>
      </c>
      <c r="B53" s="4"/>
      <c r="C53" s="4"/>
      <c r="D53" s="4"/>
      <c r="E53" s="4"/>
      <c r="F53" s="4"/>
      <c r="G53" s="4"/>
      <c r="H53" s="4"/>
      <c r="I53" s="5"/>
      <c r="J53" s="5"/>
      <c r="K53" s="5"/>
    </row>
    <row r="54" spans="1:11" x14ac:dyDescent="0.2">
      <c r="A54" t="str">
        <f ca="1">OFFSET(Gisborne_Reference,35,2)</f>
        <v>Motorcyclist</v>
      </c>
      <c r="B54" s="4"/>
      <c r="C54" s="4"/>
      <c r="D54" s="4"/>
      <c r="E54" s="4"/>
      <c r="F54" s="4"/>
      <c r="G54" s="4"/>
      <c r="H54" s="4"/>
      <c r="I54" s="5"/>
      <c r="J54" s="5"/>
      <c r="K54" s="5"/>
    </row>
    <row r="55" spans="1:11" x14ac:dyDescent="0.2">
      <c r="A55" t="str">
        <f ca="1">OFFSET(Gisborne_Reference,42,2)</f>
        <v>Local Train</v>
      </c>
      <c r="B55" s="4"/>
      <c r="C55" s="4"/>
      <c r="D55" s="4"/>
      <c r="E55" s="4"/>
      <c r="F55" s="4"/>
      <c r="G55" s="4"/>
      <c r="H55" s="4"/>
      <c r="I55" s="5"/>
      <c r="J55" s="5"/>
      <c r="K55" s="5"/>
    </row>
    <row r="56" spans="1:11" x14ac:dyDescent="0.2">
      <c r="A56" t="str">
        <f ca="1">OFFSET(Gisborne_Reference,49,2)</f>
        <v>Local Bus</v>
      </c>
      <c r="B56" s="4"/>
      <c r="C56" s="4"/>
      <c r="D56" s="4"/>
      <c r="E56" s="4"/>
      <c r="F56" s="4"/>
      <c r="G56" s="4"/>
      <c r="H56" s="4"/>
      <c r="I56" s="5"/>
      <c r="J56" s="5"/>
      <c r="K56" s="5"/>
    </row>
    <row r="57" spans="1:11" x14ac:dyDescent="0.2">
      <c r="A57" t="str">
        <f ca="1">OFFSET(Gisborne_Reference,56,2)</f>
        <v>Local Ferry</v>
      </c>
      <c r="B57" s="4"/>
      <c r="C57" s="4"/>
      <c r="D57" s="4"/>
      <c r="E57" s="4"/>
      <c r="F57" s="4"/>
      <c r="G57" s="4"/>
      <c r="H57" s="4"/>
      <c r="I57" s="5"/>
      <c r="J57" s="5"/>
      <c r="K57" s="5"/>
    </row>
    <row r="58" spans="1:11" x14ac:dyDescent="0.2">
      <c r="A58" t="str">
        <f ca="1">OFFSET(Gisborne_Reference,63,2)</f>
        <v>Other Household Travel</v>
      </c>
      <c r="B58" s="4"/>
      <c r="C58" s="4"/>
      <c r="D58" s="4"/>
      <c r="E58" s="4"/>
      <c r="F58" s="4"/>
      <c r="G58" s="4"/>
      <c r="H58" s="4"/>
      <c r="I58" s="5"/>
      <c r="J58" s="5"/>
      <c r="K58" s="5"/>
    </row>
    <row r="59" spans="1:11" x14ac:dyDescent="0.2">
      <c r="A59" t="str">
        <f ca="1">OFFSET(Hawkes_Bay_Reference,0,0)</f>
        <v>06 HAWKE`S BAY</v>
      </c>
      <c r="B59">
        <f>[4]Population!D9</f>
        <v>158000</v>
      </c>
      <c r="C59">
        <f>[4]Population!E9</f>
        <v>164100</v>
      </c>
      <c r="D59">
        <f>[4]Population!F9</f>
        <v>167400</v>
      </c>
      <c r="E59">
        <f>[4]Population!G9</f>
        <v>169900</v>
      </c>
      <c r="F59">
        <f>[4]Population!H9</f>
        <v>171200</v>
      </c>
      <c r="G59">
        <f>[4]Population!I9</f>
        <v>171400</v>
      </c>
      <c r="H59">
        <f>[4]Population!J9</f>
        <v>170800</v>
      </c>
      <c r="I59" s="5">
        <f>[4]Population!K9</f>
        <v>169618.32437766416</v>
      </c>
      <c r="J59" s="5">
        <f>[4]Population!L9</f>
        <v>167908.6352501736</v>
      </c>
      <c r="K59" s="5">
        <f>[4]Population!M9</f>
        <v>165858.96984434372</v>
      </c>
    </row>
    <row r="60" spans="1:11" x14ac:dyDescent="0.2">
      <c r="A60" t="str">
        <f ca="1">OFFSET(Hawkes_Bay_Reference,0,2)</f>
        <v>Pedestrian</v>
      </c>
      <c r="B60" s="4"/>
      <c r="C60" s="4"/>
      <c r="D60" s="4"/>
      <c r="E60" s="4"/>
      <c r="F60" s="4"/>
      <c r="G60" s="4"/>
      <c r="H60" s="4"/>
      <c r="I60" s="5"/>
      <c r="J60" s="5"/>
      <c r="K60" s="5"/>
    </row>
    <row r="61" spans="1:11" x14ac:dyDescent="0.2">
      <c r="A61" t="str">
        <f ca="1">OFFSET(Hawkes_Bay_Reference,7,2)</f>
        <v>Cyclist</v>
      </c>
      <c r="B61" s="4"/>
      <c r="C61" s="4"/>
      <c r="D61" s="4"/>
      <c r="E61" s="4"/>
      <c r="F61" s="4"/>
      <c r="G61" s="4"/>
      <c r="H61" s="4"/>
      <c r="I61" s="5"/>
      <c r="J61" s="5"/>
      <c r="K61" s="5"/>
    </row>
    <row r="62" spans="1:11" x14ac:dyDescent="0.2">
      <c r="A62" t="str">
        <f ca="1">OFFSET(Hawkes_Bay_Reference,14,2)</f>
        <v>Light Vehicle Driver</v>
      </c>
      <c r="B62" s="4"/>
      <c r="C62" s="4"/>
      <c r="D62" s="4"/>
      <c r="E62" s="4"/>
      <c r="F62" s="4"/>
      <c r="G62" s="4"/>
      <c r="H62" s="4"/>
      <c r="I62" s="5"/>
      <c r="J62" s="5"/>
      <c r="K62" s="5"/>
    </row>
    <row r="63" spans="1:11" x14ac:dyDescent="0.2">
      <c r="A63" t="str">
        <f ca="1">OFFSET(Hawkes_Bay_Reference,21,2)</f>
        <v>Light Vehicle Passenger</v>
      </c>
      <c r="B63" s="4"/>
      <c r="C63" s="4"/>
      <c r="D63" s="4"/>
      <c r="E63" s="4"/>
      <c r="F63" s="4"/>
      <c r="G63" s="4"/>
      <c r="H63" s="4"/>
      <c r="I63" s="5"/>
      <c r="J63" s="5"/>
      <c r="K63" s="5"/>
    </row>
    <row r="64" spans="1:11" x14ac:dyDescent="0.2">
      <c r="A64" t="str">
        <f ca="1">OFFSET(Hawkes_Bay_Reference,28,2)</f>
        <v>Taxi/Vehicle Share</v>
      </c>
      <c r="B64" s="4"/>
      <c r="C64" s="4"/>
      <c r="D64" s="4"/>
      <c r="E64" s="4"/>
      <c r="F64" s="4"/>
      <c r="G64" s="4"/>
      <c r="H64" s="4"/>
      <c r="I64" s="5"/>
      <c r="J64" s="5"/>
      <c r="K64" s="5"/>
    </row>
    <row r="65" spans="1:11" x14ac:dyDescent="0.2">
      <c r="A65" t="str">
        <f ca="1">OFFSET(Hawkes_Bay_Reference,35,2)</f>
        <v>Motorcyclist</v>
      </c>
      <c r="B65" s="4"/>
      <c r="C65" s="4"/>
      <c r="D65" s="4"/>
      <c r="E65" s="4"/>
      <c r="F65" s="4"/>
      <c r="G65" s="4"/>
      <c r="H65" s="4"/>
      <c r="I65" s="5"/>
      <c r="J65" s="5"/>
      <c r="K65" s="5"/>
    </row>
    <row r="66" spans="1:11" x14ac:dyDescent="0.2">
      <c r="A66" t="str">
        <f ca="1">OFFSET(Auckland_Reference,42,2)</f>
        <v>Local Train</v>
      </c>
      <c r="B66" s="4"/>
      <c r="C66" s="4"/>
      <c r="D66" s="4"/>
      <c r="E66" s="4"/>
      <c r="F66" s="4"/>
      <c r="G66" s="4"/>
      <c r="H66" s="4"/>
      <c r="I66" s="5"/>
      <c r="J66" s="5"/>
      <c r="K66" s="5"/>
    </row>
    <row r="67" spans="1:11" x14ac:dyDescent="0.2">
      <c r="A67" t="str">
        <f ca="1">OFFSET(Hawkes_Bay_Reference,42,2)</f>
        <v>Local Bus</v>
      </c>
      <c r="B67" s="4"/>
      <c r="C67" s="4"/>
      <c r="D67" s="4"/>
      <c r="E67" s="4"/>
      <c r="F67" s="4"/>
      <c r="G67" s="4"/>
      <c r="H67" s="4"/>
      <c r="I67" s="5"/>
      <c r="J67" s="5"/>
      <c r="K67" s="5"/>
    </row>
    <row r="68" spans="1:11" x14ac:dyDescent="0.2">
      <c r="A68" t="str">
        <f ca="1">OFFSET(Waikato_Reference,56,2)</f>
        <v>Local Ferry</v>
      </c>
      <c r="B68" s="4"/>
      <c r="C68" s="4"/>
      <c r="D68" s="4"/>
      <c r="E68" s="4"/>
      <c r="F68" s="4"/>
      <c r="G68" s="4"/>
      <c r="H68" s="4"/>
      <c r="I68" s="5"/>
      <c r="J68" s="5"/>
      <c r="K68" s="5"/>
    </row>
    <row r="69" spans="1:11" x14ac:dyDescent="0.2">
      <c r="A69" t="str">
        <f ca="1">OFFSET(Hawkes_Bay_Reference,49,2)</f>
        <v>Other Household Travel</v>
      </c>
      <c r="B69" s="4"/>
      <c r="C69" s="4"/>
      <c r="D69" s="4"/>
      <c r="E69" s="4"/>
      <c r="F69" s="4"/>
      <c r="G69" s="4"/>
      <c r="H69" s="4"/>
      <c r="I69" s="5"/>
      <c r="J69" s="5"/>
      <c r="K69" s="5"/>
    </row>
    <row r="70" spans="1:11" x14ac:dyDescent="0.2">
      <c r="A70" t="str">
        <f ca="1">OFFSET(Taranaki_Reference,0,0)</f>
        <v>07 TARANAKI</v>
      </c>
      <c r="B70">
        <f>[4]Population!D10</f>
        <v>113600</v>
      </c>
      <c r="C70">
        <f>[4]Population!E10</f>
        <v>119100</v>
      </c>
      <c r="D70">
        <f>[4]Population!F10</f>
        <v>122500</v>
      </c>
      <c r="E70">
        <f>[4]Population!G10</f>
        <v>125500</v>
      </c>
      <c r="F70">
        <f>[4]Population!H10</f>
        <v>127800</v>
      </c>
      <c r="G70">
        <f>[4]Population!I10</f>
        <v>129500</v>
      </c>
      <c r="H70">
        <f>[4]Population!J10</f>
        <v>130800</v>
      </c>
      <c r="I70" s="5">
        <f>[4]Population!K10</f>
        <v>131659.91580643697</v>
      </c>
      <c r="J70" s="5">
        <f>[4]Population!L10</f>
        <v>132103.63348676322</v>
      </c>
      <c r="K70" s="5">
        <f>[4]Population!M10</f>
        <v>132263.99054396391</v>
      </c>
    </row>
    <row r="71" spans="1:11" x14ac:dyDescent="0.2">
      <c r="A71" t="str">
        <f ca="1">OFFSET(Taranaki_Reference,0,2)</f>
        <v>Pedestrian</v>
      </c>
      <c r="B71" s="4"/>
      <c r="C71" s="4"/>
      <c r="D71" s="4"/>
      <c r="E71" s="4"/>
      <c r="F71" s="4"/>
      <c r="G71" s="4"/>
      <c r="H71" s="4"/>
      <c r="I71" s="5"/>
      <c r="J71" s="5"/>
      <c r="K71" s="5"/>
    </row>
    <row r="72" spans="1:11" x14ac:dyDescent="0.2">
      <c r="A72" t="str">
        <f ca="1">OFFSET(Taranaki_Reference,7,2)</f>
        <v>Cyclist</v>
      </c>
      <c r="B72" s="4"/>
      <c r="C72" s="4"/>
      <c r="D72" s="4"/>
      <c r="E72" s="4"/>
      <c r="F72" s="4"/>
      <c r="G72" s="4"/>
      <c r="H72" s="4"/>
      <c r="I72" s="5"/>
      <c r="J72" s="5"/>
      <c r="K72" s="5"/>
    </row>
    <row r="73" spans="1:11" x14ac:dyDescent="0.2">
      <c r="A73" t="str">
        <f ca="1">OFFSET(Taranaki_Reference,14,2)</f>
        <v>Light Vehicle Driver</v>
      </c>
      <c r="B73" s="4"/>
      <c r="C73" s="4"/>
      <c r="D73" s="4"/>
      <c r="E73" s="4"/>
      <c r="F73" s="4"/>
      <c r="G73" s="4"/>
      <c r="H73" s="4"/>
      <c r="I73" s="5"/>
      <c r="J73" s="5"/>
      <c r="K73" s="5"/>
    </row>
    <row r="74" spans="1:11" x14ac:dyDescent="0.2">
      <c r="A74" t="str">
        <f ca="1">OFFSET(Taranaki_Reference,21,2)</f>
        <v>Light Vehicle Passenger</v>
      </c>
      <c r="B74" s="4"/>
      <c r="C74" s="4"/>
      <c r="D74" s="4"/>
      <c r="E74" s="4"/>
      <c r="F74" s="4"/>
      <c r="G74" s="4"/>
      <c r="H74" s="4"/>
      <c r="I74" s="5"/>
      <c r="J74" s="5"/>
      <c r="K74" s="5"/>
    </row>
    <row r="75" spans="1:11" x14ac:dyDescent="0.2">
      <c r="A75" t="str">
        <f ca="1">OFFSET(Taranaki_Reference,28,2)</f>
        <v>Taxi/Vehicle Share</v>
      </c>
      <c r="B75" s="4"/>
      <c r="C75" s="4"/>
      <c r="D75" s="4"/>
      <c r="E75" s="4"/>
      <c r="F75" s="4"/>
      <c r="G75" s="4"/>
      <c r="H75" s="4"/>
      <c r="I75" s="5"/>
      <c r="J75" s="5"/>
      <c r="K75" s="5"/>
    </row>
    <row r="76" spans="1:11" x14ac:dyDescent="0.2">
      <c r="A76" t="str">
        <f ca="1">OFFSET(Taranaki_Reference,35,2)</f>
        <v>Motorcyclist</v>
      </c>
      <c r="B76" s="4"/>
      <c r="C76" s="4"/>
      <c r="D76" s="4"/>
      <c r="E76" s="4"/>
      <c r="F76" s="4"/>
      <c r="G76" s="4"/>
      <c r="H76" s="4"/>
      <c r="I76" s="5"/>
      <c r="J76" s="5"/>
      <c r="K76" s="5"/>
    </row>
    <row r="77" spans="1:11" x14ac:dyDescent="0.2">
      <c r="A77" t="str">
        <f ca="1">OFFSET(Taranaki_Reference,42,2)</f>
        <v>Local Train</v>
      </c>
      <c r="B77" s="4"/>
      <c r="C77" s="4"/>
      <c r="D77" s="4"/>
      <c r="E77" s="4"/>
      <c r="F77" s="4"/>
      <c r="G77" s="4"/>
      <c r="H77" s="4"/>
      <c r="I77" s="5"/>
      <c r="J77" s="5"/>
      <c r="K77" s="5"/>
    </row>
    <row r="78" spans="1:11" x14ac:dyDescent="0.2">
      <c r="A78" t="str">
        <f ca="1">OFFSET(Taranaki_Reference,49,2)</f>
        <v>Local Bus</v>
      </c>
      <c r="B78" s="4"/>
      <c r="C78" s="4"/>
      <c r="D78" s="4"/>
      <c r="E78" s="4"/>
      <c r="F78" s="4"/>
      <c r="G78" s="4"/>
      <c r="H78" s="4"/>
      <c r="I78" s="5"/>
      <c r="J78" s="5"/>
      <c r="K78" s="5"/>
    </row>
    <row r="79" spans="1:11" x14ac:dyDescent="0.2">
      <c r="A79" t="str">
        <f ca="1">OFFSET(Waikato_Reference,56,2)</f>
        <v>Local Ferry</v>
      </c>
      <c r="B79" s="4"/>
      <c r="C79" s="4"/>
      <c r="D79" s="4"/>
      <c r="E79" s="4"/>
      <c r="F79" s="4"/>
      <c r="G79" s="4"/>
      <c r="H79" s="4"/>
      <c r="I79" s="5"/>
      <c r="J79" s="5"/>
      <c r="K79" s="5"/>
    </row>
    <row r="80" spans="1:11" x14ac:dyDescent="0.2">
      <c r="A80" t="str">
        <f ca="1">OFFSET(Taranaki_Reference,56,2)</f>
        <v>Other Household Travel</v>
      </c>
      <c r="B80" s="4"/>
      <c r="C80" s="4"/>
      <c r="D80" s="4"/>
      <c r="E80" s="4"/>
      <c r="F80" s="4"/>
      <c r="G80" s="4"/>
      <c r="H80" s="4"/>
      <c r="I80" s="5"/>
      <c r="J80" s="5"/>
      <c r="K80" s="5"/>
    </row>
    <row r="81" spans="1:11" x14ac:dyDescent="0.2">
      <c r="A81" t="str">
        <f ca="1">OFFSET(Manawatu_Reference,0,0)</f>
        <v>08 MANAWATU-WANGANUI</v>
      </c>
      <c r="B81">
        <f>[4]Population!D11</f>
        <v>231200</v>
      </c>
      <c r="C81">
        <f>[4]Population!E11</f>
        <v>240500</v>
      </c>
      <c r="D81">
        <f>[4]Population!F11</f>
        <v>244600</v>
      </c>
      <c r="E81">
        <f>[4]Population!G11</f>
        <v>247500</v>
      </c>
      <c r="F81">
        <f>[4]Population!H11</f>
        <v>248900</v>
      </c>
      <c r="G81">
        <f>[4]Population!I11</f>
        <v>248800</v>
      </c>
      <c r="H81">
        <f>[4]Population!J11</f>
        <v>247600</v>
      </c>
      <c r="I81" s="5">
        <f>[4]Population!K11</f>
        <v>245560.64087617269</v>
      </c>
      <c r="J81" s="5">
        <f>[4]Population!L11</f>
        <v>242762.85528000264</v>
      </c>
      <c r="K81" s="5">
        <f>[4]Population!M11</f>
        <v>239481.17720785996</v>
      </c>
    </row>
    <row r="82" spans="1:11" x14ac:dyDescent="0.2">
      <c r="A82" t="str">
        <f ca="1">OFFSET(Manawatu_Reference,0,2)</f>
        <v>Pedestrian</v>
      </c>
      <c r="B82" s="4"/>
      <c r="C82" s="4"/>
      <c r="D82" s="4"/>
      <c r="E82" s="4"/>
      <c r="F82" s="4"/>
      <c r="G82" s="4"/>
      <c r="H82" s="4"/>
      <c r="I82" s="5"/>
      <c r="J82" s="5"/>
      <c r="K82" s="5"/>
    </row>
    <row r="83" spans="1:11" x14ac:dyDescent="0.2">
      <c r="A83" t="str">
        <f ca="1">OFFSET(Manawatu_Reference,7,2)</f>
        <v>Cyclist</v>
      </c>
      <c r="B83" s="4"/>
      <c r="C83" s="4"/>
      <c r="D83" s="4"/>
      <c r="E83" s="4"/>
      <c r="F83" s="4"/>
      <c r="G83" s="4"/>
      <c r="H83" s="4"/>
      <c r="I83" s="5"/>
      <c r="J83" s="5"/>
      <c r="K83" s="5"/>
    </row>
    <row r="84" spans="1:11" x14ac:dyDescent="0.2">
      <c r="A84" t="str">
        <f ca="1">OFFSET(Manawatu_Reference,14,2)</f>
        <v>Light Vehicle Driver</v>
      </c>
      <c r="B84" s="4"/>
      <c r="C84" s="4"/>
      <c r="D84" s="4"/>
      <c r="E84" s="4"/>
      <c r="F84" s="4"/>
      <c r="G84" s="4"/>
      <c r="H84" s="4"/>
      <c r="I84" s="5"/>
      <c r="J84" s="5"/>
      <c r="K84" s="5"/>
    </row>
    <row r="85" spans="1:11" x14ac:dyDescent="0.2">
      <c r="A85" t="str">
        <f ca="1">OFFSET(Manawatu_Reference,21,2)</f>
        <v>Light Vehicle Passenger</v>
      </c>
      <c r="B85" s="4"/>
      <c r="C85" s="4"/>
      <c r="D85" s="4"/>
      <c r="E85" s="4"/>
      <c r="F85" s="4"/>
      <c r="G85" s="4"/>
      <c r="H85" s="4"/>
      <c r="I85" s="5"/>
      <c r="J85" s="5"/>
      <c r="K85" s="5"/>
    </row>
    <row r="86" spans="1:11" x14ac:dyDescent="0.2">
      <c r="A86" t="str">
        <f ca="1">OFFSET(Manawatu_Reference,28,2)</f>
        <v>Taxi/Vehicle Share</v>
      </c>
      <c r="B86" s="4"/>
      <c r="C86" s="4"/>
      <c r="D86" s="4"/>
      <c r="E86" s="4"/>
      <c r="F86" s="4"/>
      <c r="G86" s="4"/>
      <c r="H86" s="4"/>
      <c r="I86" s="5"/>
      <c r="J86" s="5"/>
      <c r="K86" s="5"/>
    </row>
    <row r="87" spans="1:11" x14ac:dyDescent="0.2">
      <c r="A87" t="str">
        <f ca="1">OFFSET(Manawatu_Reference,35,2)</f>
        <v>Motorcyclist</v>
      </c>
      <c r="B87" s="4"/>
      <c r="C87" s="4"/>
      <c r="D87" s="4"/>
      <c r="E87" s="4"/>
      <c r="F87" s="4"/>
      <c r="G87" s="4"/>
      <c r="H87" s="4"/>
      <c r="I87" s="5"/>
      <c r="J87" s="5"/>
      <c r="K87" s="5"/>
    </row>
    <row r="88" spans="1:11" x14ac:dyDescent="0.2">
      <c r="A88" t="str">
        <f ca="1">OFFSET(Taranaki_Reference,42,2)</f>
        <v>Local Train</v>
      </c>
      <c r="B88" s="4"/>
      <c r="C88" s="4"/>
      <c r="D88" s="4"/>
      <c r="E88" s="4"/>
      <c r="F88" s="4"/>
      <c r="G88" s="4"/>
      <c r="H88" s="4"/>
      <c r="I88" s="5"/>
      <c r="J88" s="5"/>
      <c r="K88" s="5"/>
    </row>
    <row r="89" spans="1:11" x14ac:dyDescent="0.2">
      <c r="A89" t="str">
        <f ca="1">OFFSET(Manawatu_Reference,42,2)</f>
        <v>Local Bus</v>
      </c>
      <c r="B89" s="4"/>
      <c r="C89" s="4"/>
      <c r="D89" s="4"/>
      <c r="E89" s="4"/>
      <c r="F89" s="4"/>
      <c r="G89" s="4"/>
      <c r="H89" s="4"/>
      <c r="I89" s="5"/>
      <c r="J89" s="5"/>
      <c r="K89" s="5"/>
    </row>
    <row r="90" spans="1:11" x14ac:dyDescent="0.2">
      <c r="A90" t="str">
        <f ca="1">OFFSET(Manawatu_Reference,49,2)</f>
        <v>Local Ferry</v>
      </c>
      <c r="B90" s="4"/>
      <c r="C90" s="4"/>
      <c r="D90" s="4"/>
      <c r="E90" s="4"/>
      <c r="F90" s="4"/>
      <c r="G90" s="4"/>
      <c r="H90" s="4"/>
      <c r="I90" s="5"/>
      <c r="J90" s="5"/>
      <c r="K90" s="5"/>
    </row>
    <row r="91" spans="1:11" x14ac:dyDescent="0.2">
      <c r="A91" t="str">
        <f ca="1">OFFSET(Manawatu_Reference,56,2)</f>
        <v>Other Household Travel</v>
      </c>
      <c r="B91" s="4"/>
      <c r="C91" s="4"/>
      <c r="D91" s="4"/>
      <c r="E91" s="4"/>
      <c r="F91" s="4"/>
      <c r="G91" s="4"/>
      <c r="H91" s="4"/>
      <c r="I91" s="5"/>
      <c r="J91" s="5"/>
      <c r="K91" s="5"/>
    </row>
    <row r="92" spans="1:11" x14ac:dyDescent="0.2">
      <c r="A92" t="str">
        <f ca="1">OFFSET(Wellington_Reference,0,0)</f>
        <v>09 WELLINGTON</v>
      </c>
      <c r="B92">
        <f>[4]Population!D12</f>
        <v>486700</v>
      </c>
      <c r="C92">
        <f>[4]Population!E12</f>
        <v>515200</v>
      </c>
      <c r="D92">
        <f>[4]Population!F12</f>
        <v>532500</v>
      </c>
      <c r="E92">
        <f>[4]Population!G12</f>
        <v>546200</v>
      </c>
      <c r="F92">
        <f>[4]Population!H12</f>
        <v>557400</v>
      </c>
      <c r="G92">
        <f>[4]Population!I12</f>
        <v>565600</v>
      </c>
      <c r="H92">
        <f>[4]Population!J12</f>
        <v>571300</v>
      </c>
      <c r="I92" s="5">
        <f>[4]Population!K12</f>
        <v>575078.1948151195</v>
      </c>
      <c r="J92" s="5">
        <f>[4]Population!L12</f>
        <v>577038.69691146258</v>
      </c>
      <c r="K92" s="5">
        <f>[4]Population!M12</f>
        <v>577761.56152978097</v>
      </c>
    </row>
    <row r="93" spans="1:11" x14ac:dyDescent="0.2">
      <c r="A93" t="str">
        <f ca="1">OFFSET(Wellington_Reference,0,2)</f>
        <v>Pedestrian</v>
      </c>
      <c r="B93" s="4"/>
      <c r="C93" s="4"/>
      <c r="D93" s="4"/>
      <c r="E93" s="4"/>
      <c r="F93" s="4"/>
      <c r="G93" s="4"/>
      <c r="H93" s="4"/>
      <c r="I93" s="5"/>
      <c r="J93" s="5"/>
      <c r="K93" s="5"/>
    </row>
    <row r="94" spans="1:11" x14ac:dyDescent="0.2">
      <c r="A94" t="str">
        <f ca="1">OFFSET(Wellington_Reference,7,2)</f>
        <v>Cyclist</v>
      </c>
      <c r="B94" s="4"/>
      <c r="C94" s="4"/>
      <c r="D94" s="4"/>
      <c r="E94" s="4"/>
      <c r="F94" s="4"/>
      <c r="G94" s="4"/>
      <c r="H94" s="4"/>
      <c r="I94" s="5"/>
      <c r="J94" s="5"/>
      <c r="K94" s="5"/>
    </row>
    <row r="95" spans="1:11" x14ac:dyDescent="0.2">
      <c r="A95" t="str">
        <f ca="1">OFFSET(Wellington_Reference,14,2)</f>
        <v>Light Vehicle Driver</v>
      </c>
      <c r="B95" s="4"/>
      <c r="C95" s="4"/>
      <c r="D95" s="4"/>
      <c r="E95" s="4"/>
      <c r="F95" s="4"/>
      <c r="G95" s="4"/>
      <c r="H95" s="4"/>
      <c r="I95" s="5"/>
      <c r="J95" s="5"/>
      <c r="K95" s="5"/>
    </row>
    <row r="96" spans="1:11" x14ac:dyDescent="0.2">
      <c r="A96" t="str">
        <f ca="1">OFFSET(Wellington_Reference,21,2)</f>
        <v>Light Vehicle Passenger</v>
      </c>
      <c r="B96" s="4"/>
      <c r="C96" s="4"/>
      <c r="D96" s="4"/>
      <c r="E96" s="4"/>
      <c r="F96" s="4"/>
      <c r="G96" s="4"/>
      <c r="H96" s="4"/>
      <c r="I96" s="5"/>
      <c r="J96" s="5"/>
      <c r="K96" s="5"/>
    </row>
    <row r="97" spans="1:11" x14ac:dyDescent="0.2">
      <c r="A97" t="str">
        <f ca="1">OFFSET(Wellington_Reference,28,2)</f>
        <v>Taxi/Vehicle Share</v>
      </c>
      <c r="B97" s="4"/>
      <c r="C97" s="4"/>
      <c r="D97" s="4"/>
      <c r="E97" s="4"/>
      <c r="F97" s="4"/>
      <c r="G97" s="4"/>
      <c r="H97" s="4"/>
      <c r="I97" s="5"/>
      <c r="J97" s="5"/>
      <c r="K97" s="5"/>
    </row>
    <row r="98" spans="1:11" x14ac:dyDescent="0.2">
      <c r="A98" t="str">
        <f ca="1">OFFSET(Wellington_Reference,35,2)</f>
        <v>Motorcyclist</v>
      </c>
      <c r="B98" s="4"/>
      <c r="C98" s="4"/>
      <c r="D98" s="4"/>
      <c r="E98" s="4"/>
      <c r="F98" s="4"/>
      <c r="G98" s="4"/>
      <c r="H98" s="4"/>
      <c r="I98" s="5"/>
      <c r="J98" s="5"/>
      <c r="K98" s="5"/>
    </row>
    <row r="99" spans="1:11" x14ac:dyDescent="0.2">
      <c r="A99" t="str">
        <f ca="1">OFFSET(Wellington_Reference,42,2)</f>
        <v>Local Train</v>
      </c>
      <c r="B99" s="4"/>
      <c r="C99" s="4"/>
      <c r="D99" s="4"/>
      <c r="E99" s="4"/>
      <c r="F99" s="4"/>
      <c r="G99" s="4"/>
      <c r="H99" s="4"/>
      <c r="I99" s="5"/>
      <c r="J99" s="5"/>
      <c r="K99" s="5"/>
    </row>
    <row r="100" spans="1:11" x14ac:dyDescent="0.2">
      <c r="A100" t="str">
        <f ca="1">OFFSET(Wellington_Reference,49,2)</f>
        <v>Local Bus</v>
      </c>
      <c r="B100" s="4"/>
      <c r="C100" s="4"/>
      <c r="D100" s="4"/>
      <c r="E100" s="4"/>
      <c r="F100" s="4"/>
      <c r="G100" s="4"/>
      <c r="H100" s="4"/>
      <c r="I100" s="5"/>
      <c r="J100" s="5"/>
      <c r="K100" s="5"/>
    </row>
    <row r="101" spans="1:11" x14ac:dyDescent="0.2">
      <c r="A101" t="str">
        <f ca="1">OFFSET(Wellington_Reference,56,2)</f>
        <v>Local Ferry</v>
      </c>
      <c r="B101" s="4"/>
      <c r="C101" s="4"/>
      <c r="D101" s="4"/>
      <c r="E101" s="4"/>
      <c r="F101" s="4"/>
      <c r="G101" s="4"/>
      <c r="H101" s="4"/>
      <c r="I101" s="5"/>
      <c r="J101" s="5"/>
      <c r="K101" s="5"/>
    </row>
    <row r="102" spans="1:11" x14ac:dyDescent="0.2">
      <c r="A102" t="str">
        <f ca="1">OFFSET(Wellington_Reference,63,2)</f>
        <v>Other Household Travel</v>
      </c>
      <c r="B102" s="4"/>
      <c r="C102" s="4"/>
      <c r="D102" s="4"/>
      <c r="E102" s="4"/>
      <c r="F102" s="4"/>
      <c r="G102" s="4"/>
      <c r="H102" s="4"/>
      <c r="I102" s="5"/>
      <c r="J102" s="5"/>
      <c r="K102" s="5"/>
    </row>
    <row r="103" spans="1:11" x14ac:dyDescent="0.2">
      <c r="A103" t="str">
        <f ca="1">OFFSET(Nelson_Reference,0,0)</f>
        <v>10 NELS-MARLB-TAS</v>
      </c>
      <c r="B103">
        <f>[4]Population!D13</f>
        <v>142200</v>
      </c>
      <c r="C103">
        <f>[4]Population!E13</f>
        <v>149100</v>
      </c>
      <c r="D103">
        <f>[4]Population!F13</f>
        <v>153600</v>
      </c>
      <c r="E103">
        <f>[4]Population!G13</f>
        <v>157000</v>
      </c>
      <c r="F103">
        <f>[4]Population!H13</f>
        <v>159400</v>
      </c>
      <c r="G103">
        <f>[4]Population!I13</f>
        <v>160700</v>
      </c>
      <c r="H103">
        <f>[4]Population!J13</f>
        <v>161000</v>
      </c>
      <c r="I103" s="5">
        <f>[4]Population!K13</f>
        <v>160754.89583405922</v>
      </c>
      <c r="J103" s="5">
        <f>[4]Population!L13</f>
        <v>160006.7871768855</v>
      </c>
      <c r="K103" s="5">
        <f>[4]Population!M13</f>
        <v>158927.40643210392</v>
      </c>
    </row>
    <row r="104" spans="1:11" x14ac:dyDescent="0.2">
      <c r="A104" t="str">
        <f ca="1">OFFSET(Nelson_Reference,0,2)</f>
        <v>Pedestrian</v>
      </c>
      <c r="B104" s="4"/>
      <c r="C104" s="4"/>
      <c r="D104" s="4"/>
      <c r="E104" s="4"/>
      <c r="F104" s="4"/>
      <c r="G104" s="4"/>
      <c r="H104" s="4"/>
      <c r="I104" s="5"/>
      <c r="J104" s="5"/>
      <c r="K104" s="5"/>
    </row>
    <row r="105" spans="1:11" x14ac:dyDescent="0.2">
      <c r="A105" t="str">
        <f ca="1">OFFSET(Nelson_Reference,7,2)</f>
        <v>Cyclist</v>
      </c>
      <c r="B105" s="4"/>
      <c r="C105" s="4"/>
      <c r="D105" s="4"/>
      <c r="E105" s="4"/>
      <c r="F105" s="4"/>
      <c r="G105" s="4"/>
      <c r="H105" s="4"/>
      <c r="I105" s="5"/>
      <c r="J105" s="5"/>
      <c r="K105" s="5"/>
    </row>
    <row r="106" spans="1:11" x14ac:dyDescent="0.2">
      <c r="A106" t="str">
        <f ca="1">OFFSET(Nelson_Reference,14,2)</f>
        <v>Light Vehicle Driver</v>
      </c>
      <c r="B106" s="4"/>
      <c r="C106" s="4"/>
      <c r="D106" s="4"/>
      <c r="E106" s="4"/>
      <c r="F106" s="4"/>
      <c r="G106" s="4"/>
      <c r="H106" s="4"/>
      <c r="I106" s="5"/>
      <c r="J106" s="5"/>
      <c r="K106" s="5"/>
    </row>
    <row r="107" spans="1:11" x14ac:dyDescent="0.2">
      <c r="A107" t="str">
        <f ca="1">OFFSET(Nelson_Reference,21,2)</f>
        <v>Light Vehicle Passenger</v>
      </c>
      <c r="B107" s="4"/>
      <c r="C107" s="4"/>
      <c r="D107" s="4"/>
      <c r="E107" s="4"/>
      <c r="F107" s="4"/>
      <c r="G107" s="4"/>
      <c r="H107" s="4"/>
      <c r="I107" s="5"/>
      <c r="J107" s="5"/>
      <c r="K107" s="5"/>
    </row>
    <row r="108" spans="1:11" x14ac:dyDescent="0.2">
      <c r="A108" t="str">
        <f ca="1">OFFSET(Nelson_Reference,28,2)</f>
        <v>Taxi/Vehicle Share</v>
      </c>
      <c r="B108" s="4"/>
      <c r="C108" s="4"/>
      <c r="D108" s="4"/>
      <c r="E108" s="4"/>
      <c r="F108" s="4"/>
      <c r="G108" s="4"/>
      <c r="H108" s="4"/>
      <c r="I108" s="5"/>
      <c r="J108" s="5"/>
      <c r="K108" s="5"/>
    </row>
    <row r="109" spans="1:11" x14ac:dyDescent="0.2">
      <c r="A109" t="str">
        <f ca="1">OFFSET(Nelson_Reference,35,2)</f>
        <v>Motorcyclist</v>
      </c>
      <c r="B109" s="4"/>
      <c r="C109" s="4"/>
      <c r="D109" s="4"/>
      <c r="E109" s="4"/>
      <c r="F109" s="4"/>
      <c r="G109" s="4"/>
      <c r="H109" s="4"/>
      <c r="I109" s="5"/>
      <c r="J109" s="5"/>
      <c r="K109" s="5"/>
    </row>
    <row r="110" spans="1:11" x14ac:dyDescent="0.2">
      <c r="A110" t="str">
        <f ca="1">OFFSET(Nelson_Reference,42,2)</f>
        <v>Local Train</v>
      </c>
      <c r="B110" s="4"/>
      <c r="C110" s="4"/>
      <c r="D110" s="4"/>
      <c r="E110" s="4"/>
      <c r="F110" s="4"/>
      <c r="G110" s="4"/>
      <c r="H110" s="4"/>
      <c r="I110" s="5"/>
      <c r="J110" s="5"/>
      <c r="K110" s="5"/>
    </row>
    <row r="111" spans="1:11" x14ac:dyDescent="0.2">
      <c r="A111" t="str">
        <f ca="1">OFFSET(Nelson_Reference,49,2)</f>
        <v>Local Bus</v>
      </c>
      <c r="B111" s="4"/>
      <c r="C111" s="4"/>
      <c r="D111" s="4"/>
      <c r="E111" s="4"/>
      <c r="F111" s="4"/>
      <c r="G111" s="4"/>
      <c r="H111" s="4"/>
      <c r="I111" s="5"/>
      <c r="J111" s="5"/>
      <c r="K111" s="5"/>
    </row>
    <row r="112" spans="1:11" x14ac:dyDescent="0.2">
      <c r="A112" t="str">
        <f ca="1">OFFSET(Wellington_Reference,56,2)</f>
        <v>Local Ferry</v>
      </c>
      <c r="B112" s="4"/>
      <c r="C112" s="4"/>
      <c r="D112" s="4"/>
      <c r="E112" s="4"/>
      <c r="F112" s="4"/>
      <c r="G112" s="4"/>
      <c r="H112" s="4"/>
      <c r="I112" s="5"/>
      <c r="J112" s="5"/>
      <c r="K112" s="5"/>
    </row>
    <row r="113" spans="1:11" x14ac:dyDescent="0.2">
      <c r="A113" t="str">
        <f ca="1">OFFSET(Nelson_Reference,56,2)</f>
        <v>Other Household Travel</v>
      </c>
      <c r="B113" s="4"/>
      <c r="C113" s="4"/>
      <c r="D113" s="4"/>
      <c r="E113" s="4"/>
      <c r="F113" s="4"/>
      <c r="G113" s="4"/>
      <c r="H113" s="4"/>
      <c r="I113" s="5"/>
      <c r="J113" s="5"/>
      <c r="K113" s="5"/>
    </row>
    <row r="114" spans="1:11" x14ac:dyDescent="0.2">
      <c r="A114" t="str">
        <f ca="1">OFFSET(West_Coast_Reference,0,0)</f>
        <v>12 WEST COAST</v>
      </c>
      <c r="B114">
        <f>[4]Population!D14</f>
        <v>33000</v>
      </c>
      <c r="C114">
        <f>[4]Population!E14</f>
        <v>32500</v>
      </c>
      <c r="D114">
        <f>[4]Population!F14</f>
        <v>32500</v>
      </c>
      <c r="E114">
        <f>[4]Population!G14</f>
        <v>32300</v>
      </c>
      <c r="F114">
        <f>[4]Population!H14</f>
        <v>31900</v>
      </c>
      <c r="G114">
        <f>[4]Population!I14</f>
        <v>31300</v>
      </c>
      <c r="H114">
        <f>[4]Population!J14</f>
        <v>30600</v>
      </c>
      <c r="I114" s="5">
        <f>[4]Population!K14</f>
        <v>29813.047284347907</v>
      </c>
      <c r="J114" s="5">
        <f>[4]Population!L14</f>
        <v>28953.873470953382</v>
      </c>
      <c r="K114" s="5">
        <f>[4]Population!M14</f>
        <v>28059.029410232182</v>
      </c>
    </row>
    <row r="115" spans="1:11" x14ac:dyDescent="0.2">
      <c r="A115" t="str">
        <f ca="1">OFFSET(West_Coast_Reference,0,2)</f>
        <v>Pedestrian</v>
      </c>
      <c r="B115" s="4"/>
      <c r="C115" s="4"/>
      <c r="D115" s="4"/>
      <c r="E115" s="4"/>
      <c r="F115" s="4"/>
      <c r="G115" s="4"/>
      <c r="H115" s="4"/>
      <c r="I115" s="5"/>
      <c r="J115" s="5"/>
      <c r="K115" s="5"/>
    </row>
    <row r="116" spans="1:11" x14ac:dyDescent="0.2">
      <c r="A116" t="str">
        <f ca="1">OFFSET(West_Coast_Reference,7,2)</f>
        <v>Cyclist</v>
      </c>
      <c r="B116" s="4"/>
      <c r="C116" s="4"/>
      <c r="D116" s="4"/>
      <c r="E116" s="4"/>
      <c r="F116" s="4"/>
      <c r="G116" s="4"/>
      <c r="H116" s="4"/>
      <c r="I116" s="5"/>
      <c r="J116" s="5"/>
      <c r="K116" s="5"/>
    </row>
    <row r="117" spans="1:11" x14ac:dyDescent="0.2">
      <c r="A117" t="str">
        <f ca="1">OFFSET(West_Coast_Reference,14,2)</f>
        <v>Light Vehicle Driver</v>
      </c>
      <c r="B117" s="4"/>
      <c r="C117" s="4"/>
      <c r="D117" s="4"/>
      <c r="E117" s="4"/>
      <c r="F117" s="4"/>
      <c r="G117" s="4"/>
      <c r="H117" s="4"/>
      <c r="I117" s="5"/>
      <c r="J117" s="5"/>
      <c r="K117" s="5"/>
    </row>
    <row r="118" spans="1:11" x14ac:dyDescent="0.2">
      <c r="A118" t="str">
        <f ca="1">OFFSET(West_Coast_Reference,21,2)</f>
        <v>Light Vehicle Passenger</v>
      </c>
      <c r="B118" s="4"/>
      <c r="C118" s="4"/>
      <c r="D118" s="4"/>
      <c r="E118" s="4"/>
      <c r="F118" s="4"/>
      <c r="G118" s="4"/>
      <c r="H118" s="4"/>
      <c r="I118" s="5"/>
      <c r="J118" s="5"/>
      <c r="K118" s="5"/>
    </row>
    <row r="119" spans="1:11" x14ac:dyDescent="0.2">
      <c r="A119" t="str">
        <f ca="1">OFFSET(West_Coast_Reference,28,2)</f>
        <v>Taxi/Vehicle Share</v>
      </c>
      <c r="B119" s="4"/>
      <c r="C119" s="4"/>
      <c r="D119" s="4"/>
      <c r="E119" s="4"/>
      <c r="F119" s="4"/>
      <c r="G119" s="4"/>
      <c r="H119" s="4"/>
      <c r="I119" s="5"/>
      <c r="J119" s="5"/>
      <c r="K119" s="5"/>
    </row>
    <row r="120" spans="1:11" x14ac:dyDescent="0.2">
      <c r="A120" t="str">
        <f ca="1">OFFSET(West_Coast_Reference,35,2)</f>
        <v>Motorcyclist</v>
      </c>
      <c r="B120" s="4"/>
      <c r="C120" s="4"/>
      <c r="D120" s="4"/>
      <c r="E120" s="4"/>
      <c r="F120" s="4"/>
      <c r="G120" s="4"/>
      <c r="H120" s="4"/>
      <c r="I120" s="5"/>
      <c r="J120" s="5"/>
      <c r="K120" s="5"/>
    </row>
    <row r="121" spans="1:11" x14ac:dyDescent="0.2">
      <c r="A121" t="str">
        <f ca="1">OFFSET(Nelson_Reference,42,2)</f>
        <v>Local Train</v>
      </c>
      <c r="B121" s="4"/>
      <c r="C121" s="4"/>
      <c r="D121" s="4"/>
      <c r="E121" s="4"/>
      <c r="F121" s="4"/>
      <c r="G121" s="4"/>
      <c r="H121" s="4"/>
      <c r="I121" s="5"/>
      <c r="J121" s="5"/>
      <c r="K121" s="5"/>
    </row>
    <row r="122" spans="1:11" x14ac:dyDescent="0.2">
      <c r="A122" t="str">
        <f ca="1">OFFSET(West_Coast_Reference,42,2)</f>
        <v>Local Bus</v>
      </c>
      <c r="B122" s="4"/>
      <c r="C122" s="4"/>
      <c r="D122" s="4"/>
      <c r="E122" s="4"/>
      <c r="F122" s="4"/>
      <c r="G122" s="4"/>
      <c r="H122" s="4"/>
      <c r="I122" s="5"/>
      <c r="J122" s="5"/>
      <c r="K122" s="5"/>
    </row>
    <row r="123" spans="1:11" x14ac:dyDescent="0.2">
      <c r="A123" t="str">
        <f ca="1">OFFSET(Wellington_Reference,56,2)</f>
        <v>Local Ferry</v>
      </c>
      <c r="B123" s="4"/>
      <c r="C123" s="4"/>
      <c r="D123" s="4"/>
      <c r="E123" s="4"/>
      <c r="F123" s="4"/>
      <c r="G123" s="4"/>
      <c r="H123" s="4"/>
      <c r="I123" s="5"/>
      <c r="J123" s="5"/>
      <c r="K123" s="5"/>
    </row>
    <row r="124" spans="1:11" x14ac:dyDescent="0.2">
      <c r="A124" t="str">
        <f ca="1">OFFSET(West_Coast_Reference,49,2)</f>
        <v>Other Household Travel</v>
      </c>
      <c r="B124" s="4"/>
      <c r="C124" s="4"/>
      <c r="D124" s="4"/>
      <c r="E124" s="4"/>
      <c r="F124" s="4"/>
      <c r="G124" s="4"/>
      <c r="H124" s="4"/>
      <c r="I124" s="5"/>
      <c r="J124" s="5"/>
      <c r="K124" s="5"/>
    </row>
    <row r="125" spans="1:11" x14ac:dyDescent="0.2">
      <c r="A125" t="str">
        <f ca="1">OFFSET(Canterbury_Reference,0,0)</f>
        <v>13 CANTERBURY</v>
      </c>
      <c r="B125">
        <f>[4]Population!D15</f>
        <v>562900</v>
      </c>
      <c r="C125">
        <f>[4]Population!E15</f>
        <v>623200</v>
      </c>
      <c r="D125">
        <f>[4]Population!F15</f>
        <v>664200</v>
      </c>
      <c r="E125">
        <f>[4]Population!G15</f>
        <v>694300</v>
      </c>
      <c r="F125">
        <f>[4]Population!H15</f>
        <v>721700</v>
      </c>
      <c r="G125">
        <f>[4]Population!I15</f>
        <v>745800</v>
      </c>
      <c r="H125">
        <f>[4]Population!J15</f>
        <v>767300</v>
      </c>
      <c r="I125" s="5">
        <f>[4]Population!K15</f>
        <v>786712.17423192051</v>
      </c>
      <c r="J125" s="5">
        <f>[4]Population!L15</f>
        <v>804047.86741988454</v>
      </c>
      <c r="K125" s="5">
        <f>[4]Population!M15</f>
        <v>819999.53614564182</v>
      </c>
    </row>
    <row r="126" spans="1:11" x14ac:dyDescent="0.2">
      <c r="A126" t="str">
        <f ca="1">OFFSET(Canterbury_Reference,0,2)</f>
        <v>Pedestrian</v>
      </c>
      <c r="B126" s="4"/>
      <c r="C126" s="4"/>
      <c r="D126" s="4"/>
      <c r="E126" s="4"/>
      <c r="F126" s="4"/>
      <c r="G126" s="4"/>
      <c r="H126" s="4"/>
      <c r="I126" s="5"/>
      <c r="J126" s="5"/>
      <c r="K126" s="5"/>
    </row>
    <row r="127" spans="1:11" x14ac:dyDescent="0.2">
      <c r="A127" t="str">
        <f ca="1">OFFSET(Canterbury_Reference,7,2)</f>
        <v>Cyclist</v>
      </c>
      <c r="B127" s="4"/>
      <c r="C127" s="4"/>
      <c r="D127" s="4"/>
      <c r="E127" s="4"/>
      <c r="F127" s="4"/>
      <c r="G127" s="4"/>
      <c r="H127" s="4"/>
      <c r="I127" s="5"/>
      <c r="J127" s="5"/>
      <c r="K127" s="5"/>
    </row>
    <row r="128" spans="1:11" x14ac:dyDescent="0.2">
      <c r="A128" t="str">
        <f ca="1">OFFSET(Canterbury_Reference,14,2)</f>
        <v>Light Vehicle Driver</v>
      </c>
      <c r="B128" s="4"/>
      <c r="C128" s="4"/>
      <c r="D128" s="4"/>
      <c r="E128" s="4"/>
      <c r="F128" s="4"/>
      <c r="G128" s="4"/>
      <c r="H128" s="4"/>
      <c r="I128" s="5"/>
      <c r="J128" s="5"/>
      <c r="K128" s="5"/>
    </row>
    <row r="129" spans="1:11" x14ac:dyDescent="0.2">
      <c r="A129" t="str">
        <f ca="1">OFFSET(Canterbury_Reference,21,2)</f>
        <v>Light Vehicle Passenger</v>
      </c>
      <c r="B129" s="4"/>
      <c r="C129" s="4"/>
      <c r="D129" s="4"/>
      <c r="E129" s="4"/>
      <c r="F129" s="4"/>
      <c r="G129" s="4"/>
      <c r="H129" s="4"/>
      <c r="I129" s="5"/>
      <c r="J129" s="5"/>
      <c r="K129" s="5"/>
    </row>
    <row r="130" spans="1:11" x14ac:dyDescent="0.2">
      <c r="A130" t="str">
        <f ca="1">OFFSET(Canterbury_Reference,28,2)</f>
        <v>Taxi/Vehicle Share</v>
      </c>
      <c r="B130" s="4"/>
      <c r="C130" s="4"/>
      <c r="D130" s="4"/>
      <c r="E130" s="4"/>
      <c r="F130" s="4"/>
      <c r="G130" s="4"/>
      <c r="H130" s="4"/>
      <c r="I130" s="5"/>
      <c r="J130" s="5"/>
      <c r="K130" s="5"/>
    </row>
    <row r="131" spans="1:11" x14ac:dyDescent="0.2">
      <c r="A131" t="str">
        <f ca="1">OFFSET(Canterbury_Reference,35,2)</f>
        <v>Motorcyclist</v>
      </c>
      <c r="B131" s="4"/>
      <c r="C131" s="4"/>
      <c r="D131" s="4"/>
      <c r="E131" s="4"/>
      <c r="F131" s="4"/>
      <c r="G131" s="4"/>
      <c r="H131" s="4"/>
      <c r="I131" s="5"/>
      <c r="J131" s="5"/>
      <c r="K131" s="5"/>
    </row>
    <row r="132" spans="1:11" x14ac:dyDescent="0.2">
      <c r="A132" t="str">
        <f ca="1">OFFSET(Canterbury_Reference,42,2)</f>
        <v>Local Train</v>
      </c>
      <c r="B132" s="4"/>
      <c r="C132" s="4"/>
      <c r="D132" s="4"/>
      <c r="E132" s="4"/>
      <c r="F132" s="4"/>
      <c r="G132" s="4"/>
      <c r="H132" s="4"/>
      <c r="I132" s="5"/>
      <c r="J132" s="5"/>
      <c r="K132" s="5"/>
    </row>
    <row r="133" spans="1:11" x14ac:dyDescent="0.2">
      <c r="A133" t="str">
        <f ca="1">OFFSET(Canterbury_Reference,49,2)</f>
        <v>Local Bus</v>
      </c>
      <c r="B133" s="4"/>
      <c r="C133" s="4"/>
      <c r="D133" s="4"/>
      <c r="E133" s="4"/>
      <c r="F133" s="4"/>
      <c r="G133" s="4"/>
      <c r="H133" s="4"/>
      <c r="I133" s="5"/>
      <c r="J133" s="5"/>
      <c r="K133" s="5"/>
    </row>
    <row r="134" spans="1:11" x14ac:dyDescent="0.2">
      <c r="A134" t="str">
        <f ca="1">OFFSET(Wellington_Reference,56,2)</f>
        <v>Local Ferry</v>
      </c>
      <c r="B134" s="4"/>
      <c r="C134" s="4"/>
      <c r="D134" s="4"/>
      <c r="E134" s="4"/>
      <c r="F134" s="4"/>
      <c r="G134" s="4"/>
      <c r="H134" s="4"/>
      <c r="I134" s="5"/>
      <c r="J134" s="5"/>
      <c r="K134" s="5"/>
    </row>
    <row r="135" spans="1:11" x14ac:dyDescent="0.2">
      <c r="A135" t="str">
        <f ca="1">OFFSET(Canterbury_Reference,56,2)</f>
        <v>Other Household Travel</v>
      </c>
      <c r="B135" s="4"/>
      <c r="C135" s="4"/>
      <c r="D135" s="4"/>
      <c r="E135" s="4"/>
      <c r="F135" s="4"/>
      <c r="G135" s="4"/>
      <c r="H135" s="4"/>
      <c r="I135" s="5"/>
      <c r="J135" s="5"/>
      <c r="K135" s="5"/>
    </row>
    <row r="136" spans="1:11" x14ac:dyDescent="0.2">
      <c r="A136" t="str">
        <f ca="1">OFFSET(Otago_Reference,0,0)</f>
        <v>14 OTAGO</v>
      </c>
      <c r="B136">
        <f>[4]Population!D16</f>
        <v>208800</v>
      </c>
      <c r="C136">
        <f>[4]Population!E16</f>
        <v>225800</v>
      </c>
      <c r="D136">
        <f>[4]Population!F16</f>
        <v>236000</v>
      </c>
      <c r="E136">
        <f>[4]Population!G16</f>
        <v>242700</v>
      </c>
      <c r="F136">
        <f>[4]Population!H16</f>
        <v>248300</v>
      </c>
      <c r="G136">
        <f>[4]Population!I16</f>
        <v>252700</v>
      </c>
      <c r="H136">
        <f>[4]Population!J16</f>
        <v>256100</v>
      </c>
      <c r="I136" s="5">
        <f>[4]Population!K16</f>
        <v>258655.53031246335</v>
      </c>
      <c r="J136" s="5">
        <f>[4]Population!L16</f>
        <v>260405.000361026</v>
      </c>
      <c r="K136" s="5">
        <f>[4]Population!M16</f>
        <v>261602.89099372854</v>
      </c>
    </row>
    <row r="137" spans="1:11" x14ac:dyDescent="0.2">
      <c r="A137" t="str">
        <f ca="1">OFFSET(Otago_Reference,0,2)</f>
        <v>Pedestrian</v>
      </c>
      <c r="B137" s="4"/>
      <c r="C137" s="4"/>
      <c r="D137" s="4"/>
      <c r="E137" s="4"/>
      <c r="F137" s="4"/>
      <c r="G137" s="4"/>
      <c r="H137" s="4"/>
      <c r="I137" s="5"/>
      <c r="J137" s="5"/>
      <c r="K137" s="5"/>
    </row>
    <row r="138" spans="1:11" x14ac:dyDescent="0.2">
      <c r="A138" t="str">
        <f ca="1">OFFSET(Otago_Reference,7,2)</f>
        <v>Cyclist</v>
      </c>
      <c r="B138" s="4"/>
      <c r="C138" s="4"/>
      <c r="D138" s="4"/>
      <c r="E138" s="4"/>
      <c r="F138" s="4"/>
      <c r="G138" s="4"/>
      <c r="H138" s="4"/>
      <c r="I138" s="5"/>
      <c r="J138" s="5"/>
      <c r="K138" s="5"/>
    </row>
    <row r="139" spans="1:11" x14ac:dyDescent="0.2">
      <c r="A139" t="str">
        <f ca="1">OFFSET(Otago_Reference,14,2)</f>
        <v>Light Vehicle Driver</v>
      </c>
      <c r="B139" s="4"/>
      <c r="C139" s="4"/>
      <c r="D139" s="4"/>
      <c r="E139" s="4"/>
      <c r="F139" s="4"/>
      <c r="G139" s="4"/>
      <c r="H139" s="4"/>
      <c r="I139" s="5"/>
      <c r="J139" s="5"/>
      <c r="K139" s="5"/>
    </row>
    <row r="140" spans="1:11" x14ac:dyDescent="0.2">
      <c r="A140" t="str">
        <f ca="1">OFFSET(Otago_Reference,21,2)</f>
        <v>Light Vehicle Passenger</v>
      </c>
      <c r="B140" s="4"/>
      <c r="C140" s="4"/>
      <c r="D140" s="4"/>
      <c r="E140" s="4"/>
      <c r="F140" s="4"/>
      <c r="G140" s="4"/>
      <c r="H140" s="4"/>
      <c r="I140" s="5"/>
      <c r="J140" s="5"/>
      <c r="K140" s="5"/>
    </row>
    <row r="141" spans="1:11" x14ac:dyDescent="0.2">
      <c r="A141" t="str">
        <f ca="1">OFFSET(Otago_Reference,28,2)</f>
        <v>Taxi/Vehicle Share</v>
      </c>
      <c r="B141" s="4"/>
      <c r="C141" s="4"/>
      <c r="D141" s="4"/>
      <c r="E141" s="4"/>
      <c r="F141" s="4"/>
      <c r="G141" s="4"/>
      <c r="H141" s="4"/>
      <c r="I141" s="5"/>
      <c r="J141" s="5"/>
      <c r="K141" s="5"/>
    </row>
    <row r="142" spans="1:11" x14ac:dyDescent="0.2">
      <c r="A142" t="str">
        <f ca="1">OFFSET(Otago_Reference,35,2)</f>
        <v>Motorcyclist</v>
      </c>
      <c r="B142" s="4"/>
      <c r="C142" s="4"/>
      <c r="D142" s="4"/>
      <c r="E142" s="4"/>
      <c r="F142" s="4"/>
      <c r="G142" s="4"/>
      <c r="H142" s="4"/>
      <c r="I142" s="5"/>
      <c r="J142" s="5"/>
      <c r="K142" s="5"/>
    </row>
    <row r="143" spans="1:11" x14ac:dyDescent="0.2">
      <c r="A143" t="str">
        <f ca="1">OFFSET(Canterbury_Reference,42,2)</f>
        <v>Local Train</v>
      </c>
      <c r="B143" s="4"/>
      <c r="C143" s="4"/>
      <c r="D143" s="4"/>
      <c r="E143" s="4"/>
      <c r="F143" s="4"/>
      <c r="G143" s="4"/>
      <c r="H143" s="4"/>
      <c r="I143" s="5"/>
      <c r="J143" s="5"/>
      <c r="K143" s="5"/>
    </row>
    <row r="144" spans="1:11" x14ac:dyDescent="0.2">
      <c r="A144" t="str">
        <f ca="1">OFFSET(Otago_Reference,42,2)</f>
        <v>Local Bus</v>
      </c>
      <c r="B144" s="4"/>
      <c r="C144" s="4"/>
      <c r="D144" s="4"/>
      <c r="E144" s="4"/>
      <c r="F144" s="4"/>
      <c r="G144" s="4"/>
      <c r="H144" s="4"/>
      <c r="I144" s="5"/>
      <c r="J144" s="5"/>
      <c r="K144" s="5"/>
    </row>
    <row r="145" spans="1:11" x14ac:dyDescent="0.2">
      <c r="A145" t="str">
        <f ca="1">OFFSET(Wellington_Reference,56,2)</f>
        <v>Local Ferry</v>
      </c>
      <c r="B145" s="4"/>
      <c r="C145" s="4"/>
      <c r="D145" s="4"/>
      <c r="E145" s="4"/>
      <c r="F145" s="4"/>
      <c r="G145" s="4"/>
      <c r="H145" s="4"/>
      <c r="I145" s="5"/>
      <c r="J145" s="5"/>
      <c r="K145" s="5"/>
    </row>
    <row r="146" spans="1:11" x14ac:dyDescent="0.2">
      <c r="A146" t="str">
        <f ca="1">OFFSET(Otago_Reference,49,2)</f>
        <v>Other Household Travel</v>
      </c>
      <c r="B146" s="4"/>
      <c r="C146" s="4"/>
      <c r="D146" s="4"/>
      <c r="E146" s="4"/>
      <c r="F146" s="4"/>
      <c r="G146" s="4"/>
      <c r="H146" s="4"/>
      <c r="I146" s="5"/>
      <c r="J146" s="5"/>
      <c r="K146" s="5"/>
    </row>
    <row r="147" spans="1:11" x14ac:dyDescent="0.2">
      <c r="A147" t="str">
        <f ca="1">OFFSET(Southland_Reference,0,0)</f>
        <v>15 SOUTHLAND</v>
      </c>
      <c r="B147">
        <f>[4]Population!D17</f>
        <v>96000</v>
      </c>
      <c r="C147">
        <f>[4]Population!E17</f>
        <v>99200</v>
      </c>
      <c r="D147">
        <f>[4]Population!F17</f>
        <v>100100</v>
      </c>
      <c r="E147">
        <f>[4]Population!G17</f>
        <v>100600</v>
      </c>
      <c r="F147">
        <f>[4]Population!H17</f>
        <v>100600</v>
      </c>
      <c r="G147">
        <f>[4]Population!I17</f>
        <v>100000</v>
      </c>
      <c r="H147">
        <f>[4]Population!J17</f>
        <v>99000</v>
      </c>
      <c r="I147" s="5">
        <f>[4]Population!K17</f>
        <v>97673.835622846746</v>
      </c>
      <c r="J147" s="5">
        <f>[4]Population!L17</f>
        <v>96058.688225904029</v>
      </c>
      <c r="K147" s="5">
        <f>[4]Population!M17</f>
        <v>94267.226452221803</v>
      </c>
    </row>
    <row r="148" spans="1:11" x14ac:dyDescent="0.2">
      <c r="A148" t="str">
        <f ca="1">OFFSET(Southland_Reference,0,2)</f>
        <v>Pedestrian</v>
      </c>
      <c r="B148" s="4"/>
      <c r="C148" s="4"/>
      <c r="D148" s="4"/>
      <c r="E148" s="4"/>
      <c r="F148" s="4"/>
      <c r="G148" s="4"/>
      <c r="H148" s="4"/>
      <c r="I148" s="5"/>
      <c r="J148" s="5"/>
      <c r="K148" s="5"/>
    </row>
    <row r="149" spans="1:11" x14ac:dyDescent="0.2">
      <c r="A149" t="str">
        <f ca="1">OFFSET(Southland_Reference,7,2)</f>
        <v>Cyclist</v>
      </c>
      <c r="B149" s="4"/>
      <c r="C149" s="4"/>
      <c r="D149" s="4"/>
      <c r="E149" s="4"/>
      <c r="F149" s="4"/>
      <c r="G149" s="4"/>
      <c r="H149" s="4"/>
      <c r="I149" s="5"/>
      <c r="J149" s="5"/>
      <c r="K149" s="5"/>
    </row>
    <row r="150" spans="1:11" x14ac:dyDescent="0.2">
      <c r="A150" t="str">
        <f ca="1">OFFSET(Southland_Reference,14,2)</f>
        <v>Light Vehicle Driver</v>
      </c>
      <c r="B150" s="4"/>
      <c r="C150" s="4"/>
      <c r="D150" s="4"/>
      <c r="E150" s="4"/>
      <c r="F150" s="4"/>
      <c r="G150" s="4"/>
      <c r="H150" s="4"/>
      <c r="I150" s="5"/>
      <c r="J150" s="5"/>
      <c r="K150" s="5"/>
    </row>
    <row r="151" spans="1:11" x14ac:dyDescent="0.2">
      <c r="A151" t="str">
        <f ca="1">OFFSET(Southland_Reference,21,2)</f>
        <v>Light Vehicle Passenger</v>
      </c>
      <c r="B151" s="4"/>
      <c r="C151" s="4"/>
      <c r="D151" s="4"/>
      <c r="E151" s="4"/>
      <c r="F151" s="4"/>
      <c r="G151" s="4"/>
      <c r="H151" s="4"/>
      <c r="I151" s="5"/>
      <c r="J151" s="5"/>
      <c r="K151" s="5"/>
    </row>
    <row r="152" spans="1:11" x14ac:dyDescent="0.2">
      <c r="A152" t="str">
        <f ca="1">OFFSET(Southland_Reference,28,2)</f>
        <v>Taxi/Vehicle Share</v>
      </c>
      <c r="B152" s="4"/>
      <c r="C152" s="4"/>
      <c r="D152" s="4"/>
      <c r="E152" s="4"/>
      <c r="F152" s="4"/>
      <c r="G152" s="4"/>
      <c r="H152" s="4"/>
      <c r="I152" s="5"/>
      <c r="J152" s="5"/>
      <c r="K152" s="5"/>
    </row>
    <row r="153" spans="1:11" x14ac:dyDescent="0.2">
      <c r="A153" t="str">
        <f ca="1">OFFSET(Southland_Reference,35,2)</f>
        <v>Motorcyclist</v>
      </c>
      <c r="B153" s="4"/>
      <c r="C153" s="4"/>
      <c r="D153" s="4"/>
      <c r="E153" s="4"/>
      <c r="F153" s="4"/>
      <c r="G153" s="4"/>
      <c r="H153" s="4"/>
      <c r="I153" s="5"/>
      <c r="J153" s="5"/>
      <c r="K153" s="5"/>
    </row>
    <row r="154" spans="1:11" x14ac:dyDescent="0.2">
      <c r="A154" t="str">
        <f ca="1">OFFSET(Canterbury_Reference,42,2)</f>
        <v>Local Train</v>
      </c>
      <c r="B154" s="4"/>
      <c r="C154" s="4"/>
      <c r="D154" s="4"/>
      <c r="E154" s="4"/>
      <c r="F154" s="4"/>
      <c r="G154" s="4"/>
      <c r="H154" s="4"/>
      <c r="I154" s="5"/>
      <c r="J154" s="5"/>
      <c r="K154" s="5"/>
    </row>
    <row r="155" spans="1:11" x14ac:dyDescent="0.2">
      <c r="A155" t="str">
        <f ca="1">OFFSET(Southland_Reference,42,2)</f>
        <v>Local Bus</v>
      </c>
      <c r="B155" s="4"/>
      <c r="C155" s="4"/>
      <c r="D155" s="4"/>
      <c r="E155" s="4"/>
      <c r="F155" s="4"/>
      <c r="G155" s="4"/>
      <c r="H155" s="4"/>
      <c r="I155" s="5"/>
      <c r="J155" s="5"/>
      <c r="K155" s="5"/>
    </row>
    <row r="156" spans="1:11" x14ac:dyDescent="0.2">
      <c r="A156" t="str">
        <f ca="1">OFFSET(Wellington_Reference,56,2)</f>
        <v>Local Ferry</v>
      </c>
      <c r="B156" s="4"/>
      <c r="C156" s="4"/>
      <c r="D156" s="4"/>
      <c r="E156" s="4"/>
      <c r="F156" s="4"/>
      <c r="G156" s="4"/>
      <c r="H156" s="4"/>
      <c r="I156" s="5"/>
      <c r="J156" s="5"/>
      <c r="K156" s="5"/>
    </row>
    <row r="157" spans="1:11" x14ac:dyDescent="0.2">
      <c r="A157" t="str">
        <f ca="1">OFFSET(Southland_Reference,49,2)</f>
        <v>Other Household Travel</v>
      </c>
      <c r="B157" s="4"/>
      <c r="C157" s="4"/>
      <c r="D157" s="4"/>
      <c r="E157" s="4"/>
      <c r="F157" s="4"/>
      <c r="G157" s="4"/>
      <c r="H157" s="4"/>
      <c r="I157" s="5"/>
      <c r="J157" s="5"/>
      <c r="K157" s="5"/>
    </row>
    <row r="158" spans="1:11" x14ac:dyDescent="0.2">
      <c r="A158" t="s">
        <v>12</v>
      </c>
      <c r="B158">
        <f>[4]Population!D18</f>
        <v>4441600</v>
      </c>
      <c r="C158">
        <f>[4]Population!E18</f>
        <v>4863900</v>
      </c>
      <c r="D158">
        <f>[4]Population!F18</f>
        <v>5157300</v>
      </c>
      <c r="E158">
        <f>[4]Population!G18</f>
        <v>5389100</v>
      </c>
      <c r="F158">
        <f>[4]Population!H18</f>
        <v>5594400</v>
      </c>
      <c r="G158">
        <f>[4]Population!I18</f>
        <v>5769200</v>
      </c>
      <c r="H158">
        <f>[4]Population!J18</f>
        <v>5922500</v>
      </c>
      <c r="I158" s="5">
        <f>[4]Population!K18</f>
        <v>6061000.0000000009</v>
      </c>
      <c r="J158" s="5">
        <f>[4]Population!L18</f>
        <v>6185000</v>
      </c>
      <c r="K158" s="5">
        <f>[4]Population!M18</f>
        <v>6300000</v>
      </c>
    </row>
    <row r="159" spans="1:11" x14ac:dyDescent="0.2">
      <c r="A159" t="str">
        <f t="shared" ref="A159:A168" ca="1" si="0">A5</f>
        <v>Pedestrian</v>
      </c>
      <c r="B159" s="4"/>
      <c r="C159" s="4"/>
      <c r="D159" s="4"/>
      <c r="E159" s="4"/>
      <c r="F159" s="4"/>
      <c r="G159" s="4"/>
      <c r="H159" s="4"/>
      <c r="I159" s="5"/>
      <c r="J159" s="5"/>
      <c r="K159" s="5"/>
    </row>
    <row r="160" spans="1:11" x14ac:dyDescent="0.2">
      <c r="A160" t="str">
        <f t="shared" ca="1" si="0"/>
        <v>Cyclist</v>
      </c>
      <c r="B160" s="4"/>
      <c r="C160" s="4"/>
      <c r="D160" s="4"/>
      <c r="E160" s="4"/>
      <c r="F160" s="4"/>
      <c r="G160" s="4"/>
      <c r="H160" s="4"/>
      <c r="I160" s="5"/>
      <c r="J160" s="5"/>
      <c r="K160" s="5"/>
    </row>
    <row r="161" spans="1:11" x14ac:dyDescent="0.2">
      <c r="A161" t="str">
        <f t="shared" ca="1" si="0"/>
        <v>Light Vehicle Driver</v>
      </c>
      <c r="B161" s="4"/>
      <c r="C161" s="4"/>
      <c r="D161" s="4"/>
      <c r="E161" s="4"/>
      <c r="F161" s="4"/>
      <c r="G161" s="4"/>
      <c r="H161" s="4"/>
      <c r="I161" s="5"/>
      <c r="J161" s="5"/>
      <c r="K161" s="5"/>
    </row>
    <row r="162" spans="1:11" x14ac:dyDescent="0.2">
      <c r="A162" t="str">
        <f t="shared" ca="1" si="0"/>
        <v>Light Vehicle Passenger</v>
      </c>
      <c r="B162" s="4"/>
      <c r="C162" s="4"/>
      <c r="D162" s="4"/>
      <c r="E162" s="4"/>
      <c r="F162" s="4"/>
      <c r="G162" s="4"/>
      <c r="H162" s="4"/>
      <c r="I162" s="5"/>
      <c r="J162" s="5"/>
      <c r="K162" s="5"/>
    </row>
    <row r="163" spans="1:11" x14ac:dyDescent="0.2">
      <c r="A163" t="str">
        <f t="shared" ca="1" si="0"/>
        <v>Taxi/Vehicle Share</v>
      </c>
      <c r="B163" s="4"/>
      <c r="C163" s="4"/>
      <c r="D163" s="4"/>
      <c r="E163" s="4"/>
      <c r="F163" s="4"/>
      <c r="G163" s="4"/>
      <c r="H163" s="4"/>
      <c r="I163" s="5"/>
      <c r="J163" s="5"/>
      <c r="K163" s="5"/>
    </row>
    <row r="164" spans="1:11" x14ac:dyDescent="0.2">
      <c r="A164" t="str">
        <f t="shared" ca="1" si="0"/>
        <v>Motorcyclist</v>
      </c>
      <c r="B164" s="4"/>
      <c r="C164" s="4"/>
      <c r="D164" s="4"/>
      <c r="E164" s="4"/>
      <c r="F164" s="4"/>
      <c r="G164" s="4"/>
      <c r="H164" s="4"/>
      <c r="I164" s="5"/>
      <c r="J164" s="5"/>
      <c r="K164" s="5"/>
    </row>
    <row r="165" spans="1:11" x14ac:dyDescent="0.2">
      <c r="A165" t="str">
        <f t="shared" ca="1" si="0"/>
        <v>Local Train</v>
      </c>
      <c r="B165" s="4"/>
      <c r="C165" s="4"/>
      <c r="D165" s="4"/>
      <c r="E165" s="4"/>
      <c r="F165" s="4"/>
      <c r="G165" s="4"/>
      <c r="H165" s="4"/>
      <c r="I165" s="5"/>
      <c r="J165" s="5"/>
      <c r="K165" s="5"/>
    </row>
    <row r="166" spans="1:11" x14ac:dyDescent="0.2">
      <c r="A166" t="str">
        <f t="shared" ca="1" si="0"/>
        <v>Local Bus</v>
      </c>
      <c r="B166" s="4"/>
      <c r="C166" s="4"/>
      <c r="D166" s="4"/>
      <c r="E166" s="4"/>
      <c r="F166" s="4"/>
      <c r="G166" s="4"/>
      <c r="H166" s="4"/>
      <c r="I166" s="5"/>
      <c r="J166" s="5"/>
      <c r="K166" s="5"/>
    </row>
    <row r="167" spans="1:11" x14ac:dyDescent="0.2">
      <c r="A167" t="str">
        <f t="shared" ca="1" si="0"/>
        <v>Local Ferry</v>
      </c>
      <c r="B167" s="4"/>
      <c r="C167" s="4"/>
      <c r="D167" s="4"/>
      <c r="E167" s="4"/>
      <c r="F167" s="4"/>
      <c r="G167" s="4"/>
      <c r="H167" s="4"/>
      <c r="I167" s="5"/>
      <c r="J167" s="5"/>
      <c r="K167" s="5"/>
    </row>
    <row r="168" spans="1:11" x14ac:dyDescent="0.2">
      <c r="A168" t="str">
        <f t="shared" ca="1" si="0"/>
        <v>Other Household Travel</v>
      </c>
      <c r="B168" s="4"/>
      <c r="C168" s="4"/>
      <c r="D168" s="4"/>
      <c r="E168" s="4"/>
      <c r="F168" s="4"/>
      <c r="G168" s="4"/>
      <c r="H168" s="4"/>
      <c r="I168" s="5"/>
      <c r="J168" s="5"/>
      <c r="K168" s="5"/>
    </row>
    <row r="169" spans="1:11" x14ac:dyDescent="0.2">
      <c r="A169" t="s">
        <v>111</v>
      </c>
      <c r="B169" s="5">
        <f>B4+B26+B37+B48+B59+B70+B81+B103+B114+B136+B147</f>
        <v>1898800</v>
      </c>
      <c r="C169">
        <f t="shared" ref="C169:K169" si="1">C4+C26+C37+C48+C59+C70+C81+C103+C114+C136+C147</f>
        <v>2025600</v>
      </c>
      <c r="D169">
        <f t="shared" si="1"/>
        <v>2101300</v>
      </c>
      <c r="E169">
        <f t="shared" si="1"/>
        <v>2158500</v>
      </c>
      <c r="F169">
        <f t="shared" si="1"/>
        <v>2203300</v>
      </c>
      <c r="G169">
        <f t="shared" si="1"/>
        <v>2235100</v>
      </c>
      <c r="H169">
        <f t="shared" si="1"/>
        <v>2257700</v>
      </c>
      <c r="I169" s="5">
        <f t="shared" si="1"/>
        <v>2273040.3099655597</v>
      </c>
      <c r="J169" s="5">
        <f t="shared" si="1"/>
        <v>2281533.3846466583</v>
      </c>
      <c r="K169" s="5">
        <f t="shared" si="1"/>
        <v>2285468.5656643012</v>
      </c>
    </row>
    <row r="170" spans="1:11" x14ac:dyDescent="0.2">
      <c r="B170" s="4"/>
      <c r="C170" s="4"/>
      <c r="D170" s="4"/>
      <c r="E170" s="4"/>
      <c r="F170" s="4"/>
      <c r="G170" s="4"/>
      <c r="H170" s="4"/>
    </row>
    <row r="171" spans="1:11" x14ac:dyDescent="0.2">
      <c r="B171" s="4"/>
      <c r="C171" s="4"/>
      <c r="D171" s="4"/>
      <c r="E171" s="4"/>
      <c r="F171" s="4"/>
      <c r="G171" s="4"/>
      <c r="H171" s="4"/>
    </row>
    <row r="172" spans="1:11" x14ac:dyDescent="0.2">
      <c r="B172" s="4"/>
      <c r="C172" s="4"/>
      <c r="D172" s="4"/>
      <c r="E172" s="4"/>
      <c r="F172" s="4"/>
      <c r="G172" s="4"/>
      <c r="H172" s="4"/>
    </row>
    <row r="173" spans="1:11" x14ac:dyDescent="0.2">
      <c r="B173" s="4"/>
      <c r="C173" s="4"/>
      <c r="D173" s="4"/>
      <c r="E173" s="4"/>
      <c r="F173" s="4"/>
      <c r="G173" s="4"/>
      <c r="H173" s="4"/>
    </row>
    <row r="174" spans="1:11" x14ac:dyDescent="0.2">
      <c r="B174" s="4"/>
      <c r="C174" s="4"/>
      <c r="D174" s="4"/>
      <c r="E174" s="4"/>
      <c r="F174" s="4"/>
      <c r="G174" s="4"/>
      <c r="H174" s="4"/>
    </row>
    <row r="175" spans="1:11" x14ac:dyDescent="0.2">
      <c r="B175" s="4"/>
      <c r="C175" s="4"/>
      <c r="D175" s="4"/>
      <c r="E175" s="4"/>
      <c r="F175" s="4"/>
      <c r="G175" s="4"/>
      <c r="H175" s="4"/>
    </row>
    <row r="176" spans="1:11" x14ac:dyDescent="0.2">
      <c r="B176" s="4"/>
      <c r="C176" s="4"/>
      <c r="D176" s="4"/>
      <c r="E176" s="4"/>
      <c r="F176" s="4"/>
      <c r="G176" s="4"/>
      <c r="H176" s="4"/>
    </row>
    <row r="177" spans="2:8" x14ac:dyDescent="0.2">
      <c r="B177" s="4"/>
      <c r="C177" s="4"/>
      <c r="D177" s="4"/>
      <c r="E177" s="4"/>
      <c r="F177" s="4"/>
      <c r="G177" s="4"/>
      <c r="H177" s="4"/>
    </row>
    <row r="178" spans="2:8" x14ac:dyDescent="0.2">
      <c r="B178" s="4"/>
      <c r="C178" s="4"/>
      <c r="D178" s="4"/>
      <c r="E178" s="4"/>
      <c r="F178" s="4"/>
      <c r="G178" s="4"/>
      <c r="H178" s="4"/>
    </row>
    <row r="179" spans="2:8" x14ac:dyDescent="0.2">
      <c r="B179" s="4"/>
      <c r="C179" s="4"/>
      <c r="D179" s="4"/>
      <c r="E179" s="4"/>
      <c r="F179" s="4"/>
      <c r="G179" s="4"/>
      <c r="H179" s="4"/>
    </row>
    <row r="181" spans="2:8" x14ac:dyDescent="0.2">
      <c r="B181" s="4"/>
      <c r="C181" s="4"/>
      <c r="D181" s="4"/>
      <c r="E181" s="4"/>
      <c r="F181" s="4"/>
      <c r="G181" s="4"/>
      <c r="H181" s="4"/>
    </row>
    <row r="182" spans="2:8" x14ac:dyDescent="0.2">
      <c r="B182" s="4"/>
      <c r="C182" s="4"/>
      <c r="D182" s="4"/>
      <c r="E182" s="4"/>
      <c r="F182" s="4"/>
      <c r="G182" s="4"/>
      <c r="H182" s="4"/>
    </row>
    <row r="183" spans="2:8" x14ac:dyDescent="0.2">
      <c r="B183" s="4"/>
      <c r="C183" s="4"/>
      <c r="D183" s="4"/>
      <c r="E183" s="4"/>
      <c r="F183" s="4"/>
      <c r="G183" s="4"/>
      <c r="H183" s="4"/>
    </row>
    <row r="184" spans="2:8" x14ac:dyDescent="0.2">
      <c r="B184" s="4"/>
      <c r="C184" s="4"/>
      <c r="D184" s="4"/>
      <c r="E184" s="4"/>
      <c r="F184" s="4"/>
      <c r="G184" s="4"/>
      <c r="H184" s="4"/>
    </row>
    <row r="185" spans="2:8" x14ac:dyDescent="0.2">
      <c r="B185" s="4"/>
      <c r="C185" s="4"/>
      <c r="D185" s="4"/>
      <c r="E185" s="4"/>
      <c r="F185" s="4"/>
      <c r="G185" s="4"/>
      <c r="H185" s="4"/>
    </row>
    <row r="186" spans="2:8" x14ac:dyDescent="0.2">
      <c r="B186" s="4"/>
      <c r="C186" s="4"/>
      <c r="D186" s="4"/>
      <c r="E186" s="4"/>
      <c r="F186" s="4"/>
      <c r="G186" s="4"/>
      <c r="H186" s="4"/>
    </row>
    <row r="187" spans="2:8" x14ac:dyDescent="0.2">
      <c r="B187" s="4"/>
      <c r="C187" s="4"/>
      <c r="D187" s="4"/>
      <c r="E187" s="4"/>
      <c r="F187" s="4"/>
      <c r="G187" s="4"/>
      <c r="H187" s="4"/>
    </row>
    <row r="188" spans="2:8" x14ac:dyDescent="0.2">
      <c r="B188" s="4"/>
      <c r="C188" s="4"/>
      <c r="D188" s="4"/>
      <c r="E188" s="4"/>
      <c r="F188" s="4"/>
      <c r="G188" s="4"/>
      <c r="H188" s="4"/>
    </row>
    <row r="189" spans="2:8" x14ac:dyDescent="0.2">
      <c r="B189" s="4"/>
      <c r="C189" s="4"/>
      <c r="D189" s="4"/>
      <c r="E189" s="4"/>
      <c r="F189" s="4"/>
      <c r="G189" s="4"/>
      <c r="H189" s="4"/>
    </row>
    <row r="190" spans="2:8" x14ac:dyDescent="0.2">
      <c r="B190" s="4"/>
      <c r="C190" s="4"/>
      <c r="D190" s="4"/>
      <c r="E190" s="4"/>
      <c r="F190" s="4"/>
      <c r="G190" s="4"/>
      <c r="H190" s="4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I1074"/>
  <sheetViews>
    <sheetView workbookViewId="0">
      <pane ySplit="2" topLeftCell="A620" activePane="bottomLeft" state="frozen"/>
      <selection pane="bottomLeft" activeCell="A627" sqref="A627"/>
    </sheetView>
  </sheetViews>
  <sheetFormatPr defaultRowHeight="12.75" x14ac:dyDescent="0.2"/>
  <cols>
    <col min="1" max="1" width="26.140625" customWidth="1"/>
    <col min="2" max="2" width="10.42578125" customWidth="1"/>
    <col min="3" max="3" width="26.85546875" customWidth="1"/>
    <col min="4" max="8" width="18.5703125" customWidth="1"/>
  </cols>
  <sheetData>
    <row r="1" spans="1:9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7</v>
      </c>
      <c r="H1" s="2" t="s">
        <v>9</v>
      </c>
      <c r="I1" s="2"/>
    </row>
    <row r="2" spans="1:9" x14ac:dyDescent="0.2">
      <c r="A2" s="2"/>
      <c r="B2" s="2"/>
      <c r="C2" s="2"/>
      <c r="D2" s="2"/>
      <c r="E2" s="2"/>
      <c r="F2" s="2" t="s">
        <v>6</v>
      </c>
      <c r="G2" s="2" t="s">
        <v>8</v>
      </c>
      <c r="H2" s="2" t="s">
        <v>10</v>
      </c>
      <c r="I2" s="2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x14ac:dyDescent="0.2">
      <c r="A4" t="str">
        <f>'Unformatted Trip Summary'!A2</f>
        <v>01 NORTHLAND</v>
      </c>
      <c r="B4" t="str">
        <f>'Unformatted Trip Summary'!J2</f>
        <v>2012/13</v>
      </c>
      <c r="C4" t="str">
        <f>'Unformatted Trip Summary'!I2</f>
        <v>Pedestrian</v>
      </c>
      <c r="D4">
        <f>'Unformatted Trip Summary'!D2</f>
        <v>259</v>
      </c>
      <c r="E4">
        <f>'Unformatted Trip Summary'!E2</f>
        <v>844</v>
      </c>
      <c r="F4" s="1">
        <f>'Unformatted Trip Summary'!F2</f>
        <v>23.706864376999999</v>
      </c>
      <c r="G4" s="1">
        <f>'Unformatted Trip Summary'!G2</f>
        <v>17.849116999</v>
      </c>
      <c r="H4" s="1">
        <f>'Unformatted Trip Summary'!H2</f>
        <v>5.0772161771000004</v>
      </c>
    </row>
    <row r="5" spans="1:9" x14ac:dyDescent="0.2">
      <c r="A5" t="str">
        <f>'Unformatted Trip Summary'!A3</f>
        <v>01 NORTHLAND</v>
      </c>
      <c r="B5" t="str">
        <f>'Unformatted Trip Summary'!J3</f>
        <v>2017/18</v>
      </c>
      <c r="C5" t="str">
        <f>'Unformatted Trip Summary'!I3</f>
        <v>Pedestrian</v>
      </c>
      <c r="D5">
        <f>'Unformatted Trip Summary'!D3</f>
        <v>259</v>
      </c>
      <c r="E5">
        <f>'Unformatted Trip Summary'!E3</f>
        <v>844</v>
      </c>
      <c r="F5" s="1">
        <f>'Unformatted Trip Summary'!F3</f>
        <v>23.970887657999999</v>
      </c>
      <c r="G5" s="1">
        <f>'Unformatted Trip Summary'!G3</f>
        <v>17.893276409999999</v>
      </c>
      <c r="H5" s="1">
        <f>'Unformatted Trip Summary'!H3</f>
        <v>5.0946513753999998</v>
      </c>
    </row>
    <row r="6" spans="1:9" x14ac:dyDescent="0.2">
      <c r="A6" t="str">
        <f>'Unformatted Trip Summary'!A4</f>
        <v>01 NORTHLAND</v>
      </c>
      <c r="B6" t="str">
        <f>'Unformatted Trip Summary'!J4</f>
        <v>2022/23</v>
      </c>
      <c r="C6" t="str">
        <f>'Unformatted Trip Summary'!I4</f>
        <v>Pedestrian</v>
      </c>
      <c r="D6">
        <f>'Unformatted Trip Summary'!D4</f>
        <v>259</v>
      </c>
      <c r="E6">
        <f>'Unformatted Trip Summary'!E4</f>
        <v>844</v>
      </c>
      <c r="F6" s="1">
        <f>'Unformatted Trip Summary'!F4</f>
        <v>24.10029003</v>
      </c>
      <c r="G6" s="1">
        <f>'Unformatted Trip Summary'!G4</f>
        <v>17.789791768000001</v>
      </c>
      <c r="H6" s="1">
        <f>'Unformatted Trip Summary'!H4</f>
        <v>5.0761204244</v>
      </c>
    </row>
    <row r="7" spans="1:9" x14ac:dyDescent="0.2">
      <c r="A7" t="str">
        <f>'Unformatted Trip Summary'!A5</f>
        <v>01 NORTHLAND</v>
      </c>
      <c r="B7" t="str">
        <f>'Unformatted Trip Summary'!J5</f>
        <v>2027/28</v>
      </c>
      <c r="C7" t="str">
        <f>'Unformatted Trip Summary'!I5</f>
        <v>Pedestrian</v>
      </c>
      <c r="D7">
        <f>'Unformatted Trip Summary'!D5</f>
        <v>259</v>
      </c>
      <c r="E7">
        <f>'Unformatted Trip Summary'!E5</f>
        <v>844</v>
      </c>
      <c r="F7" s="1">
        <f>'Unformatted Trip Summary'!F5</f>
        <v>24.172939677999999</v>
      </c>
      <c r="G7" s="1">
        <f>'Unformatted Trip Summary'!G5</f>
        <v>17.620681860000001</v>
      </c>
      <c r="H7" s="1">
        <f>'Unformatted Trip Summary'!H5</f>
        <v>5.0391262564000003</v>
      </c>
    </row>
    <row r="8" spans="1:9" x14ac:dyDescent="0.2">
      <c r="A8" t="str">
        <f>'Unformatted Trip Summary'!A6</f>
        <v>01 NORTHLAND</v>
      </c>
      <c r="B8" t="str">
        <f>'Unformatted Trip Summary'!J6</f>
        <v>2032/33</v>
      </c>
      <c r="C8" t="str">
        <f>'Unformatted Trip Summary'!I6</f>
        <v>Pedestrian</v>
      </c>
      <c r="D8">
        <f>'Unformatted Trip Summary'!D6</f>
        <v>259</v>
      </c>
      <c r="E8">
        <f>'Unformatted Trip Summary'!E6</f>
        <v>844</v>
      </c>
      <c r="F8" s="1">
        <f>'Unformatted Trip Summary'!F6</f>
        <v>24.020419538999999</v>
      </c>
      <c r="G8" s="1">
        <f>'Unformatted Trip Summary'!G6</f>
        <v>17.174556585000001</v>
      </c>
      <c r="H8" s="1">
        <f>'Unformatted Trip Summary'!H6</f>
        <v>4.9471620080000003</v>
      </c>
    </row>
    <row r="9" spans="1:9" x14ac:dyDescent="0.2">
      <c r="A9" t="str">
        <f>'Unformatted Trip Summary'!A7</f>
        <v>01 NORTHLAND</v>
      </c>
      <c r="B9" t="str">
        <f>'Unformatted Trip Summary'!J7</f>
        <v>2037/38</v>
      </c>
      <c r="C9" t="str">
        <f>'Unformatted Trip Summary'!I7</f>
        <v>Pedestrian</v>
      </c>
      <c r="D9">
        <f>'Unformatted Trip Summary'!D7</f>
        <v>259</v>
      </c>
      <c r="E9">
        <f>'Unformatted Trip Summary'!E7</f>
        <v>844</v>
      </c>
      <c r="F9" s="1">
        <f>'Unformatted Trip Summary'!F7</f>
        <v>23.672144577000001</v>
      </c>
      <c r="G9" s="1">
        <f>'Unformatted Trip Summary'!G7</f>
        <v>16.511837359000001</v>
      </c>
      <c r="H9" s="1">
        <f>'Unformatted Trip Summary'!H7</f>
        <v>4.7965206941999998</v>
      </c>
    </row>
    <row r="10" spans="1:9" x14ac:dyDescent="0.2">
      <c r="A10" t="str">
        <f>'Unformatted Trip Summary'!A8</f>
        <v>01 NORTHLAND</v>
      </c>
      <c r="B10" t="str">
        <f>'Unformatted Trip Summary'!J8</f>
        <v>2042/43</v>
      </c>
      <c r="C10" t="str">
        <f>'Unformatted Trip Summary'!I8</f>
        <v>Pedestrian</v>
      </c>
      <c r="D10">
        <f>'Unformatted Trip Summary'!D8</f>
        <v>259</v>
      </c>
      <c r="E10">
        <f>'Unformatted Trip Summary'!E8</f>
        <v>844</v>
      </c>
      <c r="F10" s="1">
        <f>'Unformatted Trip Summary'!F8</f>
        <v>23.241684080999999</v>
      </c>
      <c r="G10" s="1">
        <f>'Unformatted Trip Summary'!G8</f>
        <v>15.803953069</v>
      </c>
      <c r="H10" s="1">
        <f>'Unformatted Trip Summary'!H8</f>
        <v>4.6275790457000001</v>
      </c>
    </row>
    <row r="11" spans="1:9" x14ac:dyDescent="0.2">
      <c r="A11" t="str">
        <f>'Unformatted Trip Summary'!A9</f>
        <v>01 NORTHLAND</v>
      </c>
      <c r="B11" t="str">
        <f>'Unformatted Trip Summary'!J9</f>
        <v>2012/13</v>
      </c>
      <c r="C11" t="str">
        <f>'Unformatted Trip Summary'!I9</f>
        <v>Cyclist</v>
      </c>
      <c r="D11">
        <f>'Unformatted Trip Summary'!D9</f>
        <v>5</v>
      </c>
      <c r="E11">
        <f>'Unformatted Trip Summary'!E9</f>
        <v>19</v>
      </c>
      <c r="F11" s="1">
        <f>'Unformatted Trip Summary'!F9</f>
        <v>0.66592947719999995</v>
      </c>
      <c r="G11" s="1">
        <f>'Unformatted Trip Summary'!G9</f>
        <v>1.0072239942000001</v>
      </c>
      <c r="H11" s="1">
        <f>'Unformatted Trip Summary'!H9</f>
        <v>0.15772883609999999</v>
      </c>
    </row>
    <row r="12" spans="1:9" x14ac:dyDescent="0.2">
      <c r="A12" t="str">
        <f>'Unformatted Trip Summary'!A10</f>
        <v>01 NORTHLAND</v>
      </c>
      <c r="B12" t="str">
        <f>'Unformatted Trip Summary'!J10</f>
        <v>2017/18</v>
      </c>
      <c r="C12" t="str">
        <f>'Unformatted Trip Summary'!I10</f>
        <v>Cyclist</v>
      </c>
      <c r="D12">
        <f>'Unformatted Trip Summary'!D10</f>
        <v>5</v>
      </c>
      <c r="E12">
        <f>'Unformatted Trip Summary'!E10</f>
        <v>19</v>
      </c>
      <c r="F12" s="1">
        <f>'Unformatted Trip Summary'!F10</f>
        <v>0.62782629590000005</v>
      </c>
      <c r="G12" s="1">
        <f>'Unformatted Trip Summary'!G10</f>
        <v>0.96181224119999997</v>
      </c>
      <c r="H12" s="1">
        <f>'Unformatted Trip Summary'!H10</f>
        <v>0.15052034310000001</v>
      </c>
    </row>
    <row r="13" spans="1:9" x14ac:dyDescent="0.2">
      <c r="A13" t="str">
        <f>'Unformatted Trip Summary'!A11</f>
        <v>01 NORTHLAND</v>
      </c>
      <c r="B13" t="str">
        <f>'Unformatted Trip Summary'!J11</f>
        <v>2022/23</v>
      </c>
      <c r="C13" t="str">
        <f>'Unformatted Trip Summary'!I11</f>
        <v>Cyclist</v>
      </c>
      <c r="D13">
        <f>'Unformatted Trip Summary'!D11</f>
        <v>5</v>
      </c>
      <c r="E13">
        <f>'Unformatted Trip Summary'!E11</f>
        <v>19</v>
      </c>
      <c r="F13" s="1">
        <f>'Unformatted Trip Summary'!F11</f>
        <v>0.63954054370000002</v>
      </c>
      <c r="G13" s="1">
        <f>'Unformatted Trip Summary'!G11</f>
        <v>0.98944221590000003</v>
      </c>
      <c r="H13" s="1">
        <f>'Unformatted Trip Summary'!H11</f>
        <v>0.155084634</v>
      </c>
    </row>
    <row r="14" spans="1:9" x14ac:dyDescent="0.2">
      <c r="A14" t="str">
        <f>'Unformatted Trip Summary'!A12</f>
        <v>01 NORTHLAND</v>
      </c>
      <c r="B14" t="str">
        <f>'Unformatted Trip Summary'!J12</f>
        <v>2027/28</v>
      </c>
      <c r="C14" t="str">
        <f>'Unformatted Trip Summary'!I12</f>
        <v>Cyclist</v>
      </c>
      <c r="D14">
        <f>'Unformatted Trip Summary'!D12</f>
        <v>5</v>
      </c>
      <c r="E14">
        <f>'Unformatted Trip Summary'!E12</f>
        <v>19</v>
      </c>
      <c r="F14" s="1">
        <f>'Unformatted Trip Summary'!F12</f>
        <v>0.69712976969999996</v>
      </c>
      <c r="G14" s="1">
        <f>'Unformatted Trip Summary'!G12</f>
        <v>1.0861071413000001</v>
      </c>
      <c r="H14" s="1">
        <f>'Unformatted Trip Summary'!H12</f>
        <v>0.1708649558</v>
      </c>
    </row>
    <row r="15" spans="1:9" x14ac:dyDescent="0.2">
      <c r="A15" t="str">
        <f>'Unformatted Trip Summary'!A13</f>
        <v>01 NORTHLAND</v>
      </c>
      <c r="B15" t="str">
        <f>'Unformatted Trip Summary'!J13</f>
        <v>2032/33</v>
      </c>
      <c r="C15" t="str">
        <f>'Unformatted Trip Summary'!I13</f>
        <v>Cyclist</v>
      </c>
      <c r="D15">
        <f>'Unformatted Trip Summary'!D13</f>
        <v>5</v>
      </c>
      <c r="E15">
        <f>'Unformatted Trip Summary'!E13</f>
        <v>19</v>
      </c>
      <c r="F15" s="1">
        <f>'Unformatted Trip Summary'!F13</f>
        <v>0.73747974510000003</v>
      </c>
      <c r="G15" s="1">
        <f>'Unformatted Trip Summary'!G13</f>
        <v>1.1556714961000001</v>
      </c>
      <c r="H15" s="1">
        <f>'Unformatted Trip Summary'!H13</f>
        <v>0.1822572298</v>
      </c>
    </row>
    <row r="16" spans="1:9" x14ac:dyDescent="0.2">
      <c r="A16" t="str">
        <f>'Unformatted Trip Summary'!A14</f>
        <v>01 NORTHLAND</v>
      </c>
      <c r="B16" t="str">
        <f>'Unformatted Trip Summary'!J14</f>
        <v>2037/38</v>
      </c>
      <c r="C16" t="str">
        <f>'Unformatted Trip Summary'!I14</f>
        <v>Cyclist</v>
      </c>
      <c r="D16">
        <f>'Unformatted Trip Summary'!D14</f>
        <v>5</v>
      </c>
      <c r="E16">
        <f>'Unformatted Trip Summary'!E14</f>
        <v>19</v>
      </c>
      <c r="F16" s="1">
        <f>'Unformatted Trip Summary'!F14</f>
        <v>0.70571996059999997</v>
      </c>
      <c r="G16" s="1">
        <f>'Unformatted Trip Summary'!G14</f>
        <v>1.1116373831999999</v>
      </c>
      <c r="H16" s="1">
        <f>'Unformatted Trip Summary'!H14</f>
        <v>0.1752808652</v>
      </c>
    </row>
    <row r="17" spans="1:8" x14ac:dyDescent="0.2">
      <c r="A17" t="str">
        <f>'Unformatted Trip Summary'!A15</f>
        <v>01 NORTHLAND</v>
      </c>
      <c r="B17" t="str">
        <f>'Unformatted Trip Summary'!J15</f>
        <v>2042/43</v>
      </c>
      <c r="C17" t="str">
        <f>'Unformatted Trip Summary'!I15</f>
        <v>Cyclist</v>
      </c>
      <c r="D17">
        <f>'Unformatted Trip Summary'!D15</f>
        <v>5</v>
      </c>
      <c r="E17">
        <f>'Unformatted Trip Summary'!E15</f>
        <v>19</v>
      </c>
      <c r="F17" s="1">
        <f>'Unformatted Trip Summary'!F15</f>
        <v>0.67545288780000001</v>
      </c>
      <c r="G17" s="1">
        <f>'Unformatted Trip Summary'!G15</f>
        <v>1.0694312686</v>
      </c>
      <c r="H17" s="1">
        <f>'Unformatted Trip Summary'!H15</f>
        <v>0.1686313294</v>
      </c>
    </row>
    <row r="18" spans="1:8" x14ac:dyDescent="0.2">
      <c r="A18" t="str">
        <f>'Unformatted Trip Summary'!A16</f>
        <v>01 NORTHLAND</v>
      </c>
      <c r="B18" t="str">
        <f>'Unformatted Trip Summary'!J16</f>
        <v>2012/13</v>
      </c>
      <c r="C18" t="str">
        <f>'Unformatted Trip Summary'!I16</f>
        <v>Light Vehicle Driver</v>
      </c>
      <c r="D18">
        <f>'Unformatted Trip Summary'!D16</f>
        <v>476</v>
      </c>
      <c r="E18">
        <f>'Unformatted Trip Summary'!E16</f>
        <v>2980</v>
      </c>
      <c r="F18" s="1">
        <f>'Unformatted Trip Summary'!F16</f>
        <v>86.333691700000003</v>
      </c>
      <c r="G18" s="1">
        <f>'Unformatted Trip Summary'!G16</f>
        <v>1011.4273062</v>
      </c>
      <c r="H18" s="1">
        <f>'Unformatted Trip Summary'!H16</f>
        <v>23.421840091</v>
      </c>
    </row>
    <row r="19" spans="1:8" x14ac:dyDescent="0.2">
      <c r="A19" t="str">
        <f>'Unformatted Trip Summary'!A17</f>
        <v>01 NORTHLAND</v>
      </c>
      <c r="B19" t="str">
        <f>'Unformatted Trip Summary'!J17</f>
        <v>2017/18</v>
      </c>
      <c r="C19" t="str">
        <f>'Unformatted Trip Summary'!I17</f>
        <v>Light Vehicle Driver</v>
      </c>
      <c r="D19">
        <f>'Unformatted Trip Summary'!D17</f>
        <v>476</v>
      </c>
      <c r="E19">
        <f>'Unformatted Trip Summary'!E17</f>
        <v>2980</v>
      </c>
      <c r="F19" s="1">
        <f>'Unformatted Trip Summary'!F17</f>
        <v>90.221737192000006</v>
      </c>
      <c r="G19" s="1">
        <f>'Unformatted Trip Summary'!G17</f>
        <v>1067.1095683000001</v>
      </c>
      <c r="H19" s="1">
        <f>'Unformatted Trip Summary'!H17</f>
        <v>24.672311249</v>
      </c>
    </row>
    <row r="20" spans="1:8" x14ac:dyDescent="0.2">
      <c r="A20" t="str">
        <f>'Unformatted Trip Summary'!A18</f>
        <v>01 NORTHLAND</v>
      </c>
      <c r="B20" t="str">
        <f>'Unformatted Trip Summary'!J18</f>
        <v>2022/23</v>
      </c>
      <c r="C20" t="str">
        <f>'Unformatted Trip Summary'!I18</f>
        <v>Light Vehicle Driver</v>
      </c>
      <c r="D20">
        <f>'Unformatted Trip Summary'!D18</f>
        <v>476</v>
      </c>
      <c r="E20">
        <f>'Unformatted Trip Summary'!E18</f>
        <v>2980</v>
      </c>
      <c r="F20" s="1">
        <f>'Unformatted Trip Summary'!F18</f>
        <v>92.692112644000005</v>
      </c>
      <c r="G20" s="1">
        <f>'Unformatted Trip Summary'!G18</f>
        <v>1099.1518424000001</v>
      </c>
      <c r="H20" s="1">
        <f>'Unformatted Trip Summary'!H18</f>
        <v>25.369317467999998</v>
      </c>
    </row>
    <row r="21" spans="1:8" x14ac:dyDescent="0.2">
      <c r="A21" t="str">
        <f>'Unformatted Trip Summary'!A19</f>
        <v>01 NORTHLAND</v>
      </c>
      <c r="B21" t="str">
        <f>'Unformatted Trip Summary'!J19</f>
        <v>2027/28</v>
      </c>
      <c r="C21" t="str">
        <f>'Unformatted Trip Summary'!I19</f>
        <v>Light Vehicle Driver</v>
      </c>
      <c r="D21">
        <f>'Unformatted Trip Summary'!D19</f>
        <v>476</v>
      </c>
      <c r="E21">
        <f>'Unformatted Trip Summary'!E19</f>
        <v>2980</v>
      </c>
      <c r="F21" s="1">
        <f>'Unformatted Trip Summary'!F19</f>
        <v>94.96122767</v>
      </c>
      <c r="G21" s="1">
        <f>'Unformatted Trip Summary'!G19</f>
        <v>1122.4274077</v>
      </c>
      <c r="H21" s="1">
        <f>'Unformatted Trip Summary'!H19</f>
        <v>25.880495067999998</v>
      </c>
    </row>
    <row r="22" spans="1:8" x14ac:dyDescent="0.2">
      <c r="A22" t="str">
        <f>'Unformatted Trip Summary'!A20</f>
        <v>01 NORTHLAND</v>
      </c>
      <c r="B22" t="str">
        <f>'Unformatted Trip Summary'!J20</f>
        <v>2032/33</v>
      </c>
      <c r="C22" t="str">
        <f>'Unformatted Trip Summary'!I20</f>
        <v>Light Vehicle Driver</v>
      </c>
      <c r="D22">
        <f>'Unformatted Trip Summary'!D20</f>
        <v>476</v>
      </c>
      <c r="E22">
        <f>'Unformatted Trip Summary'!E20</f>
        <v>2980</v>
      </c>
      <c r="F22" s="1">
        <f>'Unformatted Trip Summary'!F20</f>
        <v>96.822437593000004</v>
      </c>
      <c r="G22" s="1">
        <f>'Unformatted Trip Summary'!G20</f>
        <v>1145.495441</v>
      </c>
      <c r="H22" s="1">
        <f>'Unformatted Trip Summary'!H20</f>
        <v>26.431842197999998</v>
      </c>
    </row>
    <row r="23" spans="1:8" x14ac:dyDescent="0.2">
      <c r="A23" t="str">
        <f>'Unformatted Trip Summary'!A21</f>
        <v>01 NORTHLAND</v>
      </c>
      <c r="B23" t="str">
        <f>'Unformatted Trip Summary'!J21</f>
        <v>2037/38</v>
      </c>
      <c r="C23" t="str">
        <f>'Unformatted Trip Summary'!I21</f>
        <v>Light Vehicle Driver</v>
      </c>
      <c r="D23">
        <f>'Unformatted Trip Summary'!D21</f>
        <v>476</v>
      </c>
      <c r="E23">
        <f>'Unformatted Trip Summary'!E21</f>
        <v>2980</v>
      </c>
      <c r="F23" s="1">
        <f>'Unformatted Trip Summary'!F21</f>
        <v>96.901019869999999</v>
      </c>
      <c r="G23" s="1">
        <f>'Unformatted Trip Summary'!G21</f>
        <v>1153.9508355</v>
      </c>
      <c r="H23" s="1">
        <f>'Unformatted Trip Summary'!H21</f>
        <v>26.658698159</v>
      </c>
    </row>
    <row r="24" spans="1:8" x14ac:dyDescent="0.2">
      <c r="A24" t="str">
        <f>'Unformatted Trip Summary'!A22</f>
        <v>01 NORTHLAND</v>
      </c>
      <c r="B24" t="str">
        <f>'Unformatted Trip Summary'!J22</f>
        <v>2042/43</v>
      </c>
      <c r="C24" t="str">
        <f>'Unformatted Trip Summary'!I22</f>
        <v>Light Vehicle Driver</v>
      </c>
      <c r="D24">
        <f>'Unformatted Trip Summary'!D22</f>
        <v>476</v>
      </c>
      <c r="E24">
        <f>'Unformatted Trip Summary'!E22</f>
        <v>2980</v>
      </c>
      <c r="F24" s="1">
        <f>'Unformatted Trip Summary'!F22</f>
        <v>96.743108832999994</v>
      </c>
      <c r="G24" s="1">
        <f>'Unformatted Trip Summary'!G22</f>
        <v>1158.8991278000001</v>
      </c>
      <c r="H24" s="1">
        <f>'Unformatted Trip Summary'!H22</f>
        <v>26.791861561000001</v>
      </c>
    </row>
    <row r="25" spans="1:8" x14ac:dyDescent="0.2">
      <c r="A25" t="str">
        <f>'Unformatted Trip Summary'!A23</f>
        <v>01 NORTHLAND</v>
      </c>
      <c r="B25" t="str">
        <f>'Unformatted Trip Summary'!J23</f>
        <v>2012/13</v>
      </c>
      <c r="C25" t="str">
        <f>'Unformatted Trip Summary'!I23</f>
        <v>Light Vehicle Passenger</v>
      </c>
      <c r="D25">
        <f>'Unformatted Trip Summary'!D23</f>
        <v>380</v>
      </c>
      <c r="E25">
        <f>'Unformatted Trip Summary'!E23</f>
        <v>1743</v>
      </c>
      <c r="F25" s="1">
        <f>'Unformatted Trip Summary'!F23</f>
        <v>50.299563868</v>
      </c>
      <c r="G25" s="1">
        <f>'Unformatted Trip Summary'!G23</f>
        <v>666.23785996000004</v>
      </c>
      <c r="H25" s="1">
        <f>'Unformatted Trip Summary'!H23</f>
        <v>15.174949781</v>
      </c>
    </row>
    <row r="26" spans="1:8" x14ac:dyDescent="0.2">
      <c r="A26" t="str">
        <f>'Unformatted Trip Summary'!A24</f>
        <v>01 NORTHLAND</v>
      </c>
      <c r="B26" t="str">
        <f>'Unformatted Trip Summary'!J24</f>
        <v>2017/18</v>
      </c>
      <c r="C26" t="str">
        <f>'Unformatted Trip Summary'!I24</f>
        <v>Light Vehicle Passenger</v>
      </c>
      <c r="D26">
        <f>'Unformatted Trip Summary'!D24</f>
        <v>380</v>
      </c>
      <c r="E26">
        <f>'Unformatted Trip Summary'!E24</f>
        <v>1743</v>
      </c>
      <c r="F26" s="1">
        <f>'Unformatted Trip Summary'!F24</f>
        <v>49.499323594000003</v>
      </c>
      <c r="G26" s="1">
        <f>'Unformatted Trip Summary'!G24</f>
        <v>669.37315689000002</v>
      </c>
      <c r="H26" s="1">
        <f>'Unformatted Trip Summary'!H24</f>
        <v>15.168946496</v>
      </c>
    </row>
    <row r="27" spans="1:8" x14ac:dyDescent="0.2">
      <c r="A27" t="str">
        <f>'Unformatted Trip Summary'!A25</f>
        <v>01 NORTHLAND</v>
      </c>
      <c r="B27" t="str">
        <f>'Unformatted Trip Summary'!J25</f>
        <v>2022/23</v>
      </c>
      <c r="C27" t="str">
        <f>'Unformatted Trip Summary'!I25</f>
        <v>Light Vehicle Passenger</v>
      </c>
      <c r="D27">
        <f>'Unformatted Trip Summary'!D25</f>
        <v>380</v>
      </c>
      <c r="E27">
        <f>'Unformatted Trip Summary'!E25</f>
        <v>1743</v>
      </c>
      <c r="F27" s="1">
        <f>'Unformatted Trip Summary'!F25</f>
        <v>48.743917867999997</v>
      </c>
      <c r="G27" s="1">
        <f>'Unformatted Trip Summary'!G25</f>
        <v>668.54005863999998</v>
      </c>
      <c r="H27" s="1">
        <f>'Unformatted Trip Summary'!H25</f>
        <v>15.078358792</v>
      </c>
    </row>
    <row r="28" spans="1:8" x14ac:dyDescent="0.2">
      <c r="A28" t="str">
        <f>'Unformatted Trip Summary'!A26</f>
        <v>01 NORTHLAND</v>
      </c>
      <c r="B28" t="str">
        <f>'Unformatted Trip Summary'!J26</f>
        <v>2027/28</v>
      </c>
      <c r="C28" t="str">
        <f>'Unformatted Trip Summary'!I26</f>
        <v>Light Vehicle Passenger</v>
      </c>
      <c r="D28">
        <f>'Unformatted Trip Summary'!D26</f>
        <v>380</v>
      </c>
      <c r="E28">
        <f>'Unformatted Trip Summary'!E26</f>
        <v>1743</v>
      </c>
      <c r="F28" s="1">
        <f>'Unformatted Trip Summary'!F26</f>
        <v>48.34817357</v>
      </c>
      <c r="G28" s="1">
        <f>'Unformatted Trip Summary'!G26</f>
        <v>667.91266727000004</v>
      </c>
      <c r="H28" s="1">
        <f>'Unformatted Trip Summary'!H26</f>
        <v>15.005755887999999</v>
      </c>
    </row>
    <row r="29" spans="1:8" x14ac:dyDescent="0.2">
      <c r="A29" t="str">
        <f>'Unformatted Trip Summary'!A27</f>
        <v>01 NORTHLAND</v>
      </c>
      <c r="B29" t="str">
        <f>'Unformatted Trip Summary'!J27</f>
        <v>2032/33</v>
      </c>
      <c r="C29" t="str">
        <f>'Unformatted Trip Summary'!I27</f>
        <v>Light Vehicle Passenger</v>
      </c>
      <c r="D29">
        <f>'Unformatted Trip Summary'!D27</f>
        <v>380</v>
      </c>
      <c r="E29">
        <f>'Unformatted Trip Summary'!E27</f>
        <v>1743</v>
      </c>
      <c r="F29" s="1">
        <f>'Unformatted Trip Summary'!F27</f>
        <v>48.029109013000003</v>
      </c>
      <c r="G29" s="1">
        <f>'Unformatted Trip Summary'!G27</f>
        <v>663.21524915999998</v>
      </c>
      <c r="H29" s="1">
        <f>'Unformatted Trip Summary'!H27</f>
        <v>14.881975059</v>
      </c>
    </row>
    <row r="30" spans="1:8" x14ac:dyDescent="0.2">
      <c r="A30" t="str">
        <f>'Unformatted Trip Summary'!A28</f>
        <v>01 NORTHLAND</v>
      </c>
      <c r="B30" t="str">
        <f>'Unformatted Trip Summary'!J28</f>
        <v>2037/38</v>
      </c>
      <c r="C30" t="str">
        <f>'Unformatted Trip Summary'!I28</f>
        <v>Light Vehicle Passenger</v>
      </c>
      <c r="D30">
        <f>'Unformatted Trip Summary'!D28</f>
        <v>380</v>
      </c>
      <c r="E30">
        <f>'Unformatted Trip Summary'!E28</f>
        <v>1743</v>
      </c>
      <c r="F30" s="1">
        <f>'Unformatted Trip Summary'!F28</f>
        <v>47.143100957999998</v>
      </c>
      <c r="G30" s="1">
        <f>'Unformatted Trip Summary'!G28</f>
        <v>656.73744303000001</v>
      </c>
      <c r="H30" s="1">
        <f>'Unformatted Trip Summary'!H28</f>
        <v>14.682811373</v>
      </c>
    </row>
    <row r="31" spans="1:8" x14ac:dyDescent="0.2">
      <c r="A31" t="str">
        <f>'Unformatted Trip Summary'!A29</f>
        <v>01 NORTHLAND</v>
      </c>
      <c r="B31" t="str">
        <f>'Unformatted Trip Summary'!J29</f>
        <v>2042/43</v>
      </c>
      <c r="C31" t="str">
        <f>'Unformatted Trip Summary'!I29</f>
        <v>Light Vehicle Passenger</v>
      </c>
      <c r="D31">
        <f>'Unformatted Trip Summary'!D29</f>
        <v>380</v>
      </c>
      <c r="E31">
        <f>'Unformatted Trip Summary'!E29</f>
        <v>1743</v>
      </c>
      <c r="F31" s="1">
        <f>'Unformatted Trip Summary'!F29</f>
        <v>46.091611946</v>
      </c>
      <c r="G31" s="1">
        <f>'Unformatted Trip Summary'!G29</f>
        <v>647.77325165000002</v>
      </c>
      <c r="H31" s="1">
        <f>'Unformatted Trip Summary'!H29</f>
        <v>14.424277417000001</v>
      </c>
    </row>
    <row r="32" spans="1:8" x14ac:dyDescent="0.2">
      <c r="A32" t="str">
        <f>'Unformatted Trip Summary'!A30</f>
        <v>01 NORTHLAND</v>
      </c>
      <c r="B32" t="str">
        <f>'Unformatted Trip Summary'!J30</f>
        <v>2012/13</v>
      </c>
      <c r="C32" t="str">
        <f>'Unformatted Trip Summary'!I30</f>
        <v>Taxi/Vehicle Share</v>
      </c>
      <c r="D32">
        <f>'Unformatted Trip Summary'!D30</f>
        <v>4</v>
      </c>
      <c r="E32">
        <f>'Unformatted Trip Summary'!E30</f>
        <v>6</v>
      </c>
      <c r="F32" s="1">
        <f>'Unformatted Trip Summary'!F30</f>
        <v>0.18126348840000001</v>
      </c>
      <c r="G32" s="1">
        <f>'Unformatted Trip Summary'!G30</f>
        <v>0.75976041549999995</v>
      </c>
      <c r="H32" s="1">
        <f>'Unformatted Trip Summary'!H30</f>
        <v>2.5131369800000001E-2</v>
      </c>
    </row>
    <row r="33" spans="1:8" x14ac:dyDescent="0.2">
      <c r="A33" t="str">
        <f>'Unformatted Trip Summary'!A31</f>
        <v>01 NORTHLAND</v>
      </c>
      <c r="B33" t="str">
        <f>'Unformatted Trip Summary'!J31</f>
        <v>2017/18</v>
      </c>
      <c r="C33" t="str">
        <f>'Unformatted Trip Summary'!I31</f>
        <v>Taxi/Vehicle Share</v>
      </c>
      <c r="D33">
        <f>'Unformatted Trip Summary'!D31</f>
        <v>4</v>
      </c>
      <c r="E33">
        <f>'Unformatted Trip Summary'!E31</f>
        <v>6</v>
      </c>
      <c r="F33" s="1">
        <f>'Unformatted Trip Summary'!F31</f>
        <v>0.18167838180000001</v>
      </c>
      <c r="G33" s="1">
        <f>'Unformatted Trip Summary'!G31</f>
        <v>0.75837951619999999</v>
      </c>
      <c r="H33" s="1">
        <f>'Unformatted Trip Summary'!H31</f>
        <v>2.4721541900000001E-2</v>
      </c>
    </row>
    <row r="34" spans="1:8" x14ac:dyDescent="0.2">
      <c r="A34" t="str">
        <f>'Unformatted Trip Summary'!A32</f>
        <v>01 NORTHLAND</v>
      </c>
      <c r="B34" t="str">
        <f>'Unformatted Trip Summary'!J32</f>
        <v>2022/23</v>
      </c>
      <c r="C34" t="str">
        <f>'Unformatted Trip Summary'!I32</f>
        <v>Taxi/Vehicle Share</v>
      </c>
      <c r="D34">
        <f>'Unformatted Trip Summary'!D32</f>
        <v>4</v>
      </c>
      <c r="E34">
        <f>'Unformatted Trip Summary'!E32</f>
        <v>6</v>
      </c>
      <c r="F34" s="1">
        <f>'Unformatted Trip Summary'!F32</f>
        <v>0.18490322789999999</v>
      </c>
      <c r="G34" s="1">
        <f>'Unformatted Trip Summary'!G32</f>
        <v>0.81707293270000003</v>
      </c>
      <c r="H34" s="1">
        <f>'Unformatted Trip Summary'!H32</f>
        <v>2.5513783000000002E-2</v>
      </c>
    </row>
    <row r="35" spans="1:8" x14ac:dyDescent="0.2">
      <c r="A35" t="str">
        <f>'Unformatted Trip Summary'!A33</f>
        <v>01 NORTHLAND</v>
      </c>
      <c r="B35" t="str">
        <f>'Unformatted Trip Summary'!J33</f>
        <v>2027/28</v>
      </c>
      <c r="C35" t="str">
        <f>'Unformatted Trip Summary'!I33</f>
        <v>Taxi/Vehicle Share</v>
      </c>
      <c r="D35">
        <f>'Unformatted Trip Summary'!D33</f>
        <v>4</v>
      </c>
      <c r="E35">
        <f>'Unformatted Trip Summary'!E33</f>
        <v>6</v>
      </c>
      <c r="F35" s="1">
        <f>'Unformatted Trip Summary'!F33</f>
        <v>0.20308486889999999</v>
      </c>
      <c r="G35" s="1">
        <f>'Unformatted Trip Summary'!G33</f>
        <v>0.94094149719999998</v>
      </c>
      <c r="H35" s="1">
        <f>'Unformatted Trip Summary'!H33</f>
        <v>2.8350057299999998E-2</v>
      </c>
    </row>
    <row r="36" spans="1:8" x14ac:dyDescent="0.2">
      <c r="A36" t="str">
        <f>'Unformatted Trip Summary'!A34</f>
        <v>01 NORTHLAND</v>
      </c>
      <c r="B36" t="str">
        <f>'Unformatted Trip Summary'!J34</f>
        <v>2032/33</v>
      </c>
      <c r="C36" t="str">
        <f>'Unformatted Trip Summary'!I34</f>
        <v>Taxi/Vehicle Share</v>
      </c>
      <c r="D36">
        <f>'Unformatted Trip Summary'!D34</f>
        <v>4</v>
      </c>
      <c r="E36">
        <f>'Unformatted Trip Summary'!E34</f>
        <v>6</v>
      </c>
      <c r="F36" s="1">
        <f>'Unformatted Trip Summary'!F34</f>
        <v>0.20340569989999999</v>
      </c>
      <c r="G36" s="1">
        <f>'Unformatted Trip Summary'!G34</f>
        <v>1.0112024128999999</v>
      </c>
      <c r="H36" s="1">
        <f>'Unformatted Trip Summary'!H34</f>
        <v>2.9103981800000001E-2</v>
      </c>
    </row>
    <row r="37" spans="1:8" x14ac:dyDescent="0.2">
      <c r="A37" t="str">
        <f>'Unformatted Trip Summary'!A35</f>
        <v>01 NORTHLAND</v>
      </c>
      <c r="B37" t="str">
        <f>'Unformatted Trip Summary'!J35</f>
        <v>2037/38</v>
      </c>
      <c r="C37" t="str">
        <f>'Unformatted Trip Summary'!I35</f>
        <v>Taxi/Vehicle Share</v>
      </c>
      <c r="D37">
        <f>'Unformatted Trip Summary'!D35</f>
        <v>4</v>
      </c>
      <c r="E37">
        <f>'Unformatted Trip Summary'!E35</f>
        <v>6</v>
      </c>
      <c r="F37" s="1">
        <f>'Unformatted Trip Summary'!F35</f>
        <v>0.19971165630000001</v>
      </c>
      <c r="G37" s="1">
        <f>'Unformatted Trip Summary'!G35</f>
        <v>0.99464329399999996</v>
      </c>
      <c r="H37" s="1">
        <f>'Unformatted Trip Summary'!H35</f>
        <v>2.8325607199999998E-2</v>
      </c>
    </row>
    <row r="38" spans="1:8" x14ac:dyDescent="0.2">
      <c r="A38" t="str">
        <f>'Unformatted Trip Summary'!A36</f>
        <v>01 NORTHLAND</v>
      </c>
      <c r="B38" t="str">
        <f>'Unformatted Trip Summary'!J36</f>
        <v>2042/43</v>
      </c>
      <c r="C38" t="str">
        <f>'Unformatted Trip Summary'!I36</f>
        <v>Taxi/Vehicle Share</v>
      </c>
      <c r="D38">
        <f>'Unformatted Trip Summary'!D36</f>
        <v>4</v>
      </c>
      <c r="E38">
        <f>'Unformatted Trip Summary'!E36</f>
        <v>6</v>
      </c>
      <c r="F38" s="1">
        <f>'Unformatted Trip Summary'!F36</f>
        <v>0.1948885715</v>
      </c>
      <c r="G38" s="1">
        <f>'Unformatted Trip Summary'!G36</f>
        <v>0.97017303300000002</v>
      </c>
      <c r="H38" s="1">
        <f>'Unformatted Trip Summary'!H36</f>
        <v>2.73714938E-2</v>
      </c>
    </row>
    <row r="39" spans="1:8" x14ac:dyDescent="0.2">
      <c r="A39" t="str">
        <f>'Unformatted Trip Summary'!A37</f>
        <v>01 NORTHLAND</v>
      </c>
      <c r="B39" t="str">
        <f>'Unformatted Trip Summary'!J37</f>
        <v>2012/13</v>
      </c>
      <c r="C39" t="str">
        <f>'Unformatted Trip Summary'!I37</f>
        <v>Motorcyclist</v>
      </c>
      <c r="D39">
        <f>'Unformatted Trip Summary'!D37</f>
        <v>5</v>
      </c>
      <c r="E39">
        <f>'Unformatted Trip Summary'!E37</f>
        <v>28</v>
      </c>
      <c r="F39" s="1">
        <f>'Unformatted Trip Summary'!F37</f>
        <v>1.4141085707000001</v>
      </c>
      <c r="G39" s="1">
        <f>'Unformatted Trip Summary'!G37</f>
        <v>9.2423909657000003</v>
      </c>
      <c r="H39" s="1">
        <f>'Unformatted Trip Summary'!H37</f>
        <v>0.28382488960000002</v>
      </c>
    </row>
    <row r="40" spans="1:8" x14ac:dyDescent="0.2">
      <c r="A40" t="str">
        <f>'Unformatted Trip Summary'!A38</f>
        <v>01 NORTHLAND</v>
      </c>
      <c r="B40" t="str">
        <f>'Unformatted Trip Summary'!J38</f>
        <v>2017/18</v>
      </c>
      <c r="C40" t="str">
        <f>'Unformatted Trip Summary'!I38</f>
        <v>Motorcyclist</v>
      </c>
      <c r="D40">
        <f>'Unformatted Trip Summary'!D38</f>
        <v>5</v>
      </c>
      <c r="E40">
        <f>'Unformatted Trip Summary'!E38</f>
        <v>28</v>
      </c>
      <c r="F40" s="1">
        <f>'Unformatted Trip Summary'!F38</f>
        <v>1.4383229858</v>
      </c>
      <c r="G40" s="1">
        <f>'Unformatted Trip Summary'!G38</f>
        <v>9.5451597480999997</v>
      </c>
      <c r="H40" s="1">
        <f>'Unformatted Trip Summary'!H38</f>
        <v>0.29325990969999999</v>
      </c>
    </row>
    <row r="41" spans="1:8" x14ac:dyDescent="0.2">
      <c r="A41" t="str">
        <f>'Unformatted Trip Summary'!A39</f>
        <v>01 NORTHLAND</v>
      </c>
      <c r="B41" t="str">
        <f>'Unformatted Trip Summary'!J39</f>
        <v>2022/23</v>
      </c>
      <c r="C41" t="str">
        <f>'Unformatted Trip Summary'!I39</f>
        <v>Motorcyclist</v>
      </c>
      <c r="D41">
        <f>'Unformatted Trip Summary'!D39</f>
        <v>5</v>
      </c>
      <c r="E41">
        <f>'Unformatted Trip Summary'!E39</f>
        <v>28</v>
      </c>
      <c r="F41" s="1">
        <f>'Unformatted Trip Summary'!F39</f>
        <v>1.4003028153999999</v>
      </c>
      <c r="G41" s="1">
        <f>'Unformatted Trip Summary'!G39</f>
        <v>9.316756002</v>
      </c>
      <c r="H41" s="1">
        <f>'Unformatted Trip Summary'!H39</f>
        <v>0.28770179080000002</v>
      </c>
    </row>
    <row r="42" spans="1:8" x14ac:dyDescent="0.2">
      <c r="A42" t="str">
        <f>'Unformatted Trip Summary'!A40</f>
        <v>01 NORTHLAND</v>
      </c>
      <c r="B42" t="str">
        <f>'Unformatted Trip Summary'!J40</f>
        <v>2027/28</v>
      </c>
      <c r="C42" t="str">
        <f>'Unformatted Trip Summary'!I40</f>
        <v>Motorcyclist</v>
      </c>
      <c r="D42">
        <f>'Unformatted Trip Summary'!D40</f>
        <v>5</v>
      </c>
      <c r="E42">
        <f>'Unformatted Trip Summary'!E40</f>
        <v>28</v>
      </c>
      <c r="F42" s="1">
        <f>'Unformatted Trip Summary'!F40</f>
        <v>1.2950117792</v>
      </c>
      <c r="G42" s="1">
        <f>'Unformatted Trip Summary'!G40</f>
        <v>8.4790525605999996</v>
      </c>
      <c r="H42" s="1">
        <f>'Unformatted Trip Summary'!H40</f>
        <v>0.2639958563</v>
      </c>
    </row>
    <row r="43" spans="1:8" x14ac:dyDescent="0.2">
      <c r="A43" t="str">
        <f>'Unformatted Trip Summary'!A41</f>
        <v>01 NORTHLAND</v>
      </c>
      <c r="B43" t="str">
        <f>'Unformatted Trip Summary'!J41</f>
        <v>2032/33</v>
      </c>
      <c r="C43" t="str">
        <f>'Unformatted Trip Summary'!I41</f>
        <v>Motorcyclist</v>
      </c>
      <c r="D43">
        <f>'Unformatted Trip Summary'!D41</f>
        <v>5</v>
      </c>
      <c r="E43">
        <f>'Unformatted Trip Summary'!E41</f>
        <v>28</v>
      </c>
      <c r="F43" s="1">
        <f>'Unformatted Trip Summary'!F41</f>
        <v>1.2525024091000001</v>
      </c>
      <c r="G43" s="1">
        <f>'Unformatted Trip Summary'!G41</f>
        <v>7.9014694030000001</v>
      </c>
      <c r="H43" s="1">
        <f>'Unformatted Trip Summary'!H41</f>
        <v>0.2492028966</v>
      </c>
    </row>
    <row r="44" spans="1:8" x14ac:dyDescent="0.2">
      <c r="A44" t="str">
        <f>'Unformatted Trip Summary'!A42</f>
        <v>01 NORTHLAND</v>
      </c>
      <c r="B44" t="str">
        <f>'Unformatted Trip Summary'!J42</f>
        <v>2037/38</v>
      </c>
      <c r="C44" t="str">
        <f>'Unformatted Trip Summary'!I42</f>
        <v>Motorcyclist</v>
      </c>
      <c r="D44">
        <f>'Unformatted Trip Summary'!D42</f>
        <v>5</v>
      </c>
      <c r="E44">
        <f>'Unformatted Trip Summary'!E42</f>
        <v>28</v>
      </c>
      <c r="F44" s="1">
        <f>'Unformatted Trip Summary'!F42</f>
        <v>1.2572819580000001</v>
      </c>
      <c r="G44" s="1">
        <f>'Unformatted Trip Summary'!G42</f>
        <v>7.6014609684999996</v>
      </c>
      <c r="H44" s="1">
        <f>'Unformatted Trip Summary'!H42</f>
        <v>0.24316708470000001</v>
      </c>
    </row>
    <row r="45" spans="1:8" x14ac:dyDescent="0.2">
      <c r="A45" t="str">
        <f>'Unformatted Trip Summary'!A43</f>
        <v>01 NORTHLAND</v>
      </c>
      <c r="B45" t="str">
        <f>'Unformatted Trip Summary'!J43</f>
        <v>2042/43</v>
      </c>
      <c r="C45" t="str">
        <f>'Unformatted Trip Summary'!I43</f>
        <v>Motorcyclist</v>
      </c>
      <c r="D45">
        <f>'Unformatted Trip Summary'!D43</f>
        <v>5</v>
      </c>
      <c r="E45">
        <f>'Unformatted Trip Summary'!E43</f>
        <v>28</v>
      </c>
      <c r="F45" s="1">
        <f>'Unformatted Trip Summary'!F43</f>
        <v>1.2509747849999999</v>
      </c>
      <c r="G45" s="1">
        <f>'Unformatted Trip Summary'!G43</f>
        <v>7.2104792200999999</v>
      </c>
      <c r="H45" s="1">
        <f>'Unformatted Trip Summary'!H43</f>
        <v>0.2347997094</v>
      </c>
    </row>
    <row r="46" spans="1:8" x14ac:dyDescent="0.2">
      <c r="A46" t="str">
        <f>'Unformatted Trip Summary'!A44</f>
        <v>01 NORTHLAND</v>
      </c>
      <c r="B46" t="str">
        <f>'Unformatted Trip Summary'!J44</f>
        <v>2012/13</v>
      </c>
      <c r="C46" t="str">
        <f>'Unformatted Trip Summary'!I44</f>
        <v>Local Bus</v>
      </c>
      <c r="D46">
        <f>'Unformatted Trip Summary'!D44</f>
        <v>50</v>
      </c>
      <c r="E46">
        <f>'Unformatted Trip Summary'!E44</f>
        <v>135</v>
      </c>
      <c r="F46" s="1">
        <f>'Unformatted Trip Summary'!F44</f>
        <v>3.6339219343</v>
      </c>
      <c r="G46" s="1">
        <f>'Unformatted Trip Summary'!G44</f>
        <v>44.734594063999999</v>
      </c>
      <c r="H46" s="1">
        <f>'Unformatted Trip Summary'!H44</f>
        <v>1.5691203781</v>
      </c>
    </row>
    <row r="47" spans="1:8" x14ac:dyDescent="0.2">
      <c r="A47" t="str">
        <f>'Unformatted Trip Summary'!A45</f>
        <v>01 NORTHLAND</v>
      </c>
      <c r="B47" t="str">
        <f>'Unformatted Trip Summary'!J45</f>
        <v>2017/18</v>
      </c>
      <c r="C47" t="str">
        <f>'Unformatted Trip Summary'!I45</f>
        <v>Local Bus</v>
      </c>
      <c r="D47">
        <f>'Unformatted Trip Summary'!D45</f>
        <v>50</v>
      </c>
      <c r="E47">
        <f>'Unformatted Trip Summary'!E45</f>
        <v>135</v>
      </c>
      <c r="F47" s="1">
        <f>'Unformatted Trip Summary'!F45</f>
        <v>3.2480371667000001</v>
      </c>
      <c r="G47" s="1">
        <f>'Unformatted Trip Summary'!G45</f>
        <v>39.205987982000003</v>
      </c>
      <c r="H47" s="1">
        <f>'Unformatted Trip Summary'!H45</f>
        <v>1.4017577636</v>
      </c>
    </row>
    <row r="48" spans="1:8" x14ac:dyDescent="0.2">
      <c r="A48" t="str">
        <f>'Unformatted Trip Summary'!A46</f>
        <v>01 NORTHLAND</v>
      </c>
      <c r="B48" t="str">
        <f>'Unformatted Trip Summary'!J46</f>
        <v>2022/23</v>
      </c>
      <c r="C48" t="str">
        <f>'Unformatted Trip Summary'!I46</f>
        <v>Local Bus</v>
      </c>
      <c r="D48">
        <f>'Unformatted Trip Summary'!D46</f>
        <v>50</v>
      </c>
      <c r="E48">
        <f>'Unformatted Trip Summary'!E46</f>
        <v>135</v>
      </c>
      <c r="F48" s="1">
        <f>'Unformatted Trip Summary'!F46</f>
        <v>3.0069382206999999</v>
      </c>
      <c r="G48" s="1">
        <f>'Unformatted Trip Summary'!G46</f>
        <v>35.854320758999997</v>
      </c>
      <c r="H48" s="1">
        <f>'Unformatted Trip Summary'!H46</f>
        <v>1.2944358518000001</v>
      </c>
    </row>
    <row r="49" spans="1:8" x14ac:dyDescent="0.2">
      <c r="A49" t="str">
        <f>'Unformatted Trip Summary'!A47</f>
        <v>01 NORTHLAND</v>
      </c>
      <c r="B49" t="str">
        <f>'Unformatted Trip Summary'!J47</f>
        <v>2027/28</v>
      </c>
      <c r="C49" t="str">
        <f>'Unformatted Trip Summary'!I47</f>
        <v>Local Bus</v>
      </c>
      <c r="D49">
        <f>'Unformatted Trip Summary'!D47</f>
        <v>50</v>
      </c>
      <c r="E49">
        <f>'Unformatted Trip Summary'!E47</f>
        <v>135</v>
      </c>
      <c r="F49" s="1">
        <f>'Unformatted Trip Summary'!F47</f>
        <v>2.7905412789000001</v>
      </c>
      <c r="G49" s="1">
        <f>'Unformatted Trip Summary'!G47</f>
        <v>33.098120516999998</v>
      </c>
      <c r="H49" s="1">
        <f>'Unformatted Trip Summary'!H47</f>
        <v>1.1947957409000001</v>
      </c>
    </row>
    <row r="50" spans="1:8" x14ac:dyDescent="0.2">
      <c r="A50" t="str">
        <f>'Unformatted Trip Summary'!A48</f>
        <v>01 NORTHLAND</v>
      </c>
      <c r="B50" t="str">
        <f>'Unformatted Trip Summary'!J48</f>
        <v>2032/33</v>
      </c>
      <c r="C50" t="str">
        <f>'Unformatted Trip Summary'!I48</f>
        <v>Local Bus</v>
      </c>
      <c r="D50">
        <f>'Unformatted Trip Summary'!D48</f>
        <v>50</v>
      </c>
      <c r="E50">
        <f>'Unformatted Trip Summary'!E48</f>
        <v>135</v>
      </c>
      <c r="F50" s="1">
        <f>'Unformatted Trip Summary'!F48</f>
        <v>2.5990738271999998</v>
      </c>
      <c r="G50" s="1">
        <f>'Unformatted Trip Summary'!G48</f>
        <v>30.551498026000001</v>
      </c>
      <c r="H50" s="1">
        <f>'Unformatted Trip Summary'!H48</f>
        <v>1.1070409488999999</v>
      </c>
    </row>
    <row r="51" spans="1:8" x14ac:dyDescent="0.2">
      <c r="A51" t="str">
        <f>'Unformatted Trip Summary'!A49</f>
        <v>01 NORTHLAND</v>
      </c>
      <c r="B51" t="str">
        <f>'Unformatted Trip Summary'!J49</f>
        <v>2037/38</v>
      </c>
      <c r="C51" t="str">
        <f>'Unformatted Trip Summary'!I49</f>
        <v>Local Bus</v>
      </c>
      <c r="D51">
        <f>'Unformatted Trip Summary'!D49</f>
        <v>50</v>
      </c>
      <c r="E51">
        <f>'Unformatted Trip Summary'!E49</f>
        <v>135</v>
      </c>
      <c r="F51" s="1">
        <f>'Unformatted Trip Summary'!F49</f>
        <v>2.4333550844</v>
      </c>
      <c r="G51" s="1">
        <f>'Unformatted Trip Summary'!G49</f>
        <v>28.582392772999999</v>
      </c>
      <c r="H51" s="1">
        <f>'Unformatted Trip Summary'!H49</f>
        <v>1.0343225588</v>
      </c>
    </row>
    <row r="52" spans="1:8" x14ac:dyDescent="0.2">
      <c r="A52" t="str">
        <f>'Unformatted Trip Summary'!A50</f>
        <v>01 NORTHLAND</v>
      </c>
      <c r="B52" t="str">
        <f>'Unformatted Trip Summary'!J50</f>
        <v>2042/43</v>
      </c>
      <c r="C52" t="str">
        <f>'Unformatted Trip Summary'!I50</f>
        <v>Local Bus</v>
      </c>
      <c r="D52">
        <f>'Unformatted Trip Summary'!D50</f>
        <v>50</v>
      </c>
      <c r="E52">
        <f>'Unformatted Trip Summary'!E50</f>
        <v>135</v>
      </c>
      <c r="F52" s="1">
        <f>'Unformatted Trip Summary'!F50</f>
        <v>2.2633927653999999</v>
      </c>
      <c r="G52" s="1">
        <f>'Unformatted Trip Summary'!G50</f>
        <v>26.603315975000001</v>
      </c>
      <c r="H52" s="1">
        <f>'Unformatted Trip Summary'!H50</f>
        <v>0.95989640379999996</v>
      </c>
    </row>
    <row r="53" spans="1:8" x14ac:dyDescent="0.2">
      <c r="A53" t="str">
        <f>'Unformatted Trip Summary'!A51</f>
        <v>01 NORTHLAND</v>
      </c>
      <c r="B53" t="str">
        <f>'Unformatted Trip Summary'!J51</f>
        <v>2012/13</v>
      </c>
      <c r="C53" t="str">
        <f>'Unformatted Trip Summary'!I51</f>
        <v>Local Ferry</v>
      </c>
      <c r="D53">
        <f>'Unformatted Trip Summary'!D51</f>
        <v>2</v>
      </c>
      <c r="E53">
        <f>'Unformatted Trip Summary'!E51</f>
        <v>3</v>
      </c>
      <c r="F53" s="1">
        <f>'Unformatted Trip Summary'!F51</f>
        <v>4.69171767E-2</v>
      </c>
      <c r="G53" s="1">
        <f>'Unformatted Trip Summary'!G51</f>
        <v>0</v>
      </c>
      <c r="H53" s="1">
        <f>'Unformatted Trip Summary'!H51</f>
        <v>1.43058123E-2</v>
      </c>
    </row>
    <row r="54" spans="1:8" x14ac:dyDescent="0.2">
      <c r="A54" t="str">
        <f>'Unformatted Trip Summary'!A52</f>
        <v>01 NORTHLAND</v>
      </c>
      <c r="B54" t="str">
        <f>'Unformatted Trip Summary'!J52</f>
        <v>2017/18</v>
      </c>
      <c r="C54" t="str">
        <f>'Unformatted Trip Summary'!I52</f>
        <v>Local Ferry</v>
      </c>
      <c r="D54">
        <f>'Unformatted Trip Summary'!D52</f>
        <v>2</v>
      </c>
      <c r="E54">
        <f>'Unformatted Trip Summary'!E52</f>
        <v>3</v>
      </c>
      <c r="F54" s="1">
        <f>'Unformatted Trip Summary'!F52</f>
        <v>5.2167282199999998E-2</v>
      </c>
      <c r="G54" s="1">
        <f>'Unformatted Trip Summary'!G52</f>
        <v>0</v>
      </c>
      <c r="H54" s="1">
        <f>'Unformatted Trip Summary'!H52</f>
        <v>1.5018559500000001E-2</v>
      </c>
    </row>
    <row r="55" spans="1:8" x14ac:dyDescent="0.2">
      <c r="A55" t="str">
        <f>'Unformatted Trip Summary'!A53</f>
        <v>01 NORTHLAND</v>
      </c>
      <c r="B55" t="str">
        <f>'Unformatted Trip Summary'!J53</f>
        <v>2022/23</v>
      </c>
      <c r="C55" t="str">
        <f>'Unformatted Trip Summary'!I53</f>
        <v>Local Ferry</v>
      </c>
      <c r="D55">
        <f>'Unformatted Trip Summary'!D53</f>
        <v>2</v>
      </c>
      <c r="E55">
        <f>'Unformatted Trip Summary'!E53</f>
        <v>3</v>
      </c>
      <c r="F55" s="1">
        <f>'Unformatted Trip Summary'!F53</f>
        <v>5.4211099700000001E-2</v>
      </c>
      <c r="G55" s="1">
        <f>'Unformatted Trip Summary'!G53</f>
        <v>0</v>
      </c>
      <c r="H55" s="1">
        <f>'Unformatted Trip Summary'!H53</f>
        <v>1.4894496E-2</v>
      </c>
    </row>
    <row r="56" spans="1:8" x14ac:dyDescent="0.2">
      <c r="A56" t="str">
        <f>'Unformatted Trip Summary'!A54</f>
        <v>01 NORTHLAND</v>
      </c>
      <c r="B56" t="str">
        <f>'Unformatted Trip Summary'!J54</f>
        <v>2027/28</v>
      </c>
      <c r="C56" t="str">
        <f>'Unformatted Trip Summary'!I54</f>
        <v>Local Ferry</v>
      </c>
      <c r="D56">
        <f>'Unformatted Trip Summary'!D54</f>
        <v>2</v>
      </c>
      <c r="E56">
        <f>'Unformatted Trip Summary'!E54</f>
        <v>3</v>
      </c>
      <c r="F56" s="1">
        <f>'Unformatted Trip Summary'!F54</f>
        <v>5.5581152199999997E-2</v>
      </c>
      <c r="G56" s="1">
        <f>'Unformatted Trip Summary'!G54</f>
        <v>0</v>
      </c>
      <c r="H56" s="1">
        <f>'Unformatted Trip Summary'!H54</f>
        <v>1.4476072899999999E-2</v>
      </c>
    </row>
    <row r="57" spans="1:8" x14ac:dyDescent="0.2">
      <c r="A57" t="str">
        <f>'Unformatted Trip Summary'!A55</f>
        <v>01 NORTHLAND</v>
      </c>
      <c r="B57" t="str">
        <f>'Unformatted Trip Summary'!J55</f>
        <v>2032/33</v>
      </c>
      <c r="C57" t="str">
        <f>'Unformatted Trip Summary'!I55</f>
        <v>Local Ferry</v>
      </c>
      <c r="D57">
        <f>'Unformatted Trip Summary'!D55</f>
        <v>2</v>
      </c>
      <c r="E57">
        <f>'Unformatted Trip Summary'!E55</f>
        <v>3</v>
      </c>
      <c r="F57" s="1">
        <f>'Unformatted Trip Summary'!F55</f>
        <v>5.3851019899999998E-2</v>
      </c>
      <c r="G57" s="1">
        <f>'Unformatted Trip Summary'!G55</f>
        <v>0</v>
      </c>
      <c r="H57" s="1">
        <f>'Unformatted Trip Summary'!H55</f>
        <v>1.3487081200000001E-2</v>
      </c>
    </row>
    <row r="58" spans="1:8" x14ac:dyDescent="0.2">
      <c r="A58" t="str">
        <f>'Unformatted Trip Summary'!A56</f>
        <v>01 NORTHLAND</v>
      </c>
      <c r="B58" t="str">
        <f>'Unformatted Trip Summary'!J56</f>
        <v>2037/38</v>
      </c>
      <c r="C58" t="str">
        <f>'Unformatted Trip Summary'!I56</f>
        <v>Local Ferry</v>
      </c>
      <c r="D58">
        <f>'Unformatted Trip Summary'!D56</f>
        <v>2</v>
      </c>
      <c r="E58">
        <f>'Unformatted Trip Summary'!E56</f>
        <v>3</v>
      </c>
      <c r="F58" s="1">
        <f>'Unformatted Trip Summary'!F56</f>
        <v>4.9571540499999997E-2</v>
      </c>
      <c r="G58" s="1">
        <f>'Unformatted Trip Summary'!G56</f>
        <v>0</v>
      </c>
      <c r="H58" s="1">
        <f>'Unformatted Trip Summary'!H56</f>
        <v>1.20768539E-2</v>
      </c>
    </row>
    <row r="59" spans="1:8" x14ac:dyDescent="0.2">
      <c r="A59" t="str">
        <f>'Unformatted Trip Summary'!A57</f>
        <v>01 NORTHLAND</v>
      </c>
      <c r="B59" t="str">
        <f>'Unformatted Trip Summary'!J57</f>
        <v>2042/43</v>
      </c>
      <c r="C59" t="str">
        <f>'Unformatted Trip Summary'!I57</f>
        <v>Local Ferry</v>
      </c>
      <c r="D59">
        <f>'Unformatted Trip Summary'!D57</f>
        <v>2</v>
      </c>
      <c r="E59">
        <f>'Unformatted Trip Summary'!E57</f>
        <v>3</v>
      </c>
      <c r="F59" s="1">
        <f>'Unformatted Trip Summary'!F57</f>
        <v>4.5255192299999997E-2</v>
      </c>
      <c r="G59" s="1">
        <f>'Unformatted Trip Summary'!G57</f>
        <v>0</v>
      </c>
      <c r="H59" s="1">
        <f>'Unformatted Trip Summary'!H57</f>
        <v>1.07557794E-2</v>
      </c>
    </row>
    <row r="60" spans="1:8" x14ac:dyDescent="0.2">
      <c r="A60" t="str">
        <f>'Unformatted Trip Summary'!A58</f>
        <v>01 NORTHLAND</v>
      </c>
      <c r="B60" t="str">
        <f>'Unformatted Trip Summary'!J58</f>
        <v>2012/13</v>
      </c>
      <c r="C60" t="str">
        <f>'Unformatted Trip Summary'!I58</f>
        <v>Other Household Travel</v>
      </c>
      <c r="D60">
        <f>'Unformatted Trip Summary'!D58</f>
        <v>2</v>
      </c>
      <c r="E60">
        <f>'Unformatted Trip Summary'!E58</f>
        <v>3</v>
      </c>
      <c r="F60" s="1">
        <f>'Unformatted Trip Summary'!F58</f>
        <v>0.1184310407</v>
      </c>
      <c r="G60" s="1">
        <f>'Unformatted Trip Summary'!G58</f>
        <v>0</v>
      </c>
      <c r="H60" s="1">
        <f>'Unformatted Trip Summary'!H58</f>
        <v>0</v>
      </c>
    </row>
    <row r="61" spans="1:8" x14ac:dyDescent="0.2">
      <c r="A61" t="str">
        <f>'Unformatted Trip Summary'!A59</f>
        <v>01 NORTHLAND</v>
      </c>
      <c r="B61" t="str">
        <f>'Unformatted Trip Summary'!J59</f>
        <v>2017/18</v>
      </c>
      <c r="C61" t="str">
        <f>'Unformatted Trip Summary'!I59</f>
        <v>Other Household Travel</v>
      </c>
      <c r="D61">
        <f>'Unformatted Trip Summary'!D59</f>
        <v>2</v>
      </c>
      <c r="E61">
        <f>'Unformatted Trip Summary'!E59</f>
        <v>3</v>
      </c>
      <c r="F61" s="1">
        <f>'Unformatted Trip Summary'!F59</f>
        <v>0.12676431960000001</v>
      </c>
      <c r="G61" s="1">
        <f>'Unformatted Trip Summary'!G59</f>
        <v>0</v>
      </c>
      <c r="H61" s="1">
        <f>'Unformatted Trip Summary'!H59</f>
        <v>0</v>
      </c>
    </row>
    <row r="62" spans="1:8" x14ac:dyDescent="0.2">
      <c r="A62" t="str">
        <f>'Unformatted Trip Summary'!A60</f>
        <v>01 NORTHLAND</v>
      </c>
      <c r="B62" t="str">
        <f>'Unformatted Trip Summary'!J60</f>
        <v>2022/23</v>
      </c>
      <c r="C62" t="str">
        <f>'Unformatted Trip Summary'!I60</f>
        <v>Other Household Travel</v>
      </c>
      <c r="D62">
        <f>'Unformatted Trip Summary'!D60</f>
        <v>2</v>
      </c>
      <c r="E62">
        <f>'Unformatted Trip Summary'!E60</f>
        <v>3</v>
      </c>
      <c r="F62" s="1">
        <f>'Unformatted Trip Summary'!F60</f>
        <v>0.12671845970000001</v>
      </c>
      <c r="G62" s="1">
        <f>'Unformatted Trip Summary'!G60</f>
        <v>0</v>
      </c>
      <c r="H62" s="1">
        <f>'Unformatted Trip Summary'!H60</f>
        <v>0</v>
      </c>
    </row>
    <row r="63" spans="1:8" x14ac:dyDescent="0.2">
      <c r="A63" t="str">
        <f>'Unformatted Trip Summary'!A61</f>
        <v>01 NORTHLAND</v>
      </c>
      <c r="B63" t="str">
        <f>'Unformatted Trip Summary'!J61</f>
        <v>2027/28</v>
      </c>
      <c r="C63" t="str">
        <f>'Unformatted Trip Summary'!I61</f>
        <v>Other Household Travel</v>
      </c>
      <c r="D63">
        <f>'Unformatted Trip Summary'!D61</f>
        <v>2</v>
      </c>
      <c r="E63">
        <f>'Unformatted Trip Summary'!E61</f>
        <v>3</v>
      </c>
      <c r="F63" s="1">
        <f>'Unformatted Trip Summary'!F61</f>
        <v>0.12079150919999999</v>
      </c>
      <c r="G63" s="1">
        <f>'Unformatted Trip Summary'!G61</f>
        <v>0</v>
      </c>
      <c r="H63" s="1">
        <f>'Unformatted Trip Summary'!H61</f>
        <v>0</v>
      </c>
    </row>
    <row r="64" spans="1:8" x14ac:dyDescent="0.2">
      <c r="A64" t="str">
        <f>'Unformatted Trip Summary'!A62</f>
        <v>01 NORTHLAND</v>
      </c>
      <c r="B64" t="str">
        <f>'Unformatted Trip Summary'!J62</f>
        <v>2032/33</v>
      </c>
      <c r="C64" t="str">
        <f>'Unformatted Trip Summary'!I62</f>
        <v>Other Household Travel</v>
      </c>
      <c r="D64">
        <f>'Unformatted Trip Summary'!D62</f>
        <v>2</v>
      </c>
      <c r="E64">
        <f>'Unformatted Trip Summary'!E62</f>
        <v>3</v>
      </c>
      <c r="F64" s="1">
        <f>'Unformatted Trip Summary'!F62</f>
        <v>0.1141387426</v>
      </c>
      <c r="G64" s="1">
        <f>'Unformatted Trip Summary'!G62</f>
        <v>0</v>
      </c>
      <c r="H64" s="1">
        <f>'Unformatted Trip Summary'!H62</f>
        <v>0</v>
      </c>
    </row>
    <row r="65" spans="1:8" x14ac:dyDescent="0.2">
      <c r="A65" t="str">
        <f>'Unformatted Trip Summary'!A63</f>
        <v>01 NORTHLAND</v>
      </c>
      <c r="B65" t="str">
        <f>'Unformatted Trip Summary'!J63</f>
        <v>2037/38</v>
      </c>
      <c r="C65" t="str">
        <f>'Unformatted Trip Summary'!I63</f>
        <v>Other Household Travel</v>
      </c>
      <c r="D65">
        <f>'Unformatted Trip Summary'!D63</f>
        <v>2</v>
      </c>
      <c r="E65">
        <f>'Unformatted Trip Summary'!E63</f>
        <v>3</v>
      </c>
      <c r="F65" s="1">
        <f>'Unformatted Trip Summary'!F63</f>
        <v>0.10731171370000001</v>
      </c>
      <c r="G65" s="1">
        <f>'Unformatted Trip Summary'!G63</f>
        <v>0</v>
      </c>
      <c r="H65" s="1">
        <f>'Unformatted Trip Summary'!H63</f>
        <v>0</v>
      </c>
    </row>
    <row r="66" spans="1:8" x14ac:dyDescent="0.2">
      <c r="A66" t="str">
        <f>'Unformatted Trip Summary'!A64</f>
        <v>01 NORTHLAND</v>
      </c>
      <c r="B66" t="str">
        <f>'Unformatted Trip Summary'!J64</f>
        <v>2042/43</v>
      </c>
      <c r="C66" t="str">
        <f>'Unformatted Trip Summary'!I64</f>
        <v>Other Household Travel</v>
      </c>
      <c r="D66">
        <f>'Unformatted Trip Summary'!D64</f>
        <v>2</v>
      </c>
      <c r="E66">
        <f>'Unformatted Trip Summary'!E64</f>
        <v>3</v>
      </c>
      <c r="F66" s="1">
        <f>'Unformatted Trip Summary'!F64</f>
        <v>0.1000499191</v>
      </c>
      <c r="G66" s="1">
        <f>'Unformatted Trip Summary'!G64</f>
        <v>0</v>
      </c>
      <c r="H66" s="1">
        <f>'Unformatted Trip Summary'!H64</f>
        <v>0</v>
      </c>
    </row>
    <row r="67" spans="1:8" x14ac:dyDescent="0.2">
      <c r="A67" t="str">
        <f>'Unformatted Trip Summary'!A65</f>
        <v>01 NORTHLAND</v>
      </c>
      <c r="B67" t="str">
        <f>'Unformatted Trip Summary'!J65</f>
        <v>2012/13</v>
      </c>
      <c r="C67" t="str">
        <f>'Unformatted Trip Summary'!I65</f>
        <v>Air/Non-Local PT</v>
      </c>
      <c r="D67">
        <f>'Unformatted Trip Summary'!D65</f>
        <v>5</v>
      </c>
      <c r="E67">
        <f>'Unformatted Trip Summary'!E65</f>
        <v>8</v>
      </c>
      <c r="F67" s="1">
        <f>'Unformatted Trip Summary'!F65</f>
        <v>0.226285661</v>
      </c>
      <c r="G67" s="1">
        <f>'Unformatted Trip Summary'!G65</f>
        <v>0</v>
      </c>
      <c r="H67" s="1">
        <f>'Unformatted Trip Summary'!H65</f>
        <v>0.25491621720000002</v>
      </c>
    </row>
    <row r="68" spans="1:8" x14ac:dyDescent="0.2">
      <c r="A68" t="str">
        <f>'Unformatted Trip Summary'!A66</f>
        <v>01 NORTHLAND</v>
      </c>
      <c r="B68" t="str">
        <f>'Unformatted Trip Summary'!J66</f>
        <v>2017/18</v>
      </c>
      <c r="C68" t="str">
        <f>'Unformatted Trip Summary'!I66</f>
        <v>Air/Non-Local PT</v>
      </c>
      <c r="D68">
        <f>'Unformatted Trip Summary'!D66</f>
        <v>5</v>
      </c>
      <c r="E68">
        <f>'Unformatted Trip Summary'!E66</f>
        <v>8</v>
      </c>
      <c r="F68" s="1">
        <f>'Unformatted Trip Summary'!F66</f>
        <v>0.24256647519999999</v>
      </c>
      <c r="G68" s="1">
        <f>'Unformatted Trip Summary'!G66</f>
        <v>0</v>
      </c>
      <c r="H68" s="1">
        <f>'Unformatted Trip Summary'!H66</f>
        <v>0.28677772769999998</v>
      </c>
    </row>
    <row r="69" spans="1:8" x14ac:dyDescent="0.2">
      <c r="A69" t="str">
        <f>'Unformatted Trip Summary'!A67</f>
        <v>01 NORTHLAND</v>
      </c>
      <c r="B69" t="str">
        <f>'Unformatted Trip Summary'!J67</f>
        <v>2022/23</v>
      </c>
      <c r="C69" t="str">
        <f>'Unformatted Trip Summary'!I67</f>
        <v>Air/Non-Local PT</v>
      </c>
      <c r="D69">
        <f>'Unformatted Trip Summary'!D67</f>
        <v>5</v>
      </c>
      <c r="E69">
        <f>'Unformatted Trip Summary'!E67</f>
        <v>8</v>
      </c>
      <c r="F69" s="1">
        <f>'Unformatted Trip Summary'!F67</f>
        <v>0.26222735149999998</v>
      </c>
      <c r="G69" s="1">
        <f>'Unformatted Trip Summary'!G67</f>
        <v>0</v>
      </c>
      <c r="H69" s="1">
        <f>'Unformatted Trip Summary'!H67</f>
        <v>0.3143623693</v>
      </c>
    </row>
    <row r="70" spans="1:8" x14ac:dyDescent="0.2">
      <c r="A70" t="str">
        <f>'Unformatted Trip Summary'!A68</f>
        <v>01 NORTHLAND</v>
      </c>
      <c r="B70" t="str">
        <f>'Unformatted Trip Summary'!J68</f>
        <v>2027/28</v>
      </c>
      <c r="C70" t="str">
        <f>'Unformatted Trip Summary'!I68</f>
        <v>Air/Non-Local PT</v>
      </c>
      <c r="D70">
        <f>'Unformatted Trip Summary'!D68</f>
        <v>5</v>
      </c>
      <c r="E70">
        <f>'Unformatted Trip Summary'!E68</f>
        <v>8</v>
      </c>
      <c r="F70" s="1">
        <f>'Unformatted Trip Summary'!F68</f>
        <v>0.29131257760000001</v>
      </c>
      <c r="G70" s="1">
        <f>'Unformatted Trip Summary'!G68</f>
        <v>0</v>
      </c>
      <c r="H70" s="1">
        <f>'Unformatted Trip Summary'!H68</f>
        <v>0.34930525169999999</v>
      </c>
    </row>
    <row r="71" spans="1:8" x14ac:dyDescent="0.2">
      <c r="A71" t="str">
        <f>'Unformatted Trip Summary'!A69</f>
        <v>01 NORTHLAND</v>
      </c>
      <c r="B71" t="str">
        <f>'Unformatted Trip Summary'!J69</f>
        <v>2032/33</v>
      </c>
      <c r="C71" t="str">
        <f>'Unformatted Trip Summary'!I69</f>
        <v>Air/Non-Local PT</v>
      </c>
      <c r="D71">
        <f>'Unformatted Trip Summary'!D69</f>
        <v>5</v>
      </c>
      <c r="E71">
        <f>'Unformatted Trip Summary'!E69</f>
        <v>8</v>
      </c>
      <c r="F71" s="1">
        <f>'Unformatted Trip Summary'!F69</f>
        <v>0.30212612329999999</v>
      </c>
      <c r="G71" s="1">
        <f>'Unformatted Trip Summary'!G69</f>
        <v>0</v>
      </c>
      <c r="H71" s="1">
        <f>'Unformatted Trip Summary'!H69</f>
        <v>0.36122468200000002</v>
      </c>
    </row>
    <row r="72" spans="1:8" x14ac:dyDescent="0.2">
      <c r="A72" t="str">
        <f>'Unformatted Trip Summary'!A70</f>
        <v>01 NORTHLAND</v>
      </c>
      <c r="B72" t="str">
        <f>'Unformatted Trip Summary'!J70</f>
        <v>2037/38</v>
      </c>
      <c r="C72" t="str">
        <f>'Unformatted Trip Summary'!I70</f>
        <v>Air/Non-Local PT</v>
      </c>
      <c r="D72">
        <f>'Unformatted Trip Summary'!D70</f>
        <v>5</v>
      </c>
      <c r="E72">
        <f>'Unformatted Trip Summary'!E70</f>
        <v>8</v>
      </c>
      <c r="F72" s="1">
        <f>'Unformatted Trip Summary'!F70</f>
        <v>0.28850256410000003</v>
      </c>
      <c r="G72" s="1">
        <f>'Unformatted Trip Summary'!G70</f>
        <v>0</v>
      </c>
      <c r="H72" s="1">
        <f>'Unformatted Trip Summary'!H70</f>
        <v>0.34584967909999997</v>
      </c>
    </row>
    <row r="73" spans="1:8" x14ac:dyDescent="0.2">
      <c r="A73" t="str">
        <f>'Unformatted Trip Summary'!A71</f>
        <v>01 NORTHLAND</v>
      </c>
      <c r="B73" t="str">
        <f>'Unformatted Trip Summary'!J71</f>
        <v>2042/43</v>
      </c>
      <c r="C73" t="str">
        <f>'Unformatted Trip Summary'!I71</f>
        <v>Air/Non-Local PT</v>
      </c>
      <c r="D73">
        <f>'Unformatted Trip Summary'!D71</f>
        <v>5</v>
      </c>
      <c r="E73">
        <f>'Unformatted Trip Summary'!E71</f>
        <v>8</v>
      </c>
      <c r="F73" s="1">
        <f>'Unformatted Trip Summary'!F71</f>
        <v>0.2726743351</v>
      </c>
      <c r="G73" s="1">
        <f>'Unformatted Trip Summary'!G71</f>
        <v>0</v>
      </c>
      <c r="H73" s="1">
        <f>'Unformatted Trip Summary'!H71</f>
        <v>0.32762397430000001</v>
      </c>
    </row>
    <row r="74" spans="1:8" x14ac:dyDescent="0.2">
      <c r="A74" t="str">
        <f>'Unformatted Trip Summary'!A72</f>
        <v>01 NORTHLAND</v>
      </c>
      <c r="B74" t="str">
        <f>'Unformatted Trip Summary'!J72</f>
        <v>2012/13</v>
      </c>
      <c r="C74" t="str">
        <f>'Unformatted Trip Summary'!I72</f>
        <v>Non-Household Travel</v>
      </c>
      <c r="D74">
        <f>'Unformatted Trip Summary'!D72</f>
        <v>13</v>
      </c>
      <c r="E74">
        <f>'Unformatted Trip Summary'!E72</f>
        <v>59</v>
      </c>
      <c r="F74" s="1">
        <f>'Unformatted Trip Summary'!F72</f>
        <v>2.0613233212000002</v>
      </c>
      <c r="G74" s="1">
        <f>'Unformatted Trip Summary'!G72</f>
        <v>34.810730239000002</v>
      </c>
      <c r="H74" s="1">
        <f>'Unformatted Trip Summary'!H72</f>
        <v>0.70164482120000005</v>
      </c>
    </row>
    <row r="75" spans="1:8" x14ac:dyDescent="0.2">
      <c r="A75" t="str">
        <f>'Unformatted Trip Summary'!A73</f>
        <v>01 NORTHLAND</v>
      </c>
      <c r="B75" t="str">
        <f>'Unformatted Trip Summary'!J73</f>
        <v>2017/18</v>
      </c>
      <c r="C75" t="str">
        <f>'Unformatted Trip Summary'!I73</f>
        <v>Non-Household Travel</v>
      </c>
      <c r="D75">
        <f>'Unformatted Trip Summary'!D73</f>
        <v>13</v>
      </c>
      <c r="E75">
        <f>'Unformatted Trip Summary'!E73</f>
        <v>59</v>
      </c>
      <c r="F75" s="1">
        <f>'Unformatted Trip Summary'!F73</f>
        <v>2.0637641513</v>
      </c>
      <c r="G75" s="1">
        <f>'Unformatted Trip Summary'!G73</f>
        <v>32.823063337000001</v>
      </c>
      <c r="H75" s="1">
        <f>'Unformatted Trip Summary'!H73</f>
        <v>0.68187938199999998</v>
      </c>
    </row>
    <row r="76" spans="1:8" x14ac:dyDescent="0.2">
      <c r="A76" t="str">
        <f>'Unformatted Trip Summary'!A74</f>
        <v>01 NORTHLAND</v>
      </c>
      <c r="B76" t="str">
        <f>'Unformatted Trip Summary'!J74</f>
        <v>2022/23</v>
      </c>
      <c r="C76" t="str">
        <f>'Unformatted Trip Summary'!I74</f>
        <v>Non-Household Travel</v>
      </c>
      <c r="D76">
        <f>'Unformatted Trip Summary'!D74</f>
        <v>13</v>
      </c>
      <c r="E76">
        <f>'Unformatted Trip Summary'!E74</f>
        <v>59</v>
      </c>
      <c r="F76" s="1">
        <f>'Unformatted Trip Summary'!F74</f>
        <v>2.1570903528000001</v>
      </c>
      <c r="G76" s="1">
        <f>'Unformatted Trip Summary'!G74</f>
        <v>32.904629638999999</v>
      </c>
      <c r="H76" s="1">
        <f>'Unformatted Trip Summary'!H74</f>
        <v>0.70214047000000002</v>
      </c>
    </row>
    <row r="77" spans="1:8" x14ac:dyDescent="0.2">
      <c r="A77" t="str">
        <f>'Unformatted Trip Summary'!A75</f>
        <v>01 NORTHLAND</v>
      </c>
      <c r="B77" t="str">
        <f>'Unformatted Trip Summary'!J75</f>
        <v>2027/28</v>
      </c>
      <c r="C77" t="str">
        <f>'Unformatted Trip Summary'!I75</f>
        <v>Non-Household Travel</v>
      </c>
      <c r="D77">
        <f>'Unformatted Trip Summary'!D75</f>
        <v>13</v>
      </c>
      <c r="E77">
        <f>'Unformatted Trip Summary'!E75</f>
        <v>59</v>
      </c>
      <c r="F77" s="1">
        <f>'Unformatted Trip Summary'!F75</f>
        <v>2.3494826745999999</v>
      </c>
      <c r="G77" s="1">
        <f>'Unformatted Trip Summary'!G75</f>
        <v>34.497698855000003</v>
      </c>
      <c r="H77" s="1">
        <f>'Unformatted Trip Summary'!H75</f>
        <v>0.75615397220000002</v>
      </c>
    </row>
    <row r="78" spans="1:8" x14ac:dyDescent="0.2">
      <c r="A78" t="str">
        <f>'Unformatted Trip Summary'!A76</f>
        <v>01 NORTHLAND</v>
      </c>
      <c r="B78" t="str">
        <f>'Unformatted Trip Summary'!J76</f>
        <v>2032/33</v>
      </c>
      <c r="C78" t="str">
        <f>'Unformatted Trip Summary'!I76</f>
        <v>Non-Household Travel</v>
      </c>
      <c r="D78">
        <f>'Unformatted Trip Summary'!D76</f>
        <v>13</v>
      </c>
      <c r="E78">
        <f>'Unformatted Trip Summary'!E76</f>
        <v>59</v>
      </c>
      <c r="F78" s="1">
        <f>'Unformatted Trip Summary'!F76</f>
        <v>2.4860192920999999</v>
      </c>
      <c r="G78" s="1">
        <f>'Unformatted Trip Summary'!G76</f>
        <v>35.124580449</v>
      </c>
      <c r="H78" s="1">
        <f>'Unformatted Trip Summary'!H76</f>
        <v>0.78828886610000004</v>
      </c>
    </row>
    <row r="79" spans="1:8" x14ac:dyDescent="0.2">
      <c r="A79" t="str">
        <f>'Unformatted Trip Summary'!A77</f>
        <v>01 NORTHLAND</v>
      </c>
      <c r="B79" t="str">
        <f>'Unformatted Trip Summary'!J77</f>
        <v>2037/38</v>
      </c>
      <c r="C79" t="str">
        <f>'Unformatted Trip Summary'!I77</f>
        <v>Non-Household Travel</v>
      </c>
      <c r="D79">
        <f>'Unformatted Trip Summary'!D77</f>
        <v>13</v>
      </c>
      <c r="E79">
        <f>'Unformatted Trip Summary'!E77</f>
        <v>59</v>
      </c>
      <c r="F79" s="1">
        <f>'Unformatted Trip Summary'!F77</f>
        <v>2.4233960751999999</v>
      </c>
      <c r="G79" s="1">
        <f>'Unformatted Trip Summary'!G77</f>
        <v>33.233936022000002</v>
      </c>
      <c r="H79" s="1">
        <f>'Unformatted Trip Summary'!H77</f>
        <v>0.75747352059999995</v>
      </c>
    </row>
    <row r="80" spans="1:8" x14ac:dyDescent="0.2">
      <c r="A80" t="str">
        <f>'Unformatted Trip Summary'!A78</f>
        <v>01 NORTHLAND</v>
      </c>
      <c r="B80" t="str">
        <f>'Unformatted Trip Summary'!J78</f>
        <v>2042/43</v>
      </c>
      <c r="C80" t="str">
        <f>'Unformatted Trip Summary'!I78</f>
        <v>Non-Household Travel</v>
      </c>
      <c r="D80">
        <f>'Unformatted Trip Summary'!D78</f>
        <v>13</v>
      </c>
      <c r="E80">
        <f>'Unformatted Trip Summary'!E78</f>
        <v>59</v>
      </c>
      <c r="F80" s="1">
        <f>'Unformatted Trip Summary'!F78</f>
        <v>2.3480815383000002</v>
      </c>
      <c r="G80" s="1">
        <f>'Unformatted Trip Summary'!G78</f>
        <v>31.259856655</v>
      </c>
      <c r="H80" s="1">
        <f>'Unformatted Trip Summary'!H78</f>
        <v>0.72351126649999997</v>
      </c>
    </row>
    <row r="81" spans="1:8" x14ac:dyDescent="0.2">
      <c r="A81" t="str">
        <f>'Unformatted Trip Summary'!A79</f>
        <v>02 AUCKLAND</v>
      </c>
      <c r="B81" t="str">
        <f>'Unformatted Trip Summary'!J79</f>
        <v>2012/13</v>
      </c>
      <c r="C81" t="str">
        <f>'Unformatted Trip Summary'!I79</f>
        <v>Pedestrian</v>
      </c>
      <c r="D81">
        <f>'Unformatted Trip Summary'!D79</f>
        <v>1541</v>
      </c>
      <c r="E81">
        <f>'Unformatted Trip Summary'!E79</f>
        <v>5702</v>
      </c>
      <c r="F81" s="1">
        <f>'Unformatted Trip Summary'!F79</f>
        <v>324.81096006000001</v>
      </c>
      <c r="G81" s="1">
        <f>'Unformatted Trip Summary'!G79</f>
        <v>294.55939388000002</v>
      </c>
      <c r="H81" s="1">
        <f>'Unformatted Trip Summary'!H79</f>
        <v>73.381071999</v>
      </c>
    </row>
    <row r="82" spans="1:8" x14ac:dyDescent="0.2">
      <c r="A82" t="str">
        <f>'Unformatted Trip Summary'!A80</f>
        <v>02 AUCKLAND</v>
      </c>
      <c r="B82" t="str">
        <f>'Unformatted Trip Summary'!J80</f>
        <v>2017/18</v>
      </c>
      <c r="C82" t="str">
        <f>'Unformatted Trip Summary'!I80</f>
        <v>Pedestrian</v>
      </c>
      <c r="D82">
        <f>'Unformatted Trip Summary'!D80</f>
        <v>1541</v>
      </c>
      <c r="E82">
        <f>'Unformatted Trip Summary'!E80</f>
        <v>5702</v>
      </c>
      <c r="F82" s="1">
        <f>'Unformatted Trip Summary'!F80</f>
        <v>358.42497777</v>
      </c>
      <c r="G82" s="1">
        <f>'Unformatted Trip Summary'!G80</f>
        <v>324.23749728000001</v>
      </c>
      <c r="H82" s="1">
        <f>'Unformatted Trip Summary'!H80</f>
        <v>80.726239504999995</v>
      </c>
    </row>
    <row r="83" spans="1:8" x14ac:dyDescent="0.2">
      <c r="A83" t="str">
        <f>'Unformatted Trip Summary'!A81</f>
        <v>02 AUCKLAND</v>
      </c>
      <c r="B83" t="str">
        <f>'Unformatted Trip Summary'!J81</f>
        <v>2022/23</v>
      </c>
      <c r="C83" t="str">
        <f>'Unformatted Trip Summary'!I81</f>
        <v>Pedestrian</v>
      </c>
      <c r="D83">
        <f>'Unformatted Trip Summary'!D81</f>
        <v>1541</v>
      </c>
      <c r="E83">
        <f>'Unformatted Trip Summary'!E81</f>
        <v>5702</v>
      </c>
      <c r="F83" s="1">
        <f>'Unformatted Trip Summary'!F81</f>
        <v>383.53305699999999</v>
      </c>
      <c r="G83" s="1">
        <f>'Unformatted Trip Summary'!G81</f>
        <v>345.21377604000003</v>
      </c>
      <c r="H83" s="1">
        <f>'Unformatted Trip Summary'!H81</f>
        <v>86.126645803000002</v>
      </c>
    </row>
    <row r="84" spans="1:8" x14ac:dyDescent="0.2">
      <c r="A84" t="str">
        <f>'Unformatted Trip Summary'!A82</f>
        <v>02 AUCKLAND</v>
      </c>
      <c r="B84" t="str">
        <f>'Unformatted Trip Summary'!J82</f>
        <v>2027/28</v>
      </c>
      <c r="C84" t="str">
        <f>'Unformatted Trip Summary'!I82</f>
        <v>Pedestrian</v>
      </c>
      <c r="D84">
        <f>'Unformatted Trip Summary'!D82</f>
        <v>1541</v>
      </c>
      <c r="E84">
        <f>'Unformatted Trip Summary'!E82</f>
        <v>5702</v>
      </c>
      <c r="F84" s="1">
        <f>'Unformatted Trip Summary'!F82</f>
        <v>407.54572961000002</v>
      </c>
      <c r="G84" s="1">
        <f>'Unformatted Trip Summary'!G82</f>
        <v>364.10146356000001</v>
      </c>
      <c r="H84" s="1">
        <f>'Unformatted Trip Summary'!H82</f>
        <v>91.176255721000004</v>
      </c>
    </row>
    <row r="85" spans="1:8" x14ac:dyDescent="0.2">
      <c r="A85" t="str">
        <f>'Unformatted Trip Summary'!A83</f>
        <v>02 AUCKLAND</v>
      </c>
      <c r="B85" t="str">
        <f>'Unformatted Trip Summary'!J83</f>
        <v>2032/33</v>
      </c>
      <c r="C85" t="str">
        <f>'Unformatted Trip Summary'!I83</f>
        <v>Pedestrian</v>
      </c>
      <c r="D85">
        <f>'Unformatted Trip Summary'!D83</f>
        <v>1541</v>
      </c>
      <c r="E85">
        <f>'Unformatted Trip Summary'!E83</f>
        <v>5702</v>
      </c>
      <c r="F85" s="1">
        <f>'Unformatted Trip Summary'!F83</f>
        <v>429.05263172999997</v>
      </c>
      <c r="G85" s="1">
        <f>'Unformatted Trip Summary'!G83</f>
        <v>380.6570595</v>
      </c>
      <c r="H85" s="1">
        <f>'Unformatted Trip Summary'!H83</f>
        <v>95.631265416999994</v>
      </c>
    </row>
    <row r="86" spans="1:8" x14ac:dyDescent="0.2">
      <c r="A86" t="str">
        <f>'Unformatted Trip Summary'!A84</f>
        <v>02 AUCKLAND</v>
      </c>
      <c r="B86" t="str">
        <f>'Unformatted Trip Summary'!J84</f>
        <v>2037/38</v>
      </c>
      <c r="C86" t="str">
        <f>'Unformatted Trip Summary'!I84</f>
        <v>Pedestrian</v>
      </c>
      <c r="D86">
        <f>'Unformatted Trip Summary'!D84</f>
        <v>1541</v>
      </c>
      <c r="E86">
        <f>'Unformatted Trip Summary'!E84</f>
        <v>5702</v>
      </c>
      <c r="F86" s="1">
        <f>'Unformatted Trip Summary'!F84</f>
        <v>449.41072042000002</v>
      </c>
      <c r="G86" s="1">
        <f>'Unformatted Trip Summary'!G84</f>
        <v>397.44956268999999</v>
      </c>
      <c r="H86" s="1">
        <f>'Unformatted Trip Summary'!H84</f>
        <v>100.13169444</v>
      </c>
    </row>
    <row r="87" spans="1:8" x14ac:dyDescent="0.2">
      <c r="A87" t="str">
        <f>'Unformatted Trip Summary'!A85</f>
        <v>02 AUCKLAND</v>
      </c>
      <c r="B87" t="str">
        <f>'Unformatted Trip Summary'!J85</f>
        <v>2042/43</v>
      </c>
      <c r="C87" t="str">
        <f>'Unformatted Trip Summary'!I85</f>
        <v>Pedestrian</v>
      </c>
      <c r="D87">
        <f>'Unformatted Trip Summary'!D85</f>
        <v>1541</v>
      </c>
      <c r="E87">
        <f>'Unformatted Trip Summary'!E85</f>
        <v>5702</v>
      </c>
      <c r="F87" s="1">
        <f>'Unformatted Trip Summary'!F85</f>
        <v>467.14882174000002</v>
      </c>
      <c r="G87" s="1">
        <f>'Unformatted Trip Summary'!G85</f>
        <v>412.01702911000001</v>
      </c>
      <c r="H87" s="1">
        <f>'Unformatted Trip Summary'!H85</f>
        <v>104.01870106</v>
      </c>
    </row>
    <row r="88" spans="1:8" x14ac:dyDescent="0.2">
      <c r="A88" t="str">
        <f>'Unformatted Trip Summary'!A86</f>
        <v>02 AUCKLAND</v>
      </c>
      <c r="B88" t="str">
        <f>'Unformatted Trip Summary'!J86</f>
        <v>2012/13</v>
      </c>
      <c r="C88" t="str">
        <f>'Unformatted Trip Summary'!I86</f>
        <v>Cyclist</v>
      </c>
      <c r="D88">
        <f>'Unformatted Trip Summary'!D86</f>
        <v>49</v>
      </c>
      <c r="E88">
        <f>'Unformatted Trip Summary'!E86</f>
        <v>125</v>
      </c>
      <c r="F88" s="1">
        <f>'Unformatted Trip Summary'!F86</f>
        <v>7.0506319707999996</v>
      </c>
      <c r="G88" s="1">
        <f>'Unformatted Trip Summary'!G86</f>
        <v>55.843008154000003</v>
      </c>
      <c r="H88" s="1">
        <f>'Unformatted Trip Summary'!H86</f>
        <v>4.3659429593999999</v>
      </c>
    </row>
    <row r="89" spans="1:8" x14ac:dyDescent="0.2">
      <c r="A89" t="str">
        <f>'Unformatted Trip Summary'!A87</f>
        <v>02 AUCKLAND</v>
      </c>
      <c r="B89" t="str">
        <f>'Unformatted Trip Summary'!J87</f>
        <v>2017/18</v>
      </c>
      <c r="C89" t="str">
        <f>'Unformatted Trip Summary'!I87</f>
        <v>Cyclist</v>
      </c>
      <c r="D89">
        <f>'Unformatted Trip Summary'!D87</f>
        <v>49</v>
      </c>
      <c r="E89">
        <f>'Unformatted Trip Summary'!E87</f>
        <v>125</v>
      </c>
      <c r="F89" s="1">
        <f>'Unformatted Trip Summary'!F87</f>
        <v>7.8887271396000003</v>
      </c>
      <c r="G89" s="1">
        <f>'Unformatted Trip Summary'!G87</f>
        <v>64.323243355000002</v>
      </c>
      <c r="H89" s="1">
        <f>'Unformatted Trip Summary'!H87</f>
        <v>4.9810407221000004</v>
      </c>
    </row>
    <row r="90" spans="1:8" x14ac:dyDescent="0.2">
      <c r="A90" t="str">
        <f>'Unformatted Trip Summary'!A88</f>
        <v>02 AUCKLAND</v>
      </c>
      <c r="B90" t="str">
        <f>'Unformatted Trip Summary'!J88</f>
        <v>2022/23</v>
      </c>
      <c r="C90" t="str">
        <f>'Unformatted Trip Summary'!I88</f>
        <v>Cyclist</v>
      </c>
      <c r="D90">
        <f>'Unformatted Trip Summary'!D88</f>
        <v>49</v>
      </c>
      <c r="E90">
        <f>'Unformatted Trip Summary'!E88</f>
        <v>125</v>
      </c>
      <c r="F90" s="1">
        <f>'Unformatted Trip Summary'!F88</f>
        <v>8.5543722765000005</v>
      </c>
      <c r="G90" s="1">
        <f>'Unformatted Trip Summary'!G88</f>
        <v>70.485647043</v>
      </c>
      <c r="H90" s="1">
        <f>'Unformatted Trip Summary'!H88</f>
        <v>5.4283595900000003</v>
      </c>
    </row>
    <row r="91" spans="1:8" x14ac:dyDescent="0.2">
      <c r="A91" t="str">
        <f>'Unformatted Trip Summary'!A89</f>
        <v>02 AUCKLAND</v>
      </c>
      <c r="B91" t="str">
        <f>'Unformatted Trip Summary'!J89</f>
        <v>2027/28</v>
      </c>
      <c r="C91" t="str">
        <f>'Unformatted Trip Summary'!I89</f>
        <v>Cyclist</v>
      </c>
      <c r="D91">
        <f>'Unformatted Trip Summary'!D89</f>
        <v>49</v>
      </c>
      <c r="E91">
        <f>'Unformatted Trip Summary'!E89</f>
        <v>125</v>
      </c>
      <c r="F91" s="1">
        <f>'Unformatted Trip Summary'!F89</f>
        <v>9.0987588139</v>
      </c>
      <c r="G91" s="1">
        <f>'Unformatted Trip Summary'!G89</f>
        <v>74.996569476000005</v>
      </c>
      <c r="H91" s="1">
        <f>'Unformatted Trip Summary'!H89</f>
        <v>5.7480668307</v>
      </c>
    </row>
    <row r="92" spans="1:8" x14ac:dyDescent="0.2">
      <c r="A92" t="str">
        <f>'Unformatted Trip Summary'!A90</f>
        <v>02 AUCKLAND</v>
      </c>
      <c r="B92" t="str">
        <f>'Unformatted Trip Summary'!J90</f>
        <v>2032/33</v>
      </c>
      <c r="C92" t="str">
        <f>'Unformatted Trip Summary'!I90</f>
        <v>Cyclist</v>
      </c>
      <c r="D92">
        <f>'Unformatted Trip Summary'!D90</f>
        <v>49</v>
      </c>
      <c r="E92">
        <f>'Unformatted Trip Summary'!E90</f>
        <v>125</v>
      </c>
      <c r="F92" s="1">
        <f>'Unformatted Trip Summary'!F90</f>
        <v>9.5405365872000001</v>
      </c>
      <c r="G92" s="1">
        <f>'Unformatted Trip Summary'!G90</f>
        <v>80.485757895999996</v>
      </c>
      <c r="H92" s="1">
        <f>'Unformatted Trip Summary'!H90</f>
        <v>6.1186436941000002</v>
      </c>
    </row>
    <row r="93" spans="1:8" x14ac:dyDescent="0.2">
      <c r="A93" t="str">
        <f>'Unformatted Trip Summary'!A91</f>
        <v>02 AUCKLAND</v>
      </c>
      <c r="B93" t="str">
        <f>'Unformatted Trip Summary'!J91</f>
        <v>2037/38</v>
      </c>
      <c r="C93" t="str">
        <f>'Unformatted Trip Summary'!I91</f>
        <v>Cyclist</v>
      </c>
      <c r="D93">
        <f>'Unformatted Trip Summary'!D91</f>
        <v>49</v>
      </c>
      <c r="E93">
        <f>'Unformatted Trip Summary'!E91</f>
        <v>125</v>
      </c>
      <c r="F93" s="1">
        <f>'Unformatted Trip Summary'!F91</f>
        <v>10.205359499</v>
      </c>
      <c r="G93" s="1">
        <f>'Unformatted Trip Summary'!G91</f>
        <v>88.396800992999999</v>
      </c>
      <c r="H93" s="1">
        <f>'Unformatted Trip Summary'!H91</f>
        <v>6.6527695841999996</v>
      </c>
    </row>
    <row r="94" spans="1:8" x14ac:dyDescent="0.2">
      <c r="A94" t="str">
        <f>'Unformatted Trip Summary'!A92</f>
        <v>02 AUCKLAND</v>
      </c>
      <c r="B94" t="str">
        <f>'Unformatted Trip Summary'!J92</f>
        <v>2042/43</v>
      </c>
      <c r="C94" t="str">
        <f>'Unformatted Trip Summary'!I92</f>
        <v>Cyclist</v>
      </c>
      <c r="D94">
        <f>'Unformatted Trip Summary'!D92</f>
        <v>49</v>
      </c>
      <c r="E94">
        <f>'Unformatted Trip Summary'!E92</f>
        <v>125</v>
      </c>
      <c r="F94" s="1">
        <f>'Unformatted Trip Summary'!F92</f>
        <v>10.847880203000001</v>
      </c>
      <c r="G94" s="1">
        <f>'Unformatted Trip Summary'!G92</f>
        <v>96.285089486000004</v>
      </c>
      <c r="H94" s="1">
        <f>'Unformatted Trip Summary'!H92</f>
        <v>7.183244352</v>
      </c>
    </row>
    <row r="95" spans="1:8" x14ac:dyDescent="0.2">
      <c r="A95" t="str">
        <f>'Unformatted Trip Summary'!A93</f>
        <v>02 AUCKLAND</v>
      </c>
      <c r="B95" t="str">
        <f>'Unformatted Trip Summary'!J93</f>
        <v>2012/13</v>
      </c>
      <c r="C95" t="str">
        <f>'Unformatted Trip Summary'!I93</f>
        <v>Light Vehicle Driver</v>
      </c>
      <c r="D95">
        <f>'Unformatted Trip Summary'!D93</f>
        <v>2765</v>
      </c>
      <c r="E95">
        <f>'Unformatted Trip Summary'!E93</f>
        <v>18286</v>
      </c>
      <c r="F95" s="1">
        <f>'Unformatted Trip Summary'!F93</f>
        <v>981.24355252999999</v>
      </c>
      <c r="G95" s="1">
        <f>'Unformatted Trip Summary'!G93</f>
        <v>9374.4733825999992</v>
      </c>
      <c r="H95" s="1">
        <f>'Unformatted Trip Summary'!H93</f>
        <v>295.36669345000001</v>
      </c>
    </row>
    <row r="96" spans="1:8" x14ac:dyDescent="0.2">
      <c r="A96" t="str">
        <f>'Unformatted Trip Summary'!A94</f>
        <v>02 AUCKLAND</v>
      </c>
      <c r="B96" t="str">
        <f>'Unformatted Trip Summary'!J94</f>
        <v>2017/18</v>
      </c>
      <c r="C96" t="str">
        <f>'Unformatted Trip Summary'!I94</f>
        <v>Light Vehicle Driver</v>
      </c>
      <c r="D96">
        <f>'Unformatted Trip Summary'!D94</f>
        <v>2765</v>
      </c>
      <c r="E96">
        <f>'Unformatted Trip Summary'!E94</f>
        <v>18286</v>
      </c>
      <c r="F96" s="1">
        <f>'Unformatted Trip Summary'!F94</f>
        <v>1113.3408606999999</v>
      </c>
      <c r="G96" s="1">
        <f>'Unformatted Trip Summary'!G94</f>
        <v>10682.645270000001</v>
      </c>
      <c r="H96" s="1">
        <f>'Unformatted Trip Summary'!H94</f>
        <v>336.39468921999998</v>
      </c>
    </row>
    <row r="97" spans="1:8" x14ac:dyDescent="0.2">
      <c r="A97" t="str">
        <f>'Unformatted Trip Summary'!A95</f>
        <v>02 AUCKLAND</v>
      </c>
      <c r="B97" t="str">
        <f>'Unformatted Trip Summary'!J95</f>
        <v>2022/23</v>
      </c>
      <c r="C97" t="str">
        <f>'Unformatted Trip Summary'!I95</f>
        <v>Light Vehicle Driver</v>
      </c>
      <c r="D97">
        <f>'Unformatted Trip Summary'!D95</f>
        <v>2765</v>
      </c>
      <c r="E97">
        <f>'Unformatted Trip Summary'!E95</f>
        <v>18286</v>
      </c>
      <c r="F97" s="1">
        <f>'Unformatted Trip Summary'!F95</f>
        <v>1204.6281524000001</v>
      </c>
      <c r="G97" s="1">
        <f>'Unformatted Trip Summary'!G95</f>
        <v>11538.732435</v>
      </c>
      <c r="H97" s="1">
        <f>'Unformatted Trip Summary'!H95</f>
        <v>363.56406843000002</v>
      </c>
    </row>
    <row r="98" spans="1:8" x14ac:dyDescent="0.2">
      <c r="A98" t="str">
        <f>'Unformatted Trip Summary'!A96</f>
        <v>02 AUCKLAND</v>
      </c>
      <c r="B98" t="str">
        <f>'Unformatted Trip Summary'!J96</f>
        <v>2027/28</v>
      </c>
      <c r="C98" t="str">
        <f>'Unformatted Trip Summary'!I96</f>
        <v>Light Vehicle Driver</v>
      </c>
      <c r="D98">
        <f>'Unformatted Trip Summary'!D96</f>
        <v>2765</v>
      </c>
      <c r="E98">
        <f>'Unformatted Trip Summary'!E96</f>
        <v>18286</v>
      </c>
      <c r="F98" s="1">
        <f>'Unformatted Trip Summary'!F96</f>
        <v>1277.3423567</v>
      </c>
      <c r="G98" s="1">
        <f>'Unformatted Trip Summary'!G96</f>
        <v>12208.241561999999</v>
      </c>
      <c r="H98" s="1">
        <f>'Unformatted Trip Summary'!H96</f>
        <v>384.54108409999998</v>
      </c>
    </row>
    <row r="99" spans="1:8" x14ac:dyDescent="0.2">
      <c r="A99" t="str">
        <f>'Unformatted Trip Summary'!A97</f>
        <v>02 AUCKLAND</v>
      </c>
      <c r="B99" t="str">
        <f>'Unformatted Trip Summary'!J97</f>
        <v>2032/33</v>
      </c>
      <c r="C99" t="str">
        <f>'Unformatted Trip Summary'!I97</f>
        <v>Light Vehicle Driver</v>
      </c>
      <c r="D99">
        <f>'Unformatted Trip Summary'!D97</f>
        <v>2765</v>
      </c>
      <c r="E99">
        <f>'Unformatted Trip Summary'!E97</f>
        <v>18286</v>
      </c>
      <c r="F99" s="1">
        <f>'Unformatted Trip Summary'!F97</f>
        <v>1352.4343154999999</v>
      </c>
      <c r="G99" s="1">
        <f>'Unformatted Trip Summary'!G97</f>
        <v>12910.834150999999</v>
      </c>
      <c r="H99" s="1">
        <f>'Unformatted Trip Summary'!H97</f>
        <v>406.73776893000002</v>
      </c>
    </row>
    <row r="100" spans="1:8" x14ac:dyDescent="0.2">
      <c r="A100" t="str">
        <f>'Unformatted Trip Summary'!A98</f>
        <v>02 AUCKLAND</v>
      </c>
      <c r="B100" t="str">
        <f>'Unformatted Trip Summary'!J98</f>
        <v>2037/38</v>
      </c>
      <c r="C100" t="str">
        <f>'Unformatted Trip Summary'!I98</f>
        <v>Light Vehicle Driver</v>
      </c>
      <c r="D100">
        <f>'Unformatted Trip Summary'!D98</f>
        <v>2765</v>
      </c>
      <c r="E100">
        <f>'Unformatted Trip Summary'!E98</f>
        <v>18286</v>
      </c>
      <c r="F100" s="1">
        <f>'Unformatted Trip Summary'!F98</f>
        <v>1422.0853603</v>
      </c>
      <c r="G100" s="1">
        <f>'Unformatted Trip Summary'!G98</f>
        <v>13547.176586</v>
      </c>
      <c r="H100" s="1">
        <f>'Unformatted Trip Summary'!H98</f>
        <v>427.575467</v>
      </c>
    </row>
    <row r="101" spans="1:8" x14ac:dyDescent="0.2">
      <c r="A101" t="str">
        <f>'Unformatted Trip Summary'!A99</f>
        <v>02 AUCKLAND</v>
      </c>
      <c r="B101" t="str">
        <f>'Unformatted Trip Summary'!J99</f>
        <v>2042/43</v>
      </c>
      <c r="C101" t="str">
        <f>'Unformatted Trip Summary'!I99</f>
        <v>Light Vehicle Driver</v>
      </c>
      <c r="D101">
        <f>'Unformatted Trip Summary'!D99</f>
        <v>2765</v>
      </c>
      <c r="E101">
        <f>'Unformatted Trip Summary'!E99</f>
        <v>18286</v>
      </c>
      <c r="F101" s="1">
        <f>'Unformatted Trip Summary'!F99</f>
        <v>1484.9577385</v>
      </c>
      <c r="G101" s="1">
        <f>'Unformatted Trip Summary'!G99</f>
        <v>14130.788447999999</v>
      </c>
      <c r="H101" s="1">
        <f>'Unformatted Trip Summary'!H99</f>
        <v>446.65725065999999</v>
      </c>
    </row>
    <row r="102" spans="1:8" x14ac:dyDescent="0.2">
      <c r="A102" t="str">
        <f>'Unformatted Trip Summary'!A100</f>
        <v>02 AUCKLAND</v>
      </c>
      <c r="B102" t="str">
        <f>'Unformatted Trip Summary'!J100</f>
        <v>2012/13</v>
      </c>
      <c r="C102" t="str">
        <f>'Unformatted Trip Summary'!I100</f>
        <v>Light Vehicle Passenger</v>
      </c>
      <c r="D102">
        <f>'Unformatted Trip Summary'!D100</f>
        <v>2092</v>
      </c>
      <c r="E102">
        <f>'Unformatted Trip Summary'!E100</f>
        <v>9587</v>
      </c>
      <c r="F102" s="1">
        <f>'Unformatted Trip Summary'!F100</f>
        <v>488.06073574999999</v>
      </c>
      <c r="G102" s="1">
        <f>'Unformatted Trip Summary'!G100</f>
        <v>4814.6436660999998</v>
      </c>
      <c r="H102" s="1">
        <f>'Unformatted Trip Summary'!H100</f>
        <v>145.42645436999999</v>
      </c>
    </row>
    <row r="103" spans="1:8" x14ac:dyDescent="0.2">
      <c r="A103" t="str">
        <f>'Unformatted Trip Summary'!A101</f>
        <v>02 AUCKLAND</v>
      </c>
      <c r="B103" t="str">
        <f>'Unformatted Trip Summary'!J101</f>
        <v>2017/18</v>
      </c>
      <c r="C103" t="str">
        <f>'Unformatted Trip Summary'!I101</f>
        <v>Light Vehicle Passenger</v>
      </c>
      <c r="D103">
        <f>'Unformatted Trip Summary'!D101</f>
        <v>2092</v>
      </c>
      <c r="E103">
        <f>'Unformatted Trip Summary'!E101</f>
        <v>9587</v>
      </c>
      <c r="F103" s="1">
        <f>'Unformatted Trip Summary'!F101</f>
        <v>529.50577677000001</v>
      </c>
      <c r="G103" s="1">
        <f>'Unformatted Trip Summary'!G101</f>
        <v>5299.5171631000003</v>
      </c>
      <c r="H103" s="1">
        <f>'Unformatted Trip Summary'!H101</f>
        <v>158.95245370999999</v>
      </c>
    </row>
    <row r="104" spans="1:8" x14ac:dyDescent="0.2">
      <c r="A104" t="str">
        <f>'Unformatted Trip Summary'!A102</f>
        <v>02 AUCKLAND</v>
      </c>
      <c r="B104" t="str">
        <f>'Unformatted Trip Summary'!J102</f>
        <v>2022/23</v>
      </c>
      <c r="C104" t="str">
        <f>'Unformatted Trip Summary'!I102</f>
        <v>Light Vehicle Passenger</v>
      </c>
      <c r="D104">
        <f>'Unformatted Trip Summary'!D102</f>
        <v>2092</v>
      </c>
      <c r="E104">
        <f>'Unformatted Trip Summary'!E102</f>
        <v>9587</v>
      </c>
      <c r="F104" s="1">
        <f>'Unformatted Trip Summary'!F102</f>
        <v>562.85545287000002</v>
      </c>
      <c r="G104" s="1">
        <f>'Unformatted Trip Summary'!G102</f>
        <v>5674.9907599999997</v>
      </c>
      <c r="H104" s="1">
        <f>'Unformatted Trip Summary'!H102</f>
        <v>169.27055988000001</v>
      </c>
    </row>
    <row r="105" spans="1:8" x14ac:dyDescent="0.2">
      <c r="A105" t="str">
        <f>'Unformatted Trip Summary'!A103</f>
        <v>02 AUCKLAND</v>
      </c>
      <c r="B105" t="str">
        <f>'Unformatted Trip Summary'!J103</f>
        <v>2027/28</v>
      </c>
      <c r="C105" t="str">
        <f>'Unformatted Trip Summary'!I103</f>
        <v>Light Vehicle Passenger</v>
      </c>
      <c r="D105">
        <f>'Unformatted Trip Summary'!D103</f>
        <v>2092</v>
      </c>
      <c r="E105">
        <f>'Unformatted Trip Summary'!E103</f>
        <v>9587</v>
      </c>
      <c r="F105" s="1">
        <f>'Unformatted Trip Summary'!F103</f>
        <v>593.70059818000004</v>
      </c>
      <c r="G105" s="1">
        <f>'Unformatted Trip Summary'!G103</f>
        <v>6019.8205324999999</v>
      </c>
      <c r="H105" s="1">
        <f>'Unformatted Trip Summary'!H103</f>
        <v>178.67030728</v>
      </c>
    </row>
    <row r="106" spans="1:8" x14ac:dyDescent="0.2">
      <c r="A106" t="str">
        <f>'Unformatted Trip Summary'!A104</f>
        <v>02 AUCKLAND</v>
      </c>
      <c r="B106" t="str">
        <f>'Unformatted Trip Summary'!J104</f>
        <v>2032/33</v>
      </c>
      <c r="C106" t="str">
        <f>'Unformatted Trip Summary'!I104</f>
        <v>Light Vehicle Passenger</v>
      </c>
      <c r="D106">
        <f>'Unformatted Trip Summary'!D104</f>
        <v>2092</v>
      </c>
      <c r="E106">
        <f>'Unformatted Trip Summary'!E104</f>
        <v>9587</v>
      </c>
      <c r="F106" s="1">
        <f>'Unformatted Trip Summary'!F104</f>
        <v>623.08895070000005</v>
      </c>
      <c r="G106" s="1">
        <f>'Unformatted Trip Summary'!G104</f>
        <v>6327.6412596</v>
      </c>
      <c r="H106" s="1">
        <f>'Unformatted Trip Summary'!H104</f>
        <v>187.32165502000001</v>
      </c>
    </row>
    <row r="107" spans="1:8" x14ac:dyDescent="0.2">
      <c r="A107" t="str">
        <f>'Unformatted Trip Summary'!A105</f>
        <v>02 AUCKLAND</v>
      </c>
      <c r="B107" t="str">
        <f>'Unformatted Trip Summary'!J105</f>
        <v>2037/38</v>
      </c>
      <c r="C107" t="str">
        <f>'Unformatted Trip Summary'!I105</f>
        <v>Light Vehicle Passenger</v>
      </c>
      <c r="D107">
        <f>'Unformatted Trip Summary'!D105</f>
        <v>2092</v>
      </c>
      <c r="E107">
        <f>'Unformatted Trip Summary'!E105</f>
        <v>9587</v>
      </c>
      <c r="F107" s="1">
        <f>'Unformatted Trip Summary'!F105</f>
        <v>648.87826954000002</v>
      </c>
      <c r="G107" s="1">
        <f>'Unformatted Trip Summary'!G105</f>
        <v>6621.1981527999997</v>
      </c>
      <c r="H107" s="1">
        <f>'Unformatted Trip Summary'!H105</f>
        <v>195.35485550999999</v>
      </c>
    </row>
    <row r="108" spans="1:8" x14ac:dyDescent="0.2">
      <c r="A108" t="str">
        <f>'Unformatted Trip Summary'!A106</f>
        <v>02 AUCKLAND</v>
      </c>
      <c r="B108" t="str">
        <f>'Unformatted Trip Summary'!J106</f>
        <v>2042/43</v>
      </c>
      <c r="C108" t="str">
        <f>'Unformatted Trip Summary'!I106</f>
        <v>Light Vehicle Passenger</v>
      </c>
      <c r="D108">
        <f>'Unformatted Trip Summary'!D106</f>
        <v>2092</v>
      </c>
      <c r="E108">
        <f>'Unformatted Trip Summary'!E106</f>
        <v>9587</v>
      </c>
      <c r="F108" s="1">
        <f>'Unformatted Trip Summary'!F106</f>
        <v>670.07934587</v>
      </c>
      <c r="G108" s="1">
        <f>'Unformatted Trip Summary'!G106</f>
        <v>6875.3898245</v>
      </c>
      <c r="H108" s="1">
        <f>'Unformatted Trip Summary'!H106</f>
        <v>202.14382459000001</v>
      </c>
    </row>
    <row r="109" spans="1:8" x14ac:dyDescent="0.2">
      <c r="A109" t="str">
        <f>'Unformatted Trip Summary'!A107</f>
        <v>02 AUCKLAND</v>
      </c>
      <c r="B109" t="str">
        <f>'Unformatted Trip Summary'!J107</f>
        <v>2012/13</v>
      </c>
      <c r="C109" t="str">
        <f>'Unformatted Trip Summary'!I107</f>
        <v>Taxi/Vehicle Share</v>
      </c>
      <c r="D109">
        <f>'Unformatted Trip Summary'!D107</f>
        <v>54</v>
      </c>
      <c r="E109">
        <f>'Unformatted Trip Summary'!E107</f>
        <v>94</v>
      </c>
      <c r="F109" s="1">
        <f>'Unformatted Trip Summary'!F107</f>
        <v>6.0232688673999997</v>
      </c>
      <c r="G109" s="1">
        <f>'Unformatted Trip Summary'!G107</f>
        <v>41.157157814999998</v>
      </c>
      <c r="H109" s="1">
        <f>'Unformatted Trip Summary'!H107</f>
        <v>1.9131795197999999</v>
      </c>
    </row>
    <row r="110" spans="1:8" x14ac:dyDescent="0.2">
      <c r="A110" t="str">
        <f>'Unformatted Trip Summary'!A108</f>
        <v>02 AUCKLAND</v>
      </c>
      <c r="B110" t="str">
        <f>'Unformatted Trip Summary'!J108</f>
        <v>2017/18</v>
      </c>
      <c r="C110" t="str">
        <f>'Unformatted Trip Summary'!I108</f>
        <v>Taxi/Vehicle Share</v>
      </c>
      <c r="D110">
        <f>'Unformatted Trip Summary'!D108</f>
        <v>54</v>
      </c>
      <c r="E110">
        <f>'Unformatted Trip Summary'!E108</f>
        <v>94</v>
      </c>
      <c r="F110" s="1">
        <f>'Unformatted Trip Summary'!F108</f>
        <v>7.2352833911000003</v>
      </c>
      <c r="G110" s="1">
        <f>'Unformatted Trip Summary'!G108</f>
        <v>50.028657789</v>
      </c>
      <c r="H110" s="1">
        <f>'Unformatted Trip Summary'!H108</f>
        <v>2.2963852653000001</v>
      </c>
    </row>
    <row r="111" spans="1:8" x14ac:dyDescent="0.2">
      <c r="A111" t="str">
        <f>'Unformatted Trip Summary'!A109</f>
        <v>02 AUCKLAND</v>
      </c>
      <c r="B111" t="str">
        <f>'Unformatted Trip Summary'!J109</f>
        <v>2022/23</v>
      </c>
      <c r="C111" t="str">
        <f>'Unformatted Trip Summary'!I109</f>
        <v>Taxi/Vehicle Share</v>
      </c>
      <c r="D111">
        <f>'Unformatted Trip Summary'!D109</f>
        <v>54</v>
      </c>
      <c r="E111">
        <f>'Unformatted Trip Summary'!E109</f>
        <v>94</v>
      </c>
      <c r="F111" s="1">
        <f>'Unformatted Trip Summary'!F109</f>
        <v>8.3698866730999999</v>
      </c>
      <c r="G111" s="1">
        <f>'Unformatted Trip Summary'!G109</f>
        <v>59.218597435</v>
      </c>
      <c r="H111" s="1">
        <f>'Unformatted Trip Summary'!H109</f>
        <v>2.6592429663999999</v>
      </c>
    </row>
    <row r="112" spans="1:8" x14ac:dyDescent="0.2">
      <c r="A112" t="str">
        <f>'Unformatted Trip Summary'!A110</f>
        <v>02 AUCKLAND</v>
      </c>
      <c r="B112" t="str">
        <f>'Unformatted Trip Summary'!J110</f>
        <v>2027/28</v>
      </c>
      <c r="C112" t="str">
        <f>'Unformatted Trip Summary'!I110</f>
        <v>Taxi/Vehicle Share</v>
      </c>
      <c r="D112">
        <f>'Unformatted Trip Summary'!D110</f>
        <v>54</v>
      </c>
      <c r="E112">
        <f>'Unformatted Trip Summary'!E110</f>
        <v>94</v>
      </c>
      <c r="F112" s="1">
        <f>'Unformatted Trip Summary'!F110</f>
        <v>9.5788252895999992</v>
      </c>
      <c r="G112" s="1">
        <f>'Unformatted Trip Summary'!G110</f>
        <v>69.053840624000003</v>
      </c>
      <c r="H112" s="1">
        <f>'Unformatted Trip Summary'!H110</f>
        <v>3.0419055691999999</v>
      </c>
    </row>
    <row r="113" spans="1:8" x14ac:dyDescent="0.2">
      <c r="A113" t="str">
        <f>'Unformatted Trip Summary'!A111</f>
        <v>02 AUCKLAND</v>
      </c>
      <c r="B113" t="str">
        <f>'Unformatted Trip Summary'!J111</f>
        <v>2032/33</v>
      </c>
      <c r="C113" t="str">
        <f>'Unformatted Trip Summary'!I111</f>
        <v>Taxi/Vehicle Share</v>
      </c>
      <c r="D113">
        <f>'Unformatted Trip Summary'!D111</f>
        <v>54</v>
      </c>
      <c r="E113">
        <f>'Unformatted Trip Summary'!E111</f>
        <v>94</v>
      </c>
      <c r="F113" s="1">
        <f>'Unformatted Trip Summary'!F111</f>
        <v>10.759396396</v>
      </c>
      <c r="G113" s="1">
        <f>'Unformatted Trip Summary'!G111</f>
        <v>78.352185917</v>
      </c>
      <c r="H113" s="1">
        <f>'Unformatted Trip Summary'!H111</f>
        <v>3.4157408883000002</v>
      </c>
    </row>
    <row r="114" spans="1:8" x14ac:dyDescent="0.2">
      <c r="A114" t="str">
        <f>'Unformatted Trip Summary'!A112</f>
        <v>02 AUCKLAND</v>
      </c>
      <c r="B114" t="str">
        <f>'Unformatted Trip Summary'!J112</f>
        <v>2037/38</v>
      </c>
      <c r="C114" t="str">
        <f>'Unformatted Trip Summary'!I112</f>
        <v>Taxi/Vehicle Share</v>
      </c>
      <c r="D114">
        <f>'Unformatted Trip Summary'!D112</f>
        <v>54</v>
      </c>
      <c r="E114">
        <f>'Unformatted Trip Summary'!E112</f>
        <v>94</v>
      </c>
      <c r="F114" s="1">
        <f>'Unformatted Trip Summary'!F112</f>
        <v>11.808522829999999</v>
      </c>
      <c r="G114" s="1">
        <f>'Unformatted Trip Summary'!G112</f>
        <v>86.601620698000005</v>
      </c>
      <c r="H114" s="1">
        <f>'Unformatted Trip Summary'!H112</f>
        <v>3.7451322487000001</v>
      </c>
    </row>
    <row r="115" spans="1:8" x14ac:dyDescent="0.2">
      <c r="A115" t="str">
        <f>'Unformatted Trip Summary'!A113</f>
        <v>02 AUCKLAND</v>
      </c>
      <c r="B115" t="str">
        <f>'Unformatted Trip Summary'!J113</f>
        <v>2042/43</v>
      </c>
      <c r="C115" t="str">
        <f>'Unformatted Trip Summary'!I113</f>
        <v>Taxi/Vehicle Share</v>
      </c>
      <c r="D115">
        <f>'Unformatted Trip Summary'!D113</f>
        <v>54</v>
      </c>
      <c r="E115">
        <f>'Unformatted Trip Summary'!E113</f>
        <v>94</v>
      </c>
      <c r="F115" s="1">
        <f>'Unformatted Trip Summary'!F113</f>
        <v>12.865843633000001</v>
      </c>
      <c r="G115" s="1">
        <f>'Unformatted Trip Summary'!G113</f>
        <v>94.965837269000005</v>
      </c>
      <c r="H115" s="1">
        <f>'Unformatted Trip Summary'!H113</f>
        <v>4.075781331</v>
      </c>
    </row>
    <row r="116" spans="1:8" x14ac:dyDescent="0.2">
      <c r="A116" t="str">
        <f>'Unformatted Trip Summary'!A114</f>
        <v>02 AUCKLAND</v>
      </c>
      <c r="B116" t="str">
        <f>'Unformatted Trip Summary'!J114</f>
        <v>2012/13</v>
      </c>
      <c r="C116" t="str">
        <f>'Unformatted Trip Summary'!I114</f>
        <v>Motorcyclist</v>
      </c>
      <c r="D116">
        <f>'Unformatted Trip Summary'!D114</f>
        <v>15</v>
      </c>
      <c r="E116">
        <f>'Unformatted Trip Summary'!E114</f>
        <v>69</v>
      </c>
      <c r="F116" s="1">
        <f>'Unformatted Trip Summary'!F114</f>
        <v>4.1170216905999997</v>
      </c>
      <c r="G116" s="1">
        <f>'Unformatted Trip Summary'!G114</f>
        <v>43.570185572</v>
      </c>
      <c r="H116" s="1">
        <f>'Unformatted Trip Summary'!H114</f>
        <v>1.5334409518000001</v>
      </c>
    </row>
    <row r="117" spans="1:8" x14ac:dyDescent="0.2">
      <c r="A117" t="str">
        <f>'Unformatted Trip Summary'!A115</f>
        <v>02 AUCKLAND</v>
      </c>
      <c r="B117" t="str">
        <f>'Unformatted Trip Summary'!J115</f>
        <v>2017/18</v>
      </c>
      <c r="C117" t="str">
        <f>'Unformatted Trip Summary'!I115</f>
        <v>Motorcyclist</v>
      </c>
      <c r="D117">
        <f>'Unformatted Trip Summary'!D115</f>
        <v>15</v>
      </c>
      <c r="E117">
        <f>'Unformatted Trip Summary'!E115</f>
        <v>69</v>
      </c>
      <c r="F117" s="1">
        <f>'Unformatted Trip Summary'!F115</f>
        <v>4.7313973600999999</v>
      </c>
      <c r="G117" s="1">
        <f>'Unformatted Trip Summary'!G115</f>
        <v>49.945812476</v>
      </c>
      <c r="H117" s="1">
        <f>'Unformatted Trip Summary'!H115</f>
        <v>1.7760237491999999</v>
      </c>
    </row>
    <row r="118" spans="1:8" x14ac:dyDescent="0.2">
      <c r="A118" t="str">
        <f>'Unformatted Trip Summary'!A116</f>
        <v>02 AUCKLAND</v>
      </c>
      <c r="B118" t="str">
        <f>'Unformatted Trip Summary'!J116</f>
        <v>2022/23</v>
      </c>
      <c r="C118" t="str">
        <f>'Unformatted Trip Summary'!I116</f>
        <v>Motorcyclist</v>
      </c>
      <c r="D118">
        <f>'Unformatted Trip Summary'!D116</f>
        <v>15</v>
      </c>
      <c r="E118">
        <f>'Unformatted Trip Summary'!E116</f>
        <v>69</v>
      </c>
      <c r="F118" s="1">
        <f>'Unformatted Trip Summary'!F116</f>
        <v>5.2998143878999997</v>
      </c>
      <c r="G118" s="1">
        <f>'Unformatted Trip Summary'!G116</f>
        <v>54.167794825000001</v>
      </c>
      <c r="H118" s="1">
        <f>'Unformatted Trip Summary'!H116</f>
        <v>1.9620104072</v>
      </c>
    </row>
    <row r="119" spans="1:8" x14ac:dyDescent="0.2">
      <c r="A119" t="str">
        <f>'Unformatted Trip Summary'!A117</f>
        <v>02 AUCKLAND</v>
      </c>
      <c r="B119" t="str">
        <f>'Unformatted Trip Summary'!J117</f>
        <v>2027/28</v>
      </c>
      <c r="C119" t="str">
        <f>'Unformatted Trip Summary'!I117</f>
        <v>Motorcyclist</v>
      </c>
      <c r="D119">
        <f>'Unformatted Trip Summary'!D117</f>
        <v>15</v>
      </c>
      <c r="E119">
        <f>'Unformatted Trip Summary'!E117</f>
        <v>69</v>
      </c>
      <c r="F119" s="1">
        <f>'Unformatted Trip Summary'!F117</f>
        <v>5.9718867377000002</v>
      </c>
      <c r="G119" s="1">
        <f>'Unformatted Trip Summary'!G117</f>
        <v>58.128926276999998</v>
      </c>
      <c r="H119" s="1">
        <f>'Unformatted Trip Summary'!H117</f>
        <v>2.1494213970999998</v>
      </c>
    </row>
    <row r="120" spans="1:8" x14ac:dyDescent="0.2">
      <c r="A120" t="str">
        <f>'Unformatted Trip Summary'!A118</f>
        <v>02 AUCKLAND</v>
      </c>
      <c r="B120" t="str">
        <f>'Unformatted Trip Summary'!J118</f>
        <v>2032/33</v>
      </c>
      <c r="C120" t="str">
        <f>'Unformatted Trip Summary'!I118</f>
        <v>Motorcyclist</v>
      </c>
      <c r="D120">
        <f>'Unformatted Trip Summary'!D118</f>
        <v>15</v>
      </c>
      <c r="E120">
        <f>'Unformatted Trip Summary'!E118</f>
        <v>69</v>
      </c>
      <c r="F120" s="1">
        <f>'Unformatted Trip Summary'!F118</f>
        <v>6.5645294598000001</v>
      </c>
      <c r="G120" s="1">
        <f>'Unformatted Trip Summary'!G118</f>
        <v>62.295299972999999</v>
      </c>
      <c r="H120" s="1">
        <f>'Unformatted Trip Summary'!H118</f>
        <v>2.3386744127000001</v>
      </c>
    </row>
    <row r="121" spans="1:8" x14ac:dyDescent="0.2">
      <c r="A121" t="str">
        <f>'Unformatted Trip Summary'!A119</f>
        <v>02 AUCKLAND</v>
      </c>
      <c r="B121" t="str">
        <f>'Unformatted Trip Summary'!J119</f>
        <v>2037/38</v>
      </c>
      <c r="C121" t="str">
        <f>'Unformatted Trip Summary'!I119</f>
        <v>Motorcyclist</v>
      </c>
      <c r="D121">
        <f>'Unformatted Trip Summary'!D119</f>
        <v>15</v>
      </c>
      <c r="E121">
        <f>'Unformatted Trip Summary'!E119</f>
        <v>69</v>
      </c>
      <c r="F121" s="1">
        <f>'Unformatted Trip Summary'!F119</f>
        <v>6.8239964105000004</v>
      </c>
      <c r="G121" s="1">
        <f>'Unformatted Trip Summary'!G119</f>
        <v>64.702701042000001</v>
      </c>
      <c r="H121" s="1">
        <f>'Unformatted Trip Summary'!H119</f>
        <v>2.4597771864000002</v>
      </c>
    </row>
    <row r="122" spans="1:8" x14ac:dyDescent="0.2">
      <c r="A122" t="str">
        <f>'Unformatted Trip Summary'!A120</f>
        <v>02 AUCKLAND</v>
      </c>
      <c r="B122" t="str">
        <f>'Unformatted Trip Summary'!J120</f>
        <v>2042/43</v>
      </c>
      <c r="C122" t="str">
        <f>'Unformatted Trip Summary'!I120</f>
        <v>Motorcyclist</v>
      </c>
      <c r="D122">
        <f>'Unformatted Trip Summary'!D120</f>
        <v>15</v>
      </c>
      <c r="E122">
        <f>'Unformatted Trip Summary'!E120</f>
        <v>69</v>
      </c>
      <c r="F122" s="1">
        <f>'Unformatted Trip Summary'!F120</f>
        <v>7.0434695846000004</v>
      </c>
      <c r="G122" s="1">
        <f>'Unformatted Trip Summary'!G120</f>
        <v>66.909300877000007</v>
      </c>
      <c r="H122" s="1">
        <f>'Unformatted Trip Summary'!H120</f>
        <v>2.5713561492000001</v>
      </c>
    </row>
    <row r="123" spans="1:8" x14ac:dyDescent="0.2">
      <c r="A123" t="str">
        <f>'Unformatted Trip Summary'!A121</f>
        <v>02 AUCKLAND</v>
      </c>
      <c r="B123" t="str">
        <f>'Unformatted Trip Summary'!J121</f>
        <v>2012/13</v>
      </c>
      <c r="C123" t="str">
        <f>'Unformatted Trip Summary'!I121</f>
        <v>Local Train</v>
      </c>
      <c r="D123">
        <f>'Unformatted Trip Summary'!D121</f>
        <v>83</v>
      </c>
      <c r="E123">
        <f>'Unformatted Trip Summary'!E121</f>
        <v>197</v>
      </c>
      <c r="F123" s="1">
        <f>'Unformatted Trip Summary'!F121</f>
        <v>10.588451037</v>
      </c>
      <c r="G123" s="1">
        <f>'Unformatted Trip Summary'!G121</f>
        <v>126.27968744</v>
      </c>
      <c r="H123" s="1">
        <f>'Unformatted Trip Summary'!H121</f>
        <v>4.2843438359999997</v>
      </c>
    </row>
    <row r="124" spans="1:8" x14ac:dyDescent="0.2">
      <c r="A124" t="str">
        <f>'Unformatted Trip Summary'!A122</f>
        <v>02 AUCKLAND</v>
      </c>
      <c r="B124" t="str">
        <f>'Unformatted Trip Summary'!J122</f>
        <v>2017/18</v>
      </c>
      <c r="C124" t="str">
        <f>'Unformatted Trip Summary'!I122</f>
        <v>Local Train</v>
      </c>
      <c r="D124">
        <f>'Unformatted Trip Summary'!D122</f>
        <v>83</v>
      </c>
      <c r="E124">
        <f>'Unformatted Trip Summary'!E122</f>
        <v>197</v>
      </c>
      <c r="F124" s="1">
        <f>'Unformatted Trip Summary'!F122</f>
        <v>11.937472622</v>
      </c>
      <c r="G124" s="1">
        <f>'Unformatted Trip Summary'!G122</f>
        <v>144.32576847999999</v>
      </c>
      <c r="H124" s="1">
        <f>'Unformatted Trip Summary'!H122</f>
        <v>4.8988979616000004</v>
      </c>
    </row>
    <row r="125" spans="1:8" x14ac:dyDescent="0.2">
      <c r="A125" t="str">
        <f>'Unformatted Trip Summary'!A123</f>
        <v>02 AUCKLAND</v>
      </c>
      <c r="B125" t="str">
        <f>'Unformatted Trip Summary'!J123</f>
        <v>2022/23</v>
      </c>
      <c r="C125" t="str">
        <f>'Unformatted Trip Summary'!I123</f>
        <v>Local Train</v>
      </c>
      <c r="D125">
        <f>'Unformatted Trip Summary'!D123</f>
        <v>83</v>
      </c>
      <c r="E125">
        <f>'Unformatted Trip Summary'!E123</f>
        <v>197</v>
      </c>
      <c r="F125" s="1">
        <f>'Unformatted Trip Summary'!F123</f>
        <v>12.872055543</v>
      </c>
      <c r="G125" s="1">
        <f>'Unformatted Trip Summary'!G123</f>
        <v>156.37574419000001</v>
      </c>
      <c r="H125" s="1">
        <f>'Unformatted Trip Summary'!H123</f>
        <v>5.3217289628</v>
      </c>
    </row>
    <row r="126" spans="1:8" x14ac:dyDescent="0.2">
      <c r="A126" t="str">
        <f>'Unformatted Trip Summary'!A124</f>
        <v>02 AUCKLAND</v>
      </c>
      <c r="B126" t="str">
        <f>'Unformatted Trip Summary'!J124</f>
        <v>2027/28</v>
      </c>
      <c r="C126" t="str">
        <f>'Unformatted Trip Summary'!I124</f>
        <v>Local Train</v>
      </c>
      <c r="D126">
        <f>'Unformatted Trip Summary'!D124</f>
        <v>83</v>
      </c>
      <c r="E126">
        <f>'Unformatted Trip Summary'!E124</f>
        <v>197</v>
      </c>
      <c r="F126" s="1">
        <f>'Unformatted Trip Summary'!F124</f>
        <v>13.837702297</v>
      </c>
      <c r="G126" s="1">
        <f>'Unformatted Trip Summary'!G124</f>
        <v>167.89874710000001</v>
      </c>
      <c r="H126" s="1">
        <f>'Unformatted Trip Summary'!H124</f>
        <v>5.7082717365000004</v>
      </c>
    </row>
    <row r="127" spans="1:8" x14ac:dyDescent="0.2">
      <c r="A127" t="str">
        <f>'Unformatted Trip Summary'!A125</f>
        <v>02 AUCKLAND</v>
      </c>
      <c r="B127" t="str">
        <f>'Unformatted Trip Summary'!J125</f>
        <v>2032/33</v>
      </c>
      <c r="C127" t="str">
        <f>'Unformatted Trip Summary'!I125</f>
        <v>Local Train</v>
      </c>
      <c r="D127">
        <f>'Unformatted Trip Summary'!D125</f>
        <v>83</v>
      </c>
      <c r="E127">
        <f>'Unformatted Trip Summary'!E125</f>
        <v>197</v>
      </c>
      <c r="F127" s="1">
        <f>'Unformatted Trip Summary'!F125</f>
        <v>14.702700576</v>
      </c>
      <c r="G127" s="1">
        <f>'Unformatted Trip Summary'!G125</f>
        <v>178.86448240000001</v>
      </c>
      <c r="H127" s="1">
        <f>'Unformatted Trip Summary'!H125</f>
        <v>6.0546913252000003</v>
      </c>
    </row>
    <row r="128" spans="1:8" x14ac:dyDescent="0.2">
      <c r="A128" t="str">
        <f>'Unformatted Trip Summary'!A126</f>
        <v>02 AUCKLAND</v>
      </c>
      <c r="B128" t="str">
        <f>'Unformatted Trip Summary'!J126</f>
        <v>2037/38</v>
      </c>
      <c r="C128" t="str">
        <f>'Unformatted Trip Summary'!I126</f>
        <v>Local Train</v>
      </c>
      <c r="D128">
        <f>'Unformatted Trip Summary'!D126</f>
        <v>83</v>
      </c>
      <c r="E128">
        <f>'Unformatted Trip Summary'!E126</f>
        <v>197</v>
      </c>
      <c r="F128" s="1">
        <f>'Unformatted Trip Summary'!F126</f>
        <v>15.334267584999999</v>
      </c>
      <c r="G128" s="1">
        <f>'Unformatted Trip Summary'!G126</f>
        <v>187.36236491</v>
      </c>
      <c r="H128" s="1">
        <f>'Unformatted Trip Summary'!H126</f>
        <v>6.3408358907000002</v>
      </c>
    </row>
    <row r="129" spans="1:8" x14ac:dyDescent="0.2">
      <c r="A129" t="str">
        <f>'Unformatted Trip Summary'!A127</f>
        <v>02 AUCKLAND</v>
      </c>
      <c r="B129" t="str">
        <f>'Unformatted Trip Summary'!J127</f>
        <v>2042/43</v>
      </c>
      <c r="C129" t="str">
        <f>'Unformatted Trip Summary'!I127</f>
        <v>Local Train</v>
      </c>
      <c r="D129">
        <f>'Unformatted Trip Summary'!D127</f>
        <v>83</v>
      </c>
      <c r="E129">
        <f>'Unformatted Trip Summary'!E127</f>
        <v>197</v>
      </c>
      <c r="F129" s="1">
        <f>'Unformatted Trip Summary'!F127</f>
        <v>15.871956074</v>
      </c>
      <c r="G129" s="1">
        <f>'Unformatted Trip Summary'!G127</f>
        <v>194.74504454999999</v>
      </c>
      <c r="H129" s="1">
        <f>'Unformatted Trip Summary'!H127</f>
        <v>6.5868740203999998</v>
      </c>
    </row>
    <row r="130" spans="1:8" x14ac:dyDescent="0.2">
      <c r="A130" t="str">
        <f>'Unformatted Trip Summary'!A128</f>
        <v>02 AUCKLAND</v>
      </c>
      <c r="B130" t="str">
        <f>'Unformatted Trip Summary'!J128</f>
        <v>2012/13</v>
      </c>
      <c r="C130" t="str">
        <f>'Unformatted Trip Summary'!I128</f>
        <v>Local Bus</v>
      </c>
      <c r="D130">
        <f>'Unformatted Trip Summary'!D128</f>
        <v>334</v>
      </c>
      <c r="E130">
        <f>'Unformatted Trip Summary'!E128</f>
        <v>882</v>
      </c>
      <c r="F130" s="1">
        <f>'Unformatted Trip Summary'!F128</f>
        <v>54.403429504999998</v>
      </c>
      <c r="G130" s="1">
        <f>'Unformatted Trip Summary'!G128</f>
        <v>439.27566032999999</v>
      </c>
      <c r="H130" s="1">
        <f>'Unformatted Trip Summary'!H128</f>
        <v>22.622672496</v>
      </c>
    </row>
    <row r="131" spans="1:8" x14ac:dyDescent="0.2">
      <c r="A131" t="str">
        <f>'Unformatted Trip Summary'!A129</f>
        <v>02 AUCKLAND</v>
      </c>
      <c r="B131" t="str">
        <f>'Unformatted Trip Summary'!J129</f>
        <v>2017/18</v>
      </c>
      <c r="C131" t="str">
        <f>'Unformatted Trip Summary'!I129</f>
        <v>Local Bus</v>
      </c>
      <c r="D131">
        <f>'Unformatted Trip Summary'!D129</f>
        <v>334</v>
      </c>
      <c r="E131">
        <f>'Unformatted Trip Summary'!E129</f>
        <v>882</v>
      </c>
      <c r="F131" s="1">
        <f>'Unformatted Trip Summary'!F129</f>
        <v>59.340296318</v>
      </c>
      <c r="G131" s="1">
        <f>'Unformatted Trip Summary'!G129</f>
        <v>484.18754948999998</v>
      </c>
      <c r="H131" s="1">
        <f>'Unformatted Trip Summary'!H129</f>
        <v>24.897863955999998</v>
      </c>
    </row>
    <row r="132" spans="1:8" x14ac:dyDescent="0.2">
      <c r="A132" t="str">
        <f>'Unformatted Trip Summary'!A130</f>
        <v>02 AUCKLAND</v>
      </c>
      <c r="B132" t="str">
        <f>'Unformatted Trip Summary'!J130</f>
        <v>2022/23</v>
      </c>
      <c r="C132" t="str">
        <f>'Unformatted Trip Summary'!I130</f>
        <v>Local Bus</v>
      </c>
      <c r="D132">
        <f>'Unformatted Trip Summary'!D130</f>
        <v>334</v>
      </c>
      <c r="E132">
        <f>'Unformatted Trip Summary'!E130</f>
        <v>882</v>
      </c>
      <c r="F132" s="1">
        <f>'Unformatted Trip Summary'!F130</f>
        <v>62.246093332000001</v>
      </c>
      <c r="G132" s="1">
        <f>'Unformatted Trip Summary'!G130</f>
        <v>510.65408436000001</v>
      </c>
      <c r="H132" s="1">
        <f>'Unformatted Trip Summary'!H130</f>
        <v>26.164405055</v>
      </c>
    </row>
    <row r="133" spans="1:8" x14ac:dyDescent="0.2">
      <c r="A133" t="str">
        <f>'Unformatted Trip Summary'!A131</f>
        <v>02 AUCKLAND</v>
      </c>
      <c r="B133" t="str">
        <f>'Unformatted Trip Summary'!J131</f>
        <v>2027/28</v>
      </c>
      <c r="C133" t="str">
        <f>'Unformatted Trip Summary'!I131</f>
        <v>Local Bus</v>
      </c>
      <c r="D133">
        <f>'Unformatted Trip Summary'!D131</f>
        <v>334</v>
      </c>
      <c r="E133">
        <f>'Unformatted Trip Summary'!E131</f>
        <v>882</v>
      </c>
      <c r="F133" s="1">
        <f>'Unformatted Trip Summary'!F131</f>
        <v>65.910707149000004</v>
      </c>
      <c r="G133" s="1">
        <f>'Unformatted Trip Summary'!G131</f>
        <v>540.44903929999998</v>
      </c>
      <c r="H133" s="1">
        <f>'Unformatted Trip Summary'!H131</f>
        <v>27.685138536</v>
      </c>
    </row>
    <row r="134" spans="1:8" x14ac:dyDescent="0.2">
      <c r="A134" t="str">
        <f>'Unformatted Trip Summary'!A132</f>
        <v>02 AUCKLAND</v>
      </c>
      <c r="B134" t="str">
        <f>'Unformatted Trip Summary'!J132</f>
        <v>2032/33</v>
      </c>
      <c r="C134" t="str">
        <f>'Unformatted Trip Summary'!I132</f>
        <v>Local Bus</v>
      </c>
      <c r="D134">
        <f>'Unformatted Trip Summary'!D132</f>
        <v>334</v>
      </c>
      <c r="E134">
        <f>'Unformatted Trip Summary'!E132</f>
        <v>882</v>
      </c>
      <c r="F134" s="1">
        <f>'Unformatted Trip Summary'!F132</f>
        <v>68.606486290000007</v>
      </c>
      <c r="G134" s="1">
        <f>'Unformatted Trip Summary'!G132</f>
        <v>560.33770738999999</v>
      </c>
      <c r="H134" s="1">
        <f>'Unformatted Trip Summary'!H132</f>
        <v>28.743872939999999</v>
      </c>
    </row>
    <row r="135" spans="1:8" x14ac:dyDescent="0.2">
      <c r="A135" t="str">
        <f>'Unformatted Trip Summary'!A133</f>
        <v>02 AUCKLAND</v>
      </c>
      <c r="B135" t="str">
        <f>'Unformatted Trip Summary'!J133</f>
        <v>2037/38</v>
      </c>
      <c r="C135" t="str">
        <f>'Unformatted Trip Summary'!I133</f>
        <v>Local Bus</v>
      </c>
      <c r="D135">
        <f>'Unformatted Trip Summary'!D133</f>
        <v>334</v>
      </c>
      <c r="E135">
        <f>'Unformatted Trip Summary'!E133</f>
        <v>882</v>
      </c>
      <c r="F135" s="1">
        <f>'Unformatted Trip Summary'!F133</f>
        <v>71.191453946999999</v>
      </c>
      <c r="G135" s="1">
        <f>'Unformatted Trip Summary'!G133</f>
        <v>580.12991282999997</v>
      </c>
      <c r="H135" s="1">
        <f>'Unformatted Trip Summary'!H133</f>
        <v>29.797348301</v>
      </c>
    </row>
    <row r="136" spans="1:8" x14ac:dyDescent="0.2">
      <c r="A136" t="str">
        <f>'Unformatted Trip Summary'!A134</f>
        <v>02 AUCKLAND</v>
      </c>
      <c r="B136" t="str">
        <f>'Unformatted Trip Summary'!J134</f>
        <v>2042/43</v>
      </c>
      <c r="C136" t="str">
        <f>'Unformatted Trip Summary'!I134</f>
        <v>Local Bus</v>
      </c>
      <c r="D136">
        <f>'Unformatted Trip Summary'!D134</f>
        <v>334</v>
      </c>
      <c r="E136">
        <f>'Unformatted Trip Summary'!E134</f>
        <v>882</v>
      </c>
      <c r="F136" s="1">
        <f>'Unformatted Trip Summary'!F134</f>
        <v>73.334295260999994</v>
      </c>
      <c r="G136" s="1">
        <f>'Unformatted Trip Summary'!G134</f>
        <v>596.30149001999996</v>
      </c>
      <c r="H136" s="1">
        <f>'Unformatted Trip Summary'!H134</f>
        <v>30.673427348000001</v>
      </c>
    </row>
    <row r="137" spans="1:8" x14ac:dyDescent="0.2">
      <c r="A137" t="str">
        <f>'Unformatted Trip Summary'!A135</f>
        <v>02 AUCKLAND</v>
      </c>
      <c r="B137" t="str">
        <f>'Unformatted Trip Summary'!J135</f>
        <v>2012/13</v>
      </c>
      <c r="C137" t="str">
        <f>'Unformatted Trip Summary'!I135</f>
        <v>Local Ferry</v>
      </c>
      <c r="D137">
        <f>'Unformatted Trip Summary'!D135</f>
        <v>33</v>
      </c>
      <c r="E137">
        <f>'Unformatted Trip Summary'!E135</f>
        <v>75</v>
      </c>
      <c r="F137" s="1">
        <f>'Unformatted Trip Summary'!F135</f>
        <v>4.3086283299000003</v>
      </c>
      <c r="G137" s="1">
        <f>'Unformatted Trip Summary'!G135</f>
        <v>0</v>
      </c>
      <c r="H137" s="1">
        <f>'Unformatted Trip Summary'!H135</f>
        <v>1.2124045342000001</v>
      </c>
    </row>
    <row r="138" spans="1:8" x14ac:dyDescent="0.2">
      <c r="A138" t="str">
        <f>'Unformatted Trip Summary'!A136</f>
        <v>02 AUCKLAND</v>
      </c>
      <c r="B138" t="str">
        <f>'Unformatted Trip Summary'!J136</f>
        <v>2017/18</v>
      </c>
      <c r="C138" t="str">
        <f>'Unformatted Trip Summary'!I136</f>
        <v>Local Ferry</v>
      </c>
      <c r="D138">
        <f>'Unformatted Trip Summary'!D136</f>
        <v>33</v>
      </c>
      <c r="E138">
        <f>'Unformatted Trip Summary'!E136</f>
        <v>75</v>
      </c>
      <c r="F138" s="1">
        <f>'Unformatted Trip Summary'!F136</f>
        <v>4.9520708047999999</v>
      </c>
      <c r="G138" s="1">
        <f>'Unformatted Trip Summary'!G136</f>
        <v>0</v>
      </c>
      <c r="H138" s="1">
        <f>'Unformatted Trip Summary'!H136</f>
        <v>1.4002895271</v>
      </c>
    </row>
    <row r="139" spans="1:8" x14ac:dyDescent="0.2">
      <c r="A139" t="str">
        <f>'Unformatted Trip Summary'!A137</f>
        <v>02 AUCKLAND</v>
      </c>
      <c r="B139" t="str">
        <f>'Unformatted Trip Summary'!J137</f>
        <v>2022/23</v>
      </c>
      <c r="C139" t="str">
        <f>'Unformatted Trip Summary'!I137</f>
        <v>Local Ferry</v>
      </c>
      <c r="D139">
        <f>'Unformatted Trip Summary'!D137</f>
        <v>33</v>
      </c>
      <c r="E139">
        <f>'Unformatted Trip Summary'!E137</f>
        <v>75</v>
      </c>
      <c r="F139" s="1">
        <f>'Unformatted Trip Summary'!F137</f>
        <v>5.4945987857</v>
      </c>
      <c r="G139" s="1">
        <f>'Unformatted Trip Summary'!G137</f>
        <v>0</v>
      </c>
      <c r="H139" s="1">
        <f>'Unformatted Trip Summary'!H137</f>
        <v>1.5446902177999999</v>
      </c>
    </row>
    <row r="140" spans="1:8" x14ac:dyDescent="0.2">
      <c r="A140" t="str">
        <f>'Unformatted Trip Summary'!A138</f>
        <v>02 AUCKLAND</v>
      </c>
      <c r="B140" t="str">
        <f>'Unformatted Trip Summary'!J138</f>
        <v>2027/28</v>
      </c>
      <c r="C140" t="str">
        <f>'Unformatted Trip Summary'!I138</f>
        <v>Local Ferry</v>
      </c>
      <c r="D140">
        <f>'Unformatted Trip Summary'!D138</f>
        <v>33</v>
      </c>
      <c r="E140">
        <f>'Unformatted Trip Summary'!E138</f>
        <v>75</v>
      </c>
      <c r="F140" s="1">
        <f>'Unformatted Trip Summary'!F138</f>
        <v>5.9739649892999998</v>
      </c>
      <c r="G140" s="1">
        <f>'Unformatted Trip Summary'!G138</f>
        <v>0</v>
      </c>
      <c r="H140" s="1">
        <f>'Unformatted Trip Summary'!H138</f>
        <v>1.6698032126</v>
      </c>
    </row>
    <row r="141" spans="1:8" x14ac:dyDescent="0.2">
      <c r="A141" t="str">
        <f>'Unformatted Trip Summary'!A139</f>
        <v>02 AUCKLAND</v>
      </c>
      <c r="B141" t="str">
        <f>'Unformatted Trip Summary'!J139</f>
        <v>2032/33</v>
      </c>
      <c r="C141" t="str">
        <f>'Unformatted Trip Summary'!I139</f>
        <v>Local Ferry</v>
      </c>
      <c r="D141">
        <f>'Unformatted Trip Summary'!D139</f>
        <v>33</v>
      </c>
      <c r="E141">
        <f>'Unformatted Trip Summary'!E139</f>
        <v>75</v>
      </c>
      <c r="F141" s="1">
        <f>'Unformatted Trip Summary'!F139</f>
        <v>6.4318981770999999</v>
      </c>
      <c r="G141" s="1">
        <f>'Unformatted Trip Summary'!G139</f>
        <v>0</v>
      </c>
      <c r="H141" s="1">
        <f>'Unformatted Trip Summary'!H139</f>
        <v>1.7926517800999999</v>
      </c>
    </row>
    <row r="142" spans="1:8" x14ac:dyDescent="0.2">
      <c r="A142" t="str">
        <f>'Unformatted Trip Summary'!A140</f>
        <v>02 AUCKLAND</v>
      </c>
      <c r="B142" t="str">
        <f>'Unformatted Trip Summary'!J140</f>
        <v>2037/38</v>
      </c>
      <c r="C142" t="str">
        <f>'Unformatted Trip Summary'!I140</f>
        <v>Local Ferry</v>
      </c>
      <c r="D142">
        <f>'Unformatted Trip Summary'!D140</f>
        <v>33</v>
      </c>
      <c r="E142">
        <f>'Unformatted Trip Summary'!E140</f>
        <v>75</v>
      </c>
      <c r="F142" s="1">
        <f>'Unformatted Trip Summary'!F140</f>
        <v>7.0840019435999997</v>
      </c>
      <c r="G142" s="1">
        <f>'Unformatted Trip Summary'!G140</f>
        <v>0</v>
      </c>
      <c r="H142" s="1">
        <f>'Unformatted Trip Summary'!H140</f>
        <v>1.962745572</v>
      </c>
    </row>
    <row r="143" spans="1:8" x14ac:dyDescent="0.2">
      <c r="A143" t="str">
        <f>'Unformatted Trip Summary'!A141</f>
        <v>02 AUCKLAND</v>
      </c>
      <c r="B143" t="str">
        <f>'Unformatted Trip Summary'!J141</f>
        <v>2042/43</v>
      </c>
      <c r="C143" t="str">
        <f>'Unformatted Trip Summary'!I141</f>
        <v>Local Ferry</v>
      </c>
      <c r="D143">
        <f>'Unformatted Trip Summary'!D141</f>
        <v>33</v>
      </c>
      <c r="E143">
        <f>'Unformatted Trip Summary'!E141</f>
        <v>75</v>
      </c>
      <c r="F143" s="1">
        <f>'Unformatted Trip Summary'!F141</f>
        <v>7.7191371460999996</v>
      </c>
      <c r="G143" s="1">
        <f>'Unformatted Trip Summary'!G141</f>
        <v>0</v>
      </c>
      <c r="H143" s="1">
        <f>'Unformatted Trip Summary'!H141</f>
        <v>2.1266529032000001</v>
      </c>
    </row>
    <row r="144" spans="1:8" x14ac:dyDescent="0.2">
      <c r="A144" t="str">
        <f>'Unformatted Trip Summary'!A142</f>
        <v>02 AUCKLAND</v>
      </c>
      <c r="B144" t="str">
        <f>'Unformatted Trip Summary'!J142</f>
        <v>2012/13</v>
      </c>
      <c r="C144" t="str">
        <f>'Unformatted Trip Summary'!I142</f>
        <v>Other Household Travel</v>
      </c>
      <c r="D144">
        <f>'Unformatted Trip Summary'!D142</f>
        <v>21</v>
      </c>
      <c r="E144">
        <f>'Unformatted Trip Summary'!E142</f>
        <v>52</v>
      </c>
      <c r="F144" s="1">
        <f>'Unformatted Trip Summary'!F142</f>
        <v>2.2145179384000002</v>
      </c>
      <c r="G144" s="1">
        <f>'Unformatted Trip Summary'!G142</f>
        <v>1.8241938706</v>
      </c>
      <c r="H144" s="1">
        <f>'Unformatted Trip Summary'!H142</f>
        <v>2.4325058500000001</v>
      </c>
    </row>
    <row r="145" spans="1:8" x14ac:dyDescent="0.2">
      <c r="A145" t="str">
        <f>'Unformatted Trip Summary'!A143</f>
        <v>02 AUCKLAND</v>
      </c>
      <c r="B145" t="str">
        <f>'Unformatted Trip Summary'!J143</f>
        <v>2017/18</v>
      </c>
      <c r="C145" t="str">
        <f>'Unformatted Trip Summary'!I143</f>
        <v>Other Household Travel</v>
      </c>
      <c r="D145">
        <f>'Unformatted Trip Summary'!D143</f>
        <v>21</v>
      </c>
      <c r="E145">
        <f>'Unformatted Trip Summary'!E143</f>
        <v>52</v>
      </c>
      <c r="F145" s="1">
        <f>'Unformatted Trip Summary'!F143</f>
        <v>2.5076537030999999</v>
      </c>
      <c r="G145" s="1">
        <f>'Unformatted Trip Summary'!G143</f>
        <v>1.828931372</v>
      </c>
      <c r="H145" s="1">
        <f>'Unformatted Trip Summary'!H143</f>
        <v>2.8736177908</v>
      </c>
    </row>
    <row r="146" spans="1:8" x14ac:dyDescent="0.2">
      <c r="A146" t="str">
        <f>'Unformatted Trip Summary'!A144</f>
        <v>02 AUCKLAND</v>
      </c>
      <c r="B146" t="str">
        <f>'Unformatted Trip Summary'!J144</f>
        <v>2022/23</v>
      </c>
      <c r="C146" t="str">
        <f>'Unformatted Trip Summary'!I144</f>
        <v>Other Household Travel</v>
      </c>
      <c r="D146">
        <f>'Unformatted Trip Summary'!D144</f>
        <v>21</v>
      </c>
      <c r="E146">
        <f>'Unformatted Trip Summary'!E144</f>
        <v>52</v>
      </c>
      <c r="F146" s="1">
        <f>'Unformatted Trip Summary'!F144</f>
        <v>2.7404091551</v>
      </c>
      <c r="G146" s="1">
        <f>'Unformatted Trip Summary'!G144</f>
        <v>1.7646649882000001</v>
      </c>
      <c r="H146" s="1">
        <f>'Unformatted Trip Summary'!H144</f>
        <v>3.1339711822999998</v>
      </c>
    </row>
    <row r="147" spans="1:8" x14ac:dyDescent="0.2">
      <c r="A147" t="str">
        <f>'Unformatted Trip Summary'!A145</f>
        <v>02 AUCKLAND</v>
      </c>
      <c r="B147" t="str">
        <f>'Unformatted Trip Summary'!J145</f>
        <v>2027/28</v>
      </c>
      <c r="C147" t="str">
        <f>'Unformatted Trip Summary'!I145</f>
        <v>Other Household Travel</v>
      </c>
      <c r="D147">
        <f>'Unformatted Trip Summary'!D145</f>
        <v>21</v>
      </c>
      <c r="E147">
        <f>'Unformatted Trip Summary'!E145</f>
        <v>52</v>
      </c>
      <c r="F147" s="1">
        <f>'Unformatted Trip Summary'!F145</f>
        <v>2.9105085325000002</v>
      </c>
      <c r="G147" s="1">
        <f>'Unformatted Trip Summary'!G145</f>
        <v>1.7324432209</v>
      </c>
      <c r="H147" s="1">
        <f>'Unformatted Trip Summary'!H145</f>
        <v>3.2118378204</v>
      </c>
    </row>
    <row r="148" spans="1:8" x14ac:dyDescent="0.2">
      <c r="A148" t="str">
        <f>'Unformatted Trip Summary'!A146</f>
        <v>02 AUCKLAND</v>
      </c>
      <c r="B148" t="str">
        <f>'Unformatted Trip Summary'!J146</f>
        <v>2032/33</v>
      </c>
      <c r="C148" t="str">
        <f>'Unformatted Trip Summary'!I146</f>
        <v>Other Household Travel</v>
      </c>
      <c r="D148">
        <f>'Unformatted Trip Summary'!D146</f>
        <v>21</v>
      </c>
      <c r="E148">
        <f>'Unformatted Trip Summary'!E146</f>
        <v>52</v>
      </c>
      <c r="F148" s="1">
        <f>'Unformatted Trip Summary'!F146</f>
        <v>3.0701075441999999</v>
      </c>
      <c r="G148" s="1">
        <f>'Unformatted Trip Summary'!G146</f>
        <v>1.6212361179999999</v>
      </c>
      <c r="H148" s="1">
        <f>'Unformatted Trip Summary'!H146</f>
        <v>3.3144669131</v>
      </c>
    </row>
    <row r="149" spans="1:8" x14ac:dyDescent="0.2">
      <c r="A149" t="str">
        <f>'Unformatted Trip Summary'!A147</f>
        <v>02 AUCKLAND</v>
      </c>
      <c r="B149" t="str">
        <f>'Unformatted Trip Summary'!J147</f>
        <v>2037/38</v>
      </c>
      <c r="C149" t="str">
        <f>'Unformatted Trip Summary'!I147</f>
        <v>Other Household Travel</v>
      </c>
      <c r="D149">
        <f>'Unformatted Trip Summary'!D147</f>
        <v>21</v>
      </c>
      <c r="E149">
        <f>'Unformatted Trip Summary'!E147</f>
        <v>52</v>
      </c>
      <c r="F149" s="1">
        <f>'Unformatted Trip Summary'!F147</f>
        <v>3.2573736228999999</v>
      </c>
      <c r="G149" s="1">
        <f>'Unformatted Trip Summary'!G147</f>
        <v>1.4428453501</v>
      </c>
      <c r="H149" s="1">
        <f>'Unformatted Trip Summary'!H147</f>
        <v>3.5002699187999999</v>
      </c>
    </row>
    <row r="150" spans="1:8" x14ac:dyDescent="0.2">
      <c r="A150" t="str">
        <f>'Unformatted Trip Summary'!A148</f>
        <v>02 AUCKLAND</v>
      </c>
      <c r="B150" t="str">
        <f>'Unformatted Trip Summary'!J148</f>
        <v>2042/43</v>
      </c>
      <c r="C150" t="str">
        <f>'Unformatted Trip Summary'!I148</f>
        <v>Other Household Travel</v>
      </c>
      <c r="D150">
        <f>'Unformatted Trip Summary'!D148</f>
        <v>21</v>
      </c>
      <c r="E150">
        <f>'Unformatted Trip Summary'!E148</f>
        <v>52</v>
      </c>
      <c r="F150" s="1">
        <f>'Unformatted Trip Summary'!F148</f>
        <v>3.4430802545999999</v>
      </c>
      <c r="G150" s="1">
        <f>'Unformatted Trip Summary'!G148</f>
        <v>1.2707919969000001</v>
      </c>
      <c r="H150" s="1">
        <f>'Unformatted Trip Summary'!H148</f>
        <v>3.6843503657999999</v>
      </c>
    </row>
    <row r="151" spans="1:8" x14ac:dyDescent="0.2">
      <c r="A151" t="str">
        <f>'Unformatted Trip Summary'!A149</f>
        <v>02 AUCKLAND</v>
      </c>
      <c r="B151" t="str">
        <f>'Unformatted Trip Summary'!J149</f>
        <v>2012/13</v>
      </c>
      <c r="C151" t="str">
        <f>'Unformatted Trip Summary'!I149</f>
        <v>Air/Non-Local PT</v>
      </c>
      <c r="D151">
        <f>'Unformatted Trip Summary'!D149</f>
        <v>46</v>
      </c>
      <c r="E151">
        <f>'Unformatted Trip Summary'!E149</f>
        <v>52</v>
      </c>
      <c r="F151" s="1">
        <f>'Unformatted Trip Summary'!F149</f>
        <v>2.8879196329000001</v>
      </c>
      <c r="G151" s="1">
        <f>'Unformatted Trip Summary'!G149</f>
        <v>37.321781539</v>
      </c>
      <c r="H151" s="1">
        <f>'Unformatted Trip Summary'!H149</f>
        <v>5.1213278228999997</v>
      </c>
    </row>
    <row r="152" spans="1:8" x14ac:dyDescent="0.2">
      <c r="A152" t="str">
        <f>'Unformatted Trip Summary'!A150</f>
        <v>02 AUCKLAND</v>
      </c>
      <c r="B152" t="str">
        <f>'Unformatted Trip Summary'!J150</f>
        <v>2017/18</v>
      </c>
      <c r="C152" t="str">
        <f>'Unformatted Trip Summary'!I150</f>
        <v>Air/Non-Local PT</v>
      </c>
      <c r="D152">
        <f>'Unformatted Trip Summary'!D150</f>
        <v>46</v>
      </c>
      <c r="E152">
        <f>'Unformatted Trip Summary'!E150</f>
        <v>52</v>
      </c>
      <c r="F152" s="1">
        <f>'Unformatted Trip Summary'!F150</f>
        <v>3.6253390777000001</v>
      </c>
      <c r="G152" s="1">
        <f>'Unformatted Trip Summary'!G150</f>
        <v>44.160615550999999</v>
      </c>
      <c r="H152" s="1">
        <f>'Unformatted Trip Summary'!H150</f>
        <v>6.3644454560000003</v>
      </c>
    </row>
    <row r="153" spans="1:8" x14ac:dyDescent="0.2">
      <c r="A153" t="str">
        <f>'Unformatted Trip Summary'!A151</f>
        <v>02 AUCKLAND</v>
      </c>
      <c r="B153" t="str">
        <f>'Unformatted Trip Summary'!J151</f>
        <v>2022/23</v>
      </c>
      <c r="C153" t="str">
        <f>'Unformatted Trip Summary'!I151</f>
        <v>Air/Non-Local PT</v>
      </c>
      <c r="D153">
        <f>'Unformatted Trip Summary'!D151</f>
        <v>46</v>
      </c>
      <c r="E153">
        <f>'Unformatted Trip Summary'!E151</f>
        <v>52</v>
      </c>
      <c r="F153" s="1">
        <f>'Unformatted Trip Summary'!F151</f>
        <v>4.1760120080999998</v>
      </c>
      <c r="G153" s="1">
        <f>'Unformatted Trip Summary'!G151</f>
        <v>49.320631413000001</v>
      </c>
      <c r="H153" s="1">
        <f>'Unformatted Trip Summary'!H151</f>
        <v>7.2648962681000002</v>
      </c>
    </row>
    <row r="154" spans="1:8" x14ac:dyDescent="0.2">
      <c r="A154" t="str">
        <f>'Unformatted Trip Summary'!A152</f>
        <v>02 AUCKLAND</v>
      </c>
      <c r="B154" t="str">
        <f>'Unformatted Trip Summary'!J152</f>
        <v>2027/28</v>
      </c>
      <c r="C154" t="str">
        <f>'Unformatted Trip Summary'!I152</f>
        <v>Air/Non-Local PT</v>
      </c>
      <c r="D154">
        <f>'Unformatted Trip Summary'!D152</f>
        <v>46</v>
      </c>
      <c r="E154">
        <f>'Unformatted Trip Summary'!E152</f>
        <v>52</v>
      </c>
      <c r="F154" s="1">
        <f>'Unformatted Trip Summary'!F152</f>
        <v>4.5972161600000003</v>
      </c>
      <c r="G154" s="1">
        <f>'Unformatted Trip Summary'!G152</f>
        <v>52.904903212999997</v>
      </c>
      <c r="H154" s="1">
        <f>'Unformatted Trip Summary'!H152</f>
        <v>7.9448510663</v>
      </c>
    </row>
    <row r="155" spans="1:8" x14ac:dyDescent="0.2">
      <c r="A155" t="str">
        <f>'Unformatted Trip Summary'!A153</f>
        <v>02 AUCKLAND</v>
      </c>
      <c r="B155" t="str">
        <f>'Unformatted Trip Summary'!J153</f>
        <v>2032/33</v>
      </c>
      <c r="C155" t="str">
        <f>'Unformatted Trip Summary'!I153</f>
        <v>Air/Non-Local PT</v>
      </c>
      <c r="D155">
        <f>'Unformatted Trip Summary'!D153</f>
        <v>46</v>
      </c>
      <c r="E155">
        <f>'Unformatted Trip Summary'!E153</f>
        <v>52</v>
      </c>
      <c r="F155" s="1">
        <f>'Unformatted Trip Summary'!F153</f>
        <v>5.0614363704000001</v>
      </c>
      <c r="G155" s="1">
        <f>'Unformatted Trip Summary'!G153</f>
        <v>54.282445283000001</v>
      </c>
      <c r="H155" s="1">
        <f>'Unformatted Trip Summary'!H153</f>
        <v>8.7251839426999993</v>
      </c>
    </row>
    <row r="156" spans="1:8" x14ac:dyDescent="0.2">
      <c r="A156" t="str">
        <f>'Unformatted Trip Summary'!A154</f>
        <v>02 AUCKLAND</v>
      </c>
      <c r="B156" t="str">
        <f>'Unformatted Trip Summary'!J154</f>
        <v>2037/38</v>
      </c>
      <c r="C156" t="str">
        <f>'Unformatted Trip Summary'!I154</f>
        <v>Air/Non-Local PT</v>
      </c>
      <c r="D156">
        <f>'Unformatted Trip Summary'!D154</f>
        <v>46</v>
      </c>
      <c r="E156">
        <f>'Unformatted Trip Summary'!E154</f>
        <v>52</v>
      </c>
      <c r="F156" s="1">
        <f>'Unformatted Trip Summary'!F154</f>
        <v>5.5795440060999999</v>
      </c>
      <c r="G156" s="1">
        <f>'Unformatted Trip Summary'!G154</f>
        <v>58.084007167999999</v>
      </c>
      <c r="H156" s="1">
        <f>'Unformatted Trip Summary'!H154</f>
        <v>9.6478104918999996</v>
      </c>
    </row>
    <row r="157" spans="1:8" x14ac:dyDescent="0.2">
      <c r="A157" t="str">
        <f>'Unformatted Trip Summary'!A155</f>
        <v>02 AUCKLAND</v>
      </c>
      <c r="B157" t="str">
        <f>'Unformatted Trip Summary'!J155</f>
        <v>2042/43</v>
      </c>
      <c r="C157" t="str">
        <f>'Unformatted Trip Summary'!I155</f>
        <v>Air/Non-Local PT</v>
      </c>
      <c r="D157">
        <f>'Unformatted Trip Summary'!D155</f>
        <v>46</v>
      </c>
      <c r="E157">
        <f>'Unformatted Trip Summary'!E155</f>
        <v>52</v>
      </c>
      <c r="F157" s="1">
        <f>'Unformatted Trip Summary'!F155</f>
        <v>6.1039494893999997</v>
      </c>
      <c r="G157" s="1">
        <f>'Unformatted Trip Summary'!G155</f>
        <v>62.110884007999999</v>
      </c>
      <c r="H157" s="1">
        <f>'Unformatted Trip Summary'!H155</f>
        <v>10.581375107</v>
      </c>
    </row>
    <row r="158" spans="1:8" x14ac:dyDescent="0.2">
      <c r="A158" t="str">
        <f>'Unformatted Trip Summary'!A156</f>
        <v>02 AUCKLAND</v>
      </c>
      <c r="B158" t="str">
        <f>'Unformatted Trip Summary'!J156</f>
        <v>2012/13</v>
      </c>
      <c r="C158" t="str">
        <f>'Unformatted Trip Summary'!I156</f>
        <v>Non-Household Travel</v>
      </c>
      <c r="D158">
        <f>'Unformatted Trip Summary'!D156</f>
        <v>49</v>
      </c>
      <c r="E158">
        <f>'Unformatted Trip Summary'!E156</f>
        <v>220</v>
      </c>
      <c r="F158" s="1">
        <f>'Unformatted Trip Summary'!F156</f>
        <v>12.895006201999999</v>
      </c>
      <c r="G158" s="1">
        <f>'Unformatted Trip Summary'!G156</f>
        <v>179.51641304</v>
      </c>
      <c r="H158" s="1">
        <f>'Unformatted Trip Summary'!H156</f>
        <v>5.2074041506000004</v>
      </c>
    </row>
    <row r="159" spans="1:8" x14ac:dyDescent="0.2">
      <c r="A159" t="str">
        <f>'Unformatted Trip Summary'!A157</f>
        <v>02 AUCKLAND</v>
      </c>
      <c r="B159" t="str">
        <f>'Unformatted Trip Summary'!J157</f>
        <v>2017/18</v>
      </c>
      <c r="C159" t="str">
        <f>'Unformatted Trip Summary'!I157</f>
        <v>Non-Household Travel</v>
      </c>
      <c r="D159">
        <f>'Unformatted Trip Summary'!D157</f>
        <v>49</v>
      </c>
      <c r="E159">
        <f>'Unformatted Trip Summary'!E157</f>
        <v>220</v>
      </c>
      <c r="F159" s="1">
        <f>'Unformatted Trip Summary'!F157</f>
        <v>14.269898961999999</v>
      </c>
      <c r="G159" s="1">
        <f>'Unformatted Trip Summary'!G157</f>
        <v>195.53655961999999</v>
      </c>
      <c r="H159" s="1">
        <f>'Unformatted Trip Summary'!H157</f>
        <v>5.7255063754000002</v>
      </c>
    </row>
    <row r="160" spans="1:8" x14ac:dyDescent="0.2">
      <c r="A160" t="str">
        <f>'Unformatted Trip Summary'!A158</f>
        <v>02 AUCKLAND</v>
      </c>
      <c r="B160" t="str">
        <f>'Unformatted Trip Summary'!J158</f>
        <v>2022/23</v>
      </c>
      <c r="C160" t="str">
        <f>'Unformatted Trip Summary'!I158</f>
        <v>Non-Household Travel</v>
      </c>
      <c r="D160">
        <f>'Unformatted Trip Summary'!D158</f>
        <v>49</v>
      </c>
      <c r="E160">
        <f>'Unformatted Trip Summary'!E158</f>
        <v>220</v>
      </c>
      <c r="F160" s="1">
        <f>'Unformatted Trip Summary'!F158</f>
        <v>15.119972141</v>
      </c>
      <c r="G160" s="1">
        <f>'Unformatted Trip Summary'!G158</f>
        <v>204.78646727</v>
      </c>
      <c r="H160" s="1">
        <f>'Unformatted Trip Summary'!H158</f>
        <v>6.0185847973</v>
      </c>
    </row>
    <row r="161" spans="1:8" x14ac:dyDescent="0.2">
      <c r="A161" t="str">
        <f>'Unformatted Trip Summary'!A159</f>
        <v>02 AUCKLAND</v>
      </c>
      <c r="B161" t="str">
        <f>'Unformatted Trip Summary'!J159</f>
        <v>2027/28</v>
      </c>
      <c r="C161" t="str">
        <f>'Unformatted Trip Summary'!I159</f>
        <v>Non-Household Travel</v>
      </c>
      <c r="D161">
        <f>'Unformatted Trip Summary'!D159</f>
        <v>49</v>
      </c>
      <c r="E161">
        <f>'Unformatted Trip Summary'!E159</f>
        <v>220</v>
      </c>
      <c r="F161" s="1">
        <f>'Unformatted Trip Summary'!F159</f>
        <v>15.564988656000001</v>
      </c>
      <c r="G161" s="1">
        <f>'Unformatted Trip Summary'!G159</f>
        <v>207.75818301000001</v>
      </c>
      <c r="H161" s="1">
        <f>'Unformatted Trip Summary'!H159</f>
        <v>6.1235700618999998</v>
      </c>
    </row>
    <row r="162" spans="1:8" x14ac:dyDescent="0.2">
      <c r="A162" t="str">
        <f>'Unformatted Trip Summary'!A160</f>
        <v>02 AUCKLAND</v>
      </c>
      <c r="B162" t="str">
        <f>'Unformatted Trip Summary'!J160</f>
        <v>2032/33</v>
      </c>
      <c r="C162" t="str">
        <f>'Unformatted Trip Summary'!I160</f>
        <v>Non-Household Travel</v>
      </c>
      <c r="D162">
        <f>'Unformatted Trip Summary'!D160</f>
        <v>49</v>
      </c>
      <c r="E162">
        <f>'Unformatted Trip Summary'!E160</f>
        <v>220</v>
      </c>
      <c r="F162" s="1">
        <f>'Unformatted Trip Summary'!F160</f>
        <v>16.204297455999999</v>
      </c>
      <c r="G162" s="1">
        <f>'Unformatted Trip Summary'!G160</f>
        <v>213.32703791</v>
      </c>
      <c r="H162" s="1">
        <f>'Unformatted Trip Summary'!H160</f>
        <v>6.3336205870000004</v>
      </c>
    </row>
    <row r="163" spans="1:8" x14ac:dyDescent="0.2">
      <c r="A163" t="str">
        <f>'Unformatted Trip Summary'!A161</f>
        <v>02 AUCKLAND</v>
      </c>
      <c r="B163" t="str">
        <f>'Unformatted Trip Summary'!J161</f>
        <v>2037/38</v>
      </c>
      <c r="C163" t="str">
        <f>'Unformatted Trip Summary'!I161</f>
        <v>Non-Household Travel</v>
      </c>
      <c r="D163">
        <f>'Unformatted Trip Summary'!D161</f>
        <v>49</v>
      </c>
      <c r="E163">
        <f>'Unformatted Trip Summary'!E161</f>
        <v>220</v>
      </c>
      <c r="F163" s="1">
        <f>'Unformatted Trip Summary'!F161</f>
        <v>17.065710446000001</v>
      </c>
      <c r="G163" s="1">
        <f>'Unformatted Trip Summary'!G161</f>
        <v>222.40549913000001</v>
      </c>
      <c r="H163" s="1">
        <f>'Unformatted Trip Summary'!H161</f>
        <v>6.6371373481999996</v>
      </c>
    </row>
    <row r="164" spans="1:8" x14ac:dyDescent="0.2">
      <c r="A164" t="str">
        <f>'Unformatted Trip Summary'!A162</f>
        <v>02 AUCKLAND</v>
      </c>
      <c r="B164" t="str">
        <f>'Unformatted Trip Summary'!J162</f>
        <v>2042/43</v>
      </c>
      <c r="C164" t="str">
        <f>'Unformatted Trip Summary'!I162</f>
        <v>Non-Household Travel</v>
      </c>
      <c r="D164">
        <f>'Unformatted Trip Summary'!D162</f>
        <v>49</v>
      </c>
      <c r="E164">
        <f>'Unformatted Trip Summary'!E162</f>
        <v>220</v>
      </c>
      <c r="F164" s="1">
        <f>'Unformatted Trip Summary'!F162</f>
        <v>17.817238417999999</v>
      </c>
      <c r="G164" s="1">
        <f>'Unformatted Trip Summary'!G162</f>
        <v>230.04992404999999</v>
      </c>
      <c r="H164" s="1">
        <f>'Unformatted Trip Summary'!H162</f>
        <v>6.9042081421999999</v>
      </c>
    </row>
    <row r="165" spans="1:8" x14ac:dyDescent="0.2">
      <c r="A165" t="str">
        <f>'Unformatted Trip Summary'!A163</f>
        <v>03 WAIKATO</v>
      </c>
      <c r="B165" t="str">
        <f>'Unformatted Trip Summary'!J163</f>
        <v>2012/13</v>
      </c>
      <c r="C165" t="str">
        <f>'Unformatted Trip Summary'!I163</f>
        <v>Pedestrian</v>
      </c>
      <c r="D165">
        <f>'Unformatted Trip Summary'!D163</f>
        <v>628</v>
      </c>
      <c r="E165">
        <f>'Unformatted Trip Summary'!E163</f>
        <v>2089</v>
      </c>
      <c r="F165" s="1">
        <f>'Unformatted Trip Summary'!F163</f>
        <v>68.689195601999998</v>
      </c>
      <c r="G165" s="1">
        <f>'Unformatted Trip Summary'!G163</f>
        <v>52.675735545000002</v>
      </c>
      <c r="H165" s="1">
        <f>'Unformatted Trip Summary'!H163</f>
        <v>13.69170819</v>
      </c>
    </row>
    <row r="166" spans="1:8" x14ac:dyDescent="0.2">
      <c r="A166" t="str">
        <f>'Unformatted Trip Summary'!A164</f>
        <v>03 WAIKATO</v>
      </c>
      <c r="B166" t="str">
        <f>'Unformatted Trip Summary'!J164</f>
        <v>2017/18</v>
      </c>
      <c r="C166" t="str">
        <f>'Unformatted Trip Summary'!I164</f>
        <v>Pedestrian</v>
      </c>
      <c r="D166">
        <f>'Unformatted Trip Summary'!D164</f>
        <v>628</v>
      </c>
      <c r="E166">
        <f>'Unformatted Trip Summary'!E164</f>
        <v>2089</v>
      </c>
      <c r="F166" s="1">
        <f>'Unformatted Trip Summary'!F164</f>
        <v>73.188301964999994</v>
      </c>
      <c r="G166" s="1">
        <f>'Unformatted Trip Summary'!G164</f>
        <v>55.911415208999998</v>
      </c>
      <c r="H166" s="1">
        <f>'Unformatted Trip Summary'!H164</f>
        <v>14.487372998</v>
      </c>
    </row>
    <row r="167" spans="1:8" x14ac:dyDescent="0.2">
      <c r="A167" t="str">
        <f>'Unformatted Trip Summary'!A165</f>
        <v>03 WAIKATO</v>
      </c>
      <c r="B167" t="str">
        <f>'Unformatted Trip Summary'!J165</f>
        <v>2022/23</v>
      </c>
      <c r="C167" t="str">
        <f>'Unformatted Trip Summary'!I165</f>
        <v>Pedestrian</v>
      </c>
      <c r="D167">
        <f>'Unformatted Trip Summary'!D165</f>
        <v>628</v>
      </c>
      <c r="E167">
        <f>'Unformatted Trip Summary'!E165</f>
        <v>2089</v>
      </c>
      <c r="F167" s="1">
        <f>'Unformatted Trip Summary'!F165</f>
        <v>76.230794062000001</v>
      </c>
      <c r="G167" s="1">
        <f>'Unformatted Trip Summary'!G165</f>
        <v>58.183017065000001</v>
      </c>
      <c r="H167" s="1">
        <f>'Unformatted Trip Summary'!H165</f>
        <v>15.054325166</v>
      </c>
    </row>
    <row r="168" spans="1:8" x14ac:dyDescent="0.2">
      <c r="A168" t="str">
        <f>'Unformatted Trip Summary'!A166</f>
        <v>03 WAIKATO</v>
      </c>
      <c r="B168" t="str">
        <f>'Unformatted Trip Summary'!J166</f>
        <v>2027/28</v>
      </c>
      <c r="C168" t="str">
        <f>'Unformatted Trip Summary'!I166</f>
        <v>Pedestrian</v>
      </c>
      <c r="D168">
        <f>'Unformatted Trip Summary'!D166</f>
        <v>628</v>
      </c>
      <c r="E168">
        <f>'Unformatted Trip Summary'!E166</f>
        <v>2089</v>
      </c>
      <c r="F168" s="1">
        <f>'Unformatted Trip Summary'!F166</f>
        <v>78.502548884999996</v>
      </c>
      <c r="G168" s="1">
        <f>'Unformatted Trip Summary'!G166</f>
        <v>59.541047353000003</v>
      </c>
      <c r="H168" s="1">
        <f>'Unformatted Trip Summary'!H166</f>
        <v>15.400432581</v>
      </c>
    </row>
    <row r="169" spans="1:8" x14ac:dyDescent="0.2">
      <c r="A169" t="str">
        <f>'Unformatted Trip Summary'!A167</f>
        <v>03 WAIKATO</v>
      </c>
      <c r="B169" t="str">
        <f>'Unformatted Trip Summary'!J167</f>
        <v>2032/33</v>
      </c>
      <c r="C169" t="str">
        <f>'Unformatted Trip Summary'!I167</f>
        <v>Pedestrian</v>
      </c>
      <c r="D169">
        <f>'Unformatted Trip Summary'!D167</f>
        <v>628</v>
      </c>
      <c r="E169">
        <f>'Unformatted Trip Summary'!E167</f>
        <v>2089</v>
      </c>
      <c r="F169" s="1">
        <f>'Unformatted Trip Summary'!F167</f>
        <v>80.082227672000002</v>
      </c>
      <c r="G169" s="1">
        <f>'Unformatted Trip Summary'!G167</f>
        <v>60.242940095999998</v>
      </c>
      <c r="H169" s="1">
        <f>'Unformatted Trip Summary'!H167</f>
        <v>15.612068894</v>
      </c>
    </row>
    <row r="170" spans="1:8" x14ac:dyDescent="0.2">
      <c r="A170" t="str">
        <f>'Unformatted Trip Summary'!A168</f>
        <v>03 WAIKATO</v>
      </c>
      <c r="B170" t="str">
        <f>'Unformatted Trip Summary'!J168</f>
        <v>2037/38</v>
      </c>
      <c r="C170" t="str">
        <f>'Unformatted Trip Summary'!I168</f>
        <v>Pedestrian</v>
      </c>
      <c r="D170">
        <f>'Unformatted Trip Summary'!D168</f>
        <v>628</v>
      </c>
      <c r="E170">
        <f>'Unformatted Trip Summary'!E168</f>
        <v>2089</v>
      </c>
      <c r="F170" s="1">
        <f>'Unformatted Trip Summary'!F168</f>
        <v>80.904936926999994</v>
      </c>
      <c r="G170" s="1">
        <f>'Unformatted Trip Summary'!G168</f>
        <v>60.670447520000003</v>
      </c>
      <c r="H170" s="1">
        <f>'Unformatted Trip Summary'!H168</f>
        <v>15.710238313</v>
      </c>
    </row>
    <row r="171" spans="1:8" x14ac:dyDescent="0.2">
      <c r="A171" t="str">
        <f>'Unformatted Trip Summary'!A169</f>
        <v>03 WAIKATO</v>
      </c>
      <c r="B171" t="str">
        <f>'Unformatted Trip Summary'!J169</f>
        <v>2042/43</v>
      </c>
      <c r="C171" t="str">
        <f>'Unformatted Trip Summary'!I169</f>
        <v>Pedestrian</v>
      </c>
      <c r="D171">
        <f>'Unformatted Trip Summary'!D169</f>
        <v>628</v>
      </c>
      <c r="E171">
        <f>'Unformatted Trip Summary'!E169</f>
        <v>2089</v>
      </c>
      <c r="F171" s="1">
        <f>'Unformatted Trip Summary'!F169</f>
        <v>81.408834811000006</v>
      </c>
      <c r="G171" s="1">
        <f>'Unformatted Trip Summary'!G169</f>
        <v>60.843454364999999</v>
      </c>
      <c r="H171" s="1">
        <f>'Unformatted Trip Summary'!H169</f>
        <v>15.734247155</v>
      </c>
    </row>
    <row r="172" spans="1:8" x14ac:dyDescent="0.2">
      <c r="A172" t="str">
        <f>'Unformatted Trip Summary'!A170</f>
        <v>03 WAIKATO</v>
      </c>
      <c r="B172" t="str">
        <f>'Unformatted Trip Summary'!J170</f>
        <v>2012/13</v>
      </c>
      <c r="C172" t="str">
        <f>'Unformatted Trip Summary'!I170</f>
        <v>Cyclist</v>
      </c>
      <c r="D172">
        <f>'Unformatted Trip Summary'!D170</f>
        <v>60</v>
      </c>
      <c r="E172">
        <f>'Unformatted Trip Summary'!E170</f>
        <v>183</v>
      </c>
      <c r="F172" s="1">
        <f>'Unformatted Trip Summary'!F170</f>
        <v>5.8956498267999997</v>
      </c>
      <c r="G172" s="1">
        <f>'Unformatted Trip Summary'!G170</f>
        <v>21.829422874999999</v>
      </c>
      <c r="H172" s="1">
        <f>'Unformatted Trip Summary'!H170</f>
        <v>1.7805943500000001</v>
      </c>
    </row>
    <row r="173" spans="1:8" x14ac:dyDescent="0.2">
      <c r="A173" t="str">
        <f>'Unformatted Trip Summary'!A171</f>
        <v>03 WAIKATO</v>
      </c>
      <c r="B173" t="str">
        <f>'Unformatted Trip Summary'!J171</f>
        <v>2017/18</v>
      </c>
      <c r="C173" t="str">
        <f>'Unformatted Trip Summary'!I171</f>
        <v>Cyclist</v>
      </c>
      <c r="D173">
        <f>'Unformatted Trip Summary'!D171</f>
        <v>60</v>
      </c>
      <c r="E173">
        <f>'Unformatted Trip Summary'!E171</f>
        <v>183</v>
      </c>
      <c r="F173" s="1">
        <f>'Unformatted Trip Summary'!F171</f>
        <v>6.2723498164000002</v>
      </c>
      <c r="G173" s="1">
        <f>'Unformatted Trip Summary'!G171</f>
        <v>22.962464419</v>
      </c>
      <c r="H173" s="1">
        <f>'Unformatted Trip Summary'!H171</f>
        <v>1.9127793846000001</v>
      </c>
    </row>
    <row r="174" spans="1:8" x14ac:dyDescent="0.2">
      <c r="A174" t="str">
        <f>'Unformatted Trip Summary'!A172</f>
        <v>03 WAIKATO</v>
      </c>
      <c r="B174" t="str">
        <f>'Unformatted Trip Summary'!J172</f>
        <v>2022/23</v>
      </c>
      <c r="C174" t="str">
        <f>'Unformatted Trip Summary'!I172</f>
        <v>Cyclist</v>
      </c>
      <c r="D174">
        <f>'Unformatted Trip Summary'!D172</f>
        <v>60</v>
      </c>
      <c r="E174">
        <f>'Unformatted Trip Summary'!E172</f>
        <v>183</v>
      </c>
      <c r="F174" s="1">
        <f>'Unformatted Trip Summary'!F172</f>
        <v>6.6648311250000001</v>
      </c>
      <c r="G174" s="1">
        <f>'Unformatted Trip Summary'!G172</f>
        <v>23.962271675</v>
      </c>
      <c r="H174" s="1">
        <f>'Unformatted Trip Summary'!H172</f>
        <v>2.0412033315999998</v>
      </c>
    </row>
    <row r="175" spans="1:8" x14ac:dyDescent="0.2">
      <c r="A175" t="str">
        <f>'Unformatted Trip Summary'!A173</f>
        <v>03 WAIKATO</v>
      </c>
      <c r="B175" t="str">
        <f>'Unformatted Trip Summary'!J173</f>
        <v>2027/28</v>
      </c>
      <c r="C175" t="str">
        <f>'Unformatted Trip Summary'!I173</f>
        <v>Cyclist</v>
      </c>
      <c r="D175">
        <f>'Unformatted Trip Summary'!D173</f>
        <v>60</v>
      </c>
      <c r="E175">
        <f>'Unformatted Trip Summary'!E173</f>
        <v>183</v>
      </c>
      <c r="F175" s="1">
        <f>'Unformatted Trip Summary'!F173</f>
        <v>6.9586134670000002</v>
      </c>
      <c r="G175" s="1">
        <f>'Unformatted Trip Summary'!G173</f>
        <v>24.50879681</v>
      </c>
      <c r="H175" s="1">
        <f>'Unformatted Trip Summary'!H173</f>
        <v>2.1353845358000001</v>
      </c>
    </row>
    <row r="176" spans="1:8" x14ac:dyDescent="0.2">
      <c r="A176" t="str">
        <f>'Unformatted Trip Summary'!A174</f>
        <v>03 WAIKATO</v>
      </c>
      <c r="B176" t="str">
        <f>'Unformatted Trip Summary'!J174</f>
        <v>2032/33</v>
      </c>
      <c r="C176" t="str">
        <f>'Unformatted Trip Summary'!I174</f>
        <v>Cyclist</v>
      </c>
      <c r="D176">
        <f>'Unformatted Trip Summary'!D174</f>
        <v>60</v>
      </c>
      <c r="E176">
        <f>'Unformatted Trip Summary'!E174</f>
        <v>183</v>
      </c>
      <c r="F176" s="1">
        <f>'Unformatted Trip Summary'!F174</f>
        <v>7.2918281698999996</v>
      </c>
      <c r="G176" s="1">
        <f>'Unformatted Trip Summary'!G174</f>
        <v>25.102605004000001</v>
      </c>
      <c r="H176" s="1">
        <f>'Unformatted Trip Summary'!H174</f>
        <v>2.2379029984000001</v>
      </c>
    </row>
    <row r="177" spans="1:8" x14ac:dyDescent="0.2">
      <c r="A177" t="str">
        <f>'Unformatted Trip Summary'!A175</f>
        <v>03 WAIKATO</v>
      </c>
      <c r="B177" t="str">
        <f>'Unformatted Trip Summary'!J175</f>
        <v>2037/38</v>
      </c>
      <c r="C177" t="str">
        <f>'Unformatted Trip Summary'!I175</f>
        <v>Cyclist</v>
      </c>
      <c r="D177">
        <f>'Unformatted Trip Summary'!D175</f>
        <v>60</v>
      </c>
      <c r="E177">
        <f>'Unformatted Trip Summary'!E175</f>
        <v>183</v>
      </c>
      <c r="F177" s="1">
        <f>'Unformatted Trip Summary'!F175</f>
        <v>7.7223942429000001</v>
      </c>
      <c r="G177" s="1">
        <f>'Unformatted Trip Summary'!G175</f>
        <v>25.839488916000001</v>
      </c>
      <c r="H177" s="1">
        <f>'Unformatted Trip Summary'!H175</f>
        <v>2.3803013839</v>
      </c>
    </row>
    <row r="178" spans="1:8" x14ac:dyDescent="0.2">
      <c r="A178" t="str">
        <f>'Unformatted Trip Summary'!A176</f>
        <v>03 WAIKATO</v>
      </c>
      <c r="B178" t="str">
        <f>'Unformatted Trip Summary'!J176</f>
        <v>2042/43</v>
      </c>
      <c r="C178" t="str">
        <f>'Unformatted Trip Summary'!I176</f>
        <v>Cyclist</v>
      </c>
      <c r="D178">
        <f>'Unformatted Trip Summary'!D176</f>
        <v>60</v>
      </c>
      <c r="E178">
        <f>'Unformatted Trip Summary'!E176</f>
        <v>183</v>
      </c>
      <c r="F178" s="1">
        <f>'Unformatted Trip Summary'!F176</f>
        <v>8.1720793817999997</v>
      </c>
      <c r="G178" s="1">
        <f>'Unformatted Trip Summary'!G176</f>
        <v>26.535505400000002</v>
      </c>
      <c r="H178" s="1">
        <f>'Unformatted Trip Summary'!H176</f>
        <v>2.5303598197000001</v>
      </c>
    </row>
    <row r="179" spans="1:8" x14ac:dyDescent="0.2">
      <c r="A179" t="str">
        <f>'Unformatted Trip Summary'!A177</f>
        <v>03 WAIKATO</v>
      </c>
      <c r="B179" t="str">
        <f>'Unformatted Trip Summary'!J177</f>
        <v>2012/13</v>
      </c>
      <c r="C179" t="str">
        <f>'Unformatted Trip Summary'!I177</f>
        <v>Light Vehicle Driver</v>
      </c>
      <c r="D179">
        <f>'Unformatted Trip Summary'!D177</f>
        <v>1302</v>
      </c>
      <c r="E179">
        <f>'Unformatted Trip Summary'!E177</f>
        <v>9074</v>
      </c>
      <c r="F179" s="1">
        <f>'Unformatted Trip Summary'!F177</f>
        <v>305.41478153000003</v>
      </c>
      <c r="G179" s="1">
        <f>'Unformatted Trip Summary'!G177</f>
        <v>3709.9843593000001</v>
      </c>
      <c r="H179" s="1">
        <f>'Unformatted Trip Summary'!H177</f>
        <v>82.274552721999996</v>
      </c>
    </row>
    <row r="180" spans="1:8" x14ac:dyDescent="0.2">
      <c r="A180" t="str">
        <f>'Unformatted Trip Summary'!A178</f>
        <v>03 WAIKATO</v>
      </c>
      <c r="B180" t="str">
        <f>'Unformatted Trip Summary'!J178</f>
        <v>2017/18</v>
      </c>
      <c r="C180" t="str">
        <f>'Unformatted Trip Summary'!I178</f>
        <v>Light Vehicle Driver</v>
      </c>
      <c r="D180">
        <f>'Unformatted Trip Summary'!D178</f>
        <v>1302</v>
      </c>
      <c r="E180">
        <f>'Unformatted Trip Summary'!E178</f>
        <v>9074</v>
      </c>
      <c r="F180" s="1">
        <f>'Unformatted Trip Summary'!F178</f>
        <v>334.75251218</v>
      </c>
      <c r="G180" s="1">
        <f>'Unformatted Trip Summary'!G178</f>
        <v>4058.5916625</v>
      </c>
      <c r="H180" s="1">
        <f>'Unformatted Trip Summary'!H178</f>
        <v>90.109977568999994</v>
      </c>
    </row>
    <row r="181" spans="1:8" x14ac:dyDescent="0.2">
      <c r="A181" t="str">
        <f>'Unformatted Trip Summary'!A179</f>
        <v>03 WAIKATO</v>
      </c>
      <c r="B181" t="str">
        <f>'Unformatted Trip Summary'!J179</f>
        <v>2022/23</v>
      </c>
      <c r="C181" t="str">
        <f>'Unformatted Trip Summary'!I179</f>
        <v>Light Vehicle Driver</v>
      </c>
      <c r="D181">
        <f>'Unformatted Trip Summary'!D179</f>
        <v>1302</v>
      </c>
      <c r="E181">
        <f>'Unformatted Trip Summary'!E179</f>
        <v>9074</v>
      </c>
      <c r="F181" s="1">
        <f>'Unformatted Trip Summary'!F179</f>
        <v>353.93680162999999</v>
      </c>
      <c r="G181" s="1">
        <f>'Unformatted Trip Summary'!G179</f>
        <v>4292.6326912000004</v>
      </c>
      <c r="H181" s="1">
        <f>'Unformatted Trip Summary'!H179</f>
        <v>95.227626747000002</v>
      </c>
    </row>
    <row r="182" spans="1:8" x14ac:dyDescent="0.2">
      <c r="A182" t="str">
        <f>'Unformatted Trip Summary'!A180</f>
        <v>03 WAIKATO</v>
      </c>
      <c r="B182" t="str">
        <f>'Unformatted Trip Summary'!J180</f>
        <v>2027/28</v>
      </c>
      <c r="C182" t="str">
        <f>'Unformatted Trip Summary'!I180</f>
        <v>Light Vehicle Driver</v>
      </c>
      <c r="D182">
        <f>'Unformatted Trip Summary'!D180</f>
        <v>1302</v>
      </c>
      <c r="E182">
        <f>'Unformatted Trip Summary'!E180</f>
        <v>9074</v>
      </c>
      <c r="F182" s="1">
        <f>'Unformatted Trip Summary'!F180</f>
        <v>369.74557141000003</v>
      </c>
      <c r="G182" s="1">
        <f>'Unformatted Trip Summary'!G180</f>
        <v>4487.5972259</v>
      </c>
      <c r="H182" s="1">
        <f>'Unformatted Trip Summary'!H180</f>
        <v>99.480809231999999</v>
      </c>
    </row>
    <row r="183" spans="1:8" x14ac:dyDescent="0.2">
      <c r="A183" t="str">
        <f>'Unformatted Trip Summary'!A181</f>
        <v>03 WAIKATO</v>
      </c>
      <c r="B183" t="str">
        <f>'Unformatted Trip Summary'!J181</f>
        <v>2032/33</v>
      </c>
      <c r="C183" t="str">
        <f>'Unformatted Trip Summary'!I181</f>
        <v>Light Vehicle Driver</v>
      </c>
      <c r="D183">
        <f>'Unformatted Trip Summary'!D181</f>
        <v>1302</v>
      </c>
      <c r="E183">
        <f>'Unformatted Trip Summary'!E181</f>
        <v>9074</v>
      </c>
      <c r="F183" s="1">
        <f>'Unformatted Trip Summary'!F181</f>
        <v>384.10905219</v>
      </c>
      <c r="G183" s="1">
        <f>'Unformatted Trip Summary'!G181</f>
        <v>4666.1399758999996</v>
      </c>
      <c r="H183" s="1">
        <f>'Unformatted Trip Summary'!H181</f>
        <v>103.32425698</v>
      </c>
    </row>
    <row r="184" spans="1:8" x14ac:dyDescent="0.2">
      <c r="A184" t="str">
        <f>'Unformatted Trip Summary'!A182</f>
        <v>03 WAIKATO</v>
      </c>
      <c r="B184" t="str">
        <f>'Unformatted Trip Summary'!J182</f>
        <v>2037/38</v>
      </c>
      <c r="C184" t="str">
        <f>'Unformatted Trip Summary'!I182</f>
        <v>Light Vehicle Driver</v>
      </c>
      <c r="D184">
        <f>'Unformatted Trip Summary'!D182</f>
        <v>1302</v>
      </c>
      <c r="E184">
        <f>'Unformatted Trip Summary'!E182</f>
        <v>9074</v>
      </c>
      <c r="F184" s="1">
        <f>'Unformatted Trip Summary'!F182</f>
        <v>394.09080809</v>
      </c>
      <c r="G184" s="1">
        <f>'Unformatted Trip Summary'!G182</f>
        <v>4794.3030316000004</v>
      </c>
      <c r="H184" s="1">
        <f>'Unformatted Trip Summary'!H182</f>
        <v>106.00559839</v>
      </c>
    </row>
    <row r="185" spans="1:8" x14ac:dyDescent="0.2">
      <c r="A185" t="str">
        <f>'Unformatted Trip Summary'!A183</f>
        <v>03 WAIKATO</v>
      </c>
      <c r="B185" t="str">
        <f>'Unformatted Trip Summary'!J183</f>
        <v>2042/43</v>
      </c>
      <c r="C185" t="str">
        <f>'Unformatted Trip Summary'!I183</f>
        <v>Light Vehicle Driver</v>
      </c>
      <c r="D185">
        <f>'Unformatted Trip Summary'!D183</f>
        <v>1302</v>
      </c>
      <c r="E185">
        <f>'Unformatted Trip Summary'!E183</f>
        <v>9074</v>
      </c>
      <c r="F185" s="1">
        <f>'Unformatted Trip Summary'!F183</f>
        <v>402.71126878000001</v>
      </c>
      <c r="G185" s="1">
        <f>'Unformatted Trip Summary'!G183</f>
        <v>4907.4889635</v>
      </c>
      <c r="H185" s="1">
        <f>'Unformatted Trip Summary'!H183</f>
        <v>108.33887279</v>
      </c>
    </row>
    <row r="186" spans="1:8" x14ac:dyDescent="0.2">
      <c r="A186" t="str">
        <f>'Unformatted Trip Summary'!A184</f>
        <v>03 WAIKATO</v>
      </c>
      <c r="B186" t="str">
        <f>'Unformatted Trip Summary'!J184</f>
        <v>2012/13</v>
      </c>
      <c r="C186" t="str">
        <f>'Unformatted Trip Summary'!I184</f>
        <v>Light Vehicle Passenger</v>
      </c>
      <c r="D186">
        <f>'Unformatted Trip Summary'!D184</f>
        <v>931</v>
      </c>
      <c r="E186">
        <f>'Unformatted Trip Summary'!E184</f>
        <v>4349</v>
      </c>
      <c r="F186" s="1">
        <f>'Unformatted Trip Summary'!F184</f>
        <v>139.07206360000001</v>
      </c>
      <c r="G186" s="1">
        <f>'Unformatted Trip Summary'!G184</f>
        <v>1955.0668243</v>
      </c>
      <c r="H186" s="1">
        <f>'Unformatted Trip Summary'!H184</f>
        <v>42.037273755000001</v>
      </c>
    </row>
    <row r="187" spans="1:8" x14ac:dyDescent="0.2">
      <c r="A187" t="str">
        <f>'Unformatted Trip Summary'!A185</f>
        <v>03 WAIKATO</v>
      </c>
      <c r="B187" t="str">
        <f>'Unformatted Trip Summary'!J185</f>
        <v>2017/18</v>
      </c>
      <c r="C187" t="str">
        <f>'Unformatted Trip Summary'!I185</f>
        <v>Light Vehicle Passenger</v>
      </c>
      <c r="D187">
        <f>'Unformatted Trip Summary'!D185</f>
        <v>931</v>
      </c>
      <c r="E187">
        <f>'Unformatted Trip Summary'!E185</f>
        <v>4349</v>
      </c>
      <c r="F187" s="1">
        <f>'Unformatted Trip Summary'!F185</f>
        <v>143.95780173</v>
      </c>
      <c r="G187" s="1">
        <f>'Unformatted Trip Summary'!G185</f>
        <v>2059.3550424999999</v>
      </c>
      <c r="H187" s="1">
        <f>'Unformatted Trip Summary'!H185</f>
        <v>44.070316955000003</v>
      </c>
    </row>
    <row r="188" spans="1:8" x14ac:dyDescent="0.2">
      <c r="A188" t="str">
        <f>'Unformatted Trip Summary'!A186</f>
        <v>03 WAIKATO</v>
      </c>
      <c r="B188" t="str">
        <f>'Unformatted Trip Summary'!J186</f>
        <v>2022/23</v>
      </c>
      <c r="C188" t="str">
        <f>'Unformatted Trip Summary'!I186</f>
        <v>Light Vehicle Passenger</v>
      </c>
      <c r="D188">
        <f>'Unformatted Trip Summary'!D186</f>
        <v>931</v>
      </c>
      <c r="E188">
        <f>'Unformatted Trip Summary'!E186</f>
        <v>4349</v>
      </c>
      <c r="F188" s="1">
        <f>'Unformatted Trip Summary'!F186</f>
        <v>147.20294440000001</v>
      </c>
      <c r="G188" s="1">
        <f>'Unformatted Trip Summary'!G186</f>
        <v>2124.9436971999999</v>
      </c>
      <c r="H188" s="1">
        <f>'Unformatted Trip Summary'!H186</f>
        <v>45.370256558999998</v>
      </c>
    </row>
    <row r="189" spans="1:8" x14ac:dyDescent="0.2">
      <c r="A189" t="str">
        <f>'Unformatted Trip Summary'!A187</f>
        <v>03 WAIKATO</v>
      </c>
      <c r="B189" t="str">
        <f>'Unformatted Trip Summary'!J187</f>
        <v>2027/28</v>
      </c>
      <c r="C189" t="str">
        <f>'Unformatted Trip Summary'!I187</f>
        <v>Light Vehicle Passenger</v>
      </c>
      <c r="D189">
        <f>'Unformatted Trip Summary'!D187</f>
        <v>931</v>
      </c>
      <c r="E189">
        <f>'Unformatted Trip Summary'!E187</f>
        <v>4349</v>
      </c>
      <c r="F189" s="1">
        <f>'Unformatted Trip Summary'!F187</f>
        <v>148.99466699000001</v>
      </c>
      <c r="G189" s="1">
        <f>'Unformatted Trip Summary'!G187</f>
        <v>2167.9154852000001</v>
      </c>
      <c r="H189" s="1">
        <f>'Unformatted Trip Summary'!H187</f>
        <v>46.179697982999997</v>
      </c>
    </row>
    <row r="190" spans="1:8" x14ac:dyDescent="0.2">
      <c r="A190" t="str">
        <f>'Unformatted Trip Summary'!A188</f>
        <v>03 WAIKATO</v>
      </c>
      <c r="B190" t="str">
        <f>'Unformatted Trip Summary'!J188</f>
        <v>2032/33</v>
      </c>
      <c r="C190" t="str">
        <f>'Unformatted Trip Summary'!I188</f>
        <v>Light Vehicle Passenger</v>
      </c>
      <c r="D190">
        <f>'Unformatted Trip Summary'!D188</f>
        <v>931</v>
      </c>
      <c r="E190">
        <f>'Unformatted Trip Summary'!E188</f>
        <v>4349</v>
      </c>
      <c r="F190" s="1">
        <f>'Unformatted Trip Summary'!F188</f>
        <v>151.34993456000001</v>
      </c>
      <c r="G190" s="1">
        <f>'Unformatted Trip Summary'!G188</f>
        <v>2215.2838719000001</v>
      </c>
      <c r="H190" s="1">
        <f>'Unformatted Trip Summary'!H188</f>
        <v>47.075623512999996</v>
      </c>
    </row>
    <row r="191" spans="1:8" x14ac:dyDescent="0.2">
      <c r="A191" t="str">
        <f>'Unformatted Trip Summary'!A189</f>
        <v>03 WAIKATO</v>
      </c>
      <c r="B191" t="str">
        <f>'Unformatted Trip Summary'!J189</f>
        <v>2037/38</v>
      </c>
      <c r="C191" t="str">
        <f>'Unformatted Trip Summary'!I189</f>
        <v>Light Vehicle Passenger</v>
      </c>
      <c r="D191">
        <f>'Unformatted Trip Summary'!D189</f>
        <v>931</v>
      </c>
      <c r="E191">
        <f>'Unformatted Trip Summary'!E189</f>
        <v>4349</v>
      </c>
      <c r="F191" s="1">
        <f>'Unformatted Trip Summary'!F189</f>
        <v>152.66977908000001</v>
      </c>
      <c r="G191" s="1">
        <f>'Unformatted Trip Summary'!G189</f>
        <v>2244.0856131</v>
      </c>
      <c r="H191" s="1">
        <f>'Unformatted Trip Summary'!H189</f>
        <v>47.594162482000002</v>
      </c>
    </row>
    <row r="192" spans="1:8" x14ac:dyDescent="0.2">
      <c r="A192" t="str">
        <f>'Unformatted Trip Summary'!A190</f>
        <v>03 WAIKATO</v>
      </c>
      <c r="B192" t="str">
        <f>'Unformatted Trip Summary'!J190</f>
        <v>2042/43</v>
      </c>
      <c r="C192" t="str">
        <f>'Unformatted Trip Summary'!I190</f>
        <v>Light Vehicle Passenger</v>
      </c>
      <c r="D192">
        <f>'Unformatted Trip Summary'!D190</f>
        <v>931</v>
      </c>
      <c r="E192">
        <f>'Unformatted Trip Summary'!E190</f>
        <v>4349</v>
      </c>
      <c r="F192" s="1">
        <f>'Unformatted Trip Summary'!F190</f>
        <v>153.16863303</v>
      </c>
      <c r="G192" s="1">
        <f>'Unformatted Trip Summary'!G190</f>
        <v>2260.0942492999998</v>
      </c>
      <c r="H192" s="1">
        <f>'Unformatted Trip Summary'!H190</f>
        <v>47.838981969999999</v>
      </c>
    </row>
    <row r="193" spans="1:8" x14ac:dyDescent="0.2">
      <c r="A193" t="str">
        <f>'Unformatted Trip Summary'!A191</f>
        <v>03 WAIKATO</v>
      </c>
      <c r="B193" t="str">
        <f>'Unformatted Trip Summary'!J191</f>
        <v>2012/13</v>
      </c>
      <c r="C193" t="str">
        <f>'Unformatted Trip Summary'!I191</f>
        <v>Taxi/Vehicle Share</v>
      </c>
      <c r="D193">
        <f>'Unformatted Trip Summary'!D191</f>
        <v>13</v>
      </c>
      <c r="E193">
        <f>'Unformatted Trip Summary'!E191</f>
        <v>20</v>
      </c>
      <c r="F193" s="1">
        <f>'Unformatted Trip Summary'!F191</f>
        <v>0.69122996950000004</v>
      </c>
      <c r="G193" s="1">
        <f>'Unformatted Trip Summary'!G191</f>
        <v>2.4426175743999998</v>
      </c>
      <c r="H193" s="1">
        <f>'Unformatted Trip Summary'!H191</f>
        <v>0.1633822556</v>
      </c>
    </row>
    <row r="194" spans="1:8" x14ac:dyDescent="0.2">
      <c r="A194" t="str">
        <f>'Unformatted Trip Summary'!A192</f>
        <v>03 WAIKATO</v>
      </c>
      <c r="B194" t="str">
        <f>'Unformatted Trip Summary'!J192</f>
        <v>2017/18</v>
      </c>
      <c r="C194" t="str">
        <f>'Unformatted Trip Summary'!I192</f>
        <v>Taxi/Vehicle Share</v>
      </c>
      <c r="D194">
        <f>'Unformatted Trip Summary'!D192</f>
        <v>13</v>
      </c>
      <c r="E194">
        <f>'Unformatted Trip Summary'!E192</f>
        <v>20</v>
      </c>
      <c r="F194" s="1">
        <f>'Unformatted Trip Summary'!F192</f>
        <v>0.82240011349999997</v>
      </c>
      <c r="G194" s="1">
        <f>'Unformatted Trip Summary'!G192</f>
        <v>3.0155967268000001</v>
      </c>
      <c r="H194" s="1">
        <f>'Unformatted Trip Summary'!H192</f>
        <v>0.1972573564</v>
      </c>
    </row>
    <row r="195" spans="1:8" x14ac:dyDescent="0.2">
      <c r="A195" t="str">
        <f>'Unformatted Trip Summary'!A193</f>
        <v>03 WAIKATO</v>
      </c>
      <c r="B195" t="str">
        <f>'Unformatted Trip Summary'!J193</f>
        <v>2022/23</v>
      </c>
      <c r="C195" t="str">
        <f>'Unformatted Trip Summary'!I193</f>
        <v>Taxi/Vehicle Share</v>
      </c>
      <c r="D195">
        <f>'Unformatted Trip Summary'!D193</f>
        <v>13</v>
      </c>
      <c r="E195">
        <f>'Unformatted Trip Summary'!E193</f>
        <v>20</v>
      </c>
      <c r="F195" s="1">
        <f>'Unformatted Trip Summary'!F193</f>
        <v>0.9056253273</v>
      </c>
      <c r="G195" s="1">
        <f>'Unformatted Trip Summary'!G193</f>
        <v>3.4219008758</v>
      </c>
      <c r="H195" s="1">
        <f>'Unformatted Trip Summary'!H193</f>
        <v>0.22009984699999999</v>
      </c>
    </row>
    <row r="196" spans="1:8" x14ac:dyDescent="0.2">
      <c r="A196" t="str">
        <f>'Unformatted Trip Summary'!A194</f>
        <v>03 WAIKATO</v>
      </c>
      <c r="B196" t="str">
        <f>'Unformatted Trip Summary'!J194</f>
        <v>2027/28</v>
      </c>
      <c r="C196" t="str">
        <f>'Unformatted Trip Summary'!I194</f>
        <v>Taxi/Vehicle Share</v>
      </c>
      <c r="D196">
        <f>'Unformatted Trip Summary'!D194</f>
        <v>13</v>
      </c>
      <c r="E196">
        <f>'Unformatted Trip Summary'!E194</f>
        <v>20</v>
      </c>
      <c r="F196" s="1">
        <f>'Unformatted Trip Summary'!F194</f>
        <v>0.98274026410000004</v>
      </c>
      <c r="G196" s="1">
        <f>'Unformatted Trip Summary'!G194</f>
        <v>3.8014799571000002</v>
      </c>
      <c r="H196" s="1">
        <f>'Unformatted Trip Summary'!H194</f>
        <v>0.24211705550000001</v>
      </c>
    </row>
    <row r="197" spans="1:8" x14ac:dyDescent="0.2">
      <c r="A197" t="str">
        <f>'Unformatted Trip Summary'!A195</f>
        <v>03 WAIKATO</v>
      </c>
      <c r="B197" t="str">
        <f>'Unformatted Trip Summary'!J195</f>
        <v>2032/33</v>
      </c>
      <c r="C197" t="str">
        <f>'Unformatted Trip Summary'!I195</f>
        <v>Taxi/Vehicle Share</v>
      </c>
      <c r="D197">
        <f>'Unformatted Trip Summary'!D195</f>
        <v>13</v>
      </c>
      <c r="E197">
        <f>'Unformatted Trip Summary'!E195</f>
        <v>20</v>
      </c>
      <c r="F197" s="1">
        <f>'Unformatted Trip Summary'!F195</f>
        <v>1.0487720523999999</v>
      </c>
      <c r="G197" s="1">
        <f>'Unformatted Trip Summary'!G195</f>
        <v>4.1119055495000003</v>
      </c>
      <c r="H197" s="1">
        <f>'Unformatted Trip Summary'!H195</f>
        <v>0.2600321001</v>
      </c>
    </row>
    <row r="198" spans="1:8" x14ac:dyDescent="0.2">
      <c r="A198" t="str">
        <f>'Unformatted Trip Summary'!A196</f>
        <v>03 WAIKATO</v>
      </c>
      <c r="B198" t="str">
        <f>'Unformatted Trip Summary'!J196</f>
        <v>2037/38</v>
      </c>
      <c r="C198" t="str">
        <f>'Unformatted Trip Summary'!I196</f>
        <v>Taxi/Vehicle Share</v>
      </c>
      <c r="D198">
        <f>'Unformatted Trip Summary'!D196</f>
        <v>13</v>
      </c>
      <c r="E198">
        <f>'Unformatted Trip Summary'!E196</f>
        <v>20</v>
      </c>
      <c r="F198" s="1">
        <f>'Unformatted Trip Summary'!F196</f>
        <v>1.0922688433000001</v>
      </c>
      <c r="G198" s="1">
        <f>'Unformatted Trip Summary'!G196</f>
        <v>4.3095809516000001</v>
      </c>
      <c r="H198" s="1">
        <f>'Unformatted Trip Summary'!H196</f>
        <v>0.26912257750000002</v>
      </c>
    </row>
    <row r="199" spans="1:8" x14ac:dyDescent="0.2">
      <c r="A199" t="str">
        <f>'Unformatted Trip Summary'!A197</f>
        <v>03 WAIKATO</v>
      </c>
      <c r="B199" t="str">
        <f>'Unformatted Trip Summary'!J197</f>
        <v>2042/43</v>
      </c>
      <c r="C199" t="str">
        <f>'Unformatted Trip Summary'!I197</f>
        <v>Taxi/Vehicle Share</v>
      </c>
      <c r="D199">
        <f>'Unformatted Trip Summary'!D197</f>
        <v>13</v>
      </c>
      <c r="E199">
        <f>'Unformatted Trip Summary'!E197</f>
        <v>20</v>
      </c>
      <c r="F199" s="1">
        <f>'Unformatted Trip Summary'!F197</f>
        <v>1.1357266706</v>
      </c>
      <c r="G199" s="1">
        <f>'Unformatted Trip Summary'!G197</f>
        <v>4.5120411008000003</v>
      </c>
      <c r="H199" s="1">
        <f>'Unformatted Trip Summary'!H197</f>
        <v>0.2781883631</v>
      </c>
    </row>
    <row r="200" spans="1:8" x14ac:dyDescent="0.2">
      <c r="A200" t="str">
        <f>'Unformatted Trip Summary'!A198</f>
        <v>03 WAIKATO</v>
      </c>
      <c r="B200" t="str">
        <f>'Unformatted Trip Summary'!J198</f>
        <v>2012/13</v>
      </c>
      <c r="C200" t="str">
        <f>'Unformatted Trip Summary'!I198</f>
        <v>Motorcyclist</v>
      </c>
      <c r="D200">
        <f>'Unformatted Trip Summary'!D198</f>
        <v>16</v>
      </c>
      <c r="E200">
        <f>'Unformatted Trip Summary'!E198</f>
        <v>51</v>
      </c>
      <c r="F200" s="1">
        <f>'Unformatted Trip Summary'!F198</f>
        <v>1.8680965575999999</v>
      </c>
      <c r="G200" s="1">
        <f>'Unformatted Trip Summary'!G198</f>
        <v>38.030338682999997</v>
      </c>
      <c r="H200" s="1">
        <f>'Unformatted Trip Summary'!H198</f>
        <v>0.60639269429999998</v>
      </c>
    </row>
    <row r="201" spans="1:8" x14ac:dyDescent="0.2">
      <c r="A201" t="str">
        <f>'Unformatted Trip Summary'!A199</f>
        <v>03 WAIKATO</v>
      </c>
      <c r="B201" t="str">
        <f>'Unformatted Trip Summary'!J199</f>
        <v>2017/18</v>
      </c>
      <c r="C201" t="str">
        <f>'Unformatted Trip Summary'!I199</f>
        <v>Motorcyclist</v>
      </c>
      <c r="D201">
        <f>'Unformatted Trip Summary'!D199</f>
        <v>16</v>
      </c>
      <c r="E201">
        <f>'Unformatted Trip Summary'!E199</f>
        <v>51</v>
      </c>
      <c r="F201" s="1">
        <f>'Unformatted Trip Summary'!F199</f>
        <v>1.8367144203000001</v>
      </c>
      <c r="G201" s="1">
        <f>'Unformatted Trip Summary'!G199</f>
        <v>39.582526346000002</v>
      </c>
      <c r="H201" s="1">
        <f>'Unformatted Trip Summary'!H199</f>
        <v>0.61315894500000001</v>
      </c>
    </row>
    <row r="202" spans="1:8" x14ac:dyDescent="0.2">
      <c r="A202" t="str">
        <f>'Unformatted Trip Summary'!A200</f>
        <v>03 WAIKATO</v>
      </c>
      <c r="B202" t="str">
        <f>'Unformatted Trip Summary'!J200</f>
        <v>2022/23</v>
      </c>
      <c r="C202" t="str">
        <f>'Unformatted Trip Summary'!I200</f>
        <v>Motorcyclist</v>
      </c>
      <c r="D202">
        <f>'Unformatted Trip Summary'!D200</f>
        <v>16</v>
      </c>
      <c r="E202">
        <f>'Unformatted Trip Summary'!E200</f>
        <v>51</v>
      </c>
      <c r="F202" s="1">
        <f>'Unformatted Trip Summary'!F200</f>
        <v>1.8059413273</v>
      </c>
      <c r="G202" s="1">
        <f>'Unformatted Trip Summary'!G200</f>
        <v>40.370271303000003</v>
      </c>
      <c r="H202" s="1">
        <f>'Unformatted Trip Summary'!H200</f>
        <v>0.61752044110000004</v>
      </c>
    </row>
    <row r="203" spans="1:8" x14ac:dyDescent="0.2">
      <c r="A203" t="str">
        <f>'Unformatted Trip Summary'!A201</f>
        <v>03 WAIKATO</v>
      </c>
      <c r="B203" t="str">
        <f>'Unformatted Trip Summary'!J201</f>
        <v>2027/28</v>
      </c>
      <c r="C203" t="str">
        <f>'Unformatted Trip Summary'!I201</f>
        <v>Motorcyclist</v>
      </c>
      <c r="D203">
        <f>'Unformatted Trip Summary'!D201</f>
        <v>16</v>
      </c>
      <c r="E203">
        <f>'Unformatted Trip Summary'!E201</f>
        <v>51</v>
      </c>
      <c r="F203" s="1">
        <f>'Unformatted Trip Summary'!F201</f>
        <v>1.7600682994000001</v>
      </c>
      <c r="G203" s="1">
        <f>'Unformatted Trip Summary'!G201</f>
        <v>39.660286962999997</v>
      </c>
      <c r="H203" s="1">
        <f>'Unformatted Trip Summary'!H201</f>
        <v>0.60771714030000001</v>
      </c>
    </row>
    <row r="204" spans="1:8" x14ac:dyDescent="0.2">
      <c r="A204" t="str">
        <f>'Unformatted Trip Summary'!A202</f>
        <v>03 WAIKATO</v>
      </c>
      <c r="B204" t="str">
        <f>'Unformatted Trip Summary'!J202</f>
        <v>2032/33</v>
      </c>
      <c r="C204" t="str">
        <f>'Unformatted Trip Summary'!I202</f>
        <v>Motorcyclist</v>
      </c>
      <c r="D204">
        <f>'Unformatted Trip Summary'!D202</f>
        <v>16</v>
      </c>
      <c r="E204">
        <f>'Unformatted Trip Summary'!E202</f>
        <v>51</v>
      </c>
      <c r="F204" s="1">
        <f>'Unformatted Trip Summary'!F202</f>
        <v>1.7104633249000001</v>
      </c>
      <c r="G204" s="1">
        <f>'Unformatted Trip Summary'!G202</f>
        <v>37.705855802999999</v>
      </c>
      <c r="H204" s="1">
        <f>'Unformatted Trip Summary'!H202</f>
        <v>0.58398822120000005</v>
      </c>
    </row>
    <row r="205" spans="1:8" x14ac:dyDescent="0.2">
      <c r="A205" t="str">
        <f>'Unformatted Trip Summary'!A203</f>
        <v>03 WAIKATO</v>
      </c>
      <c r="B205" t="str">
        <f>'Unformatted Trip Summary'!J203</f>
        <v>2037/38</v>
      </c>
      <c r="C205" t="str">
        <f>'Unformatted Trip Summary'!I203</f>
        <v>Motorcyclist</v>
      </c>
      <c r="D205">
        <f>'Unformatted Trip Summary'!D203</f>
        <v>16</v>
      </c>
      <c r="E205">
        <f>'Unformatted Trip Summary'!E203</f>
        <v>51</v>
      </c>
      <c r="F205" s="1">
        <f>'Unformatted Trip Summary'!F203</f>
        <v>1.6037273466999999</v>
      </c>
      <c r="G205" s="1">
        <f>'Unformatted Trip Summary'!G203</f>
        <v>34.221121554</v>
      </c>
      <c r="H205" s="1">
        <f>'Unformatted Trip Summary'!H203</f>
        <v>0.53521650669999998</v>
      </c>
    </row>
    <row r="206" spans="1:8" x14ac:dyDescent="0.2">
      <c r="A206" t="str">
        <f>'Unformatted Trip Summary'!A204</f>
        <v>03 WAIKATO</v>
      </c>
      <c r="B206" t="str">
        <f>'Unformatted Trip Summary'!J204</f>
        <v>2042/43</v>
      </c>
      <c r="C206" t="str">
        <f>'Unformatted Trip Summary'!I204</f>
        <v>Motorcyclist</v>
      </c>
      <c r="D206">
        <f>'Unformatted Trip Summary'!D204</f>
        <v>16</v>
      </c>
      <c r="E206">
        <f>'Unformatted Trip Summary'!E204</f>
        <v>51</v>
      </c>
      <c r="F206" s="1">
        <f>'Unformatted Trip Summary'!F204</f>
        <v>1.4956305754000001</v>
      </c>
      <c r="G206" s="1">
        <f>'Unformatted Trip Summary'!G204</f>
        <v>30.663202500000001</v>
      </c>
      <c r="H206" s="1">
        <f>'Unformatted Trip Summary'!H204</f>
        <v>0.48553442889999998</v>
      </c>
    </row>
    <row r="207" spans="1:8" x14ac:dyDescent="0.2">
      <c r="A207" t="str">
        <f>'Unformatted Trip Summary'!A205</f>
        <v>03 WAIKATO</v>
      </c>
      <c r="B207" t="str">
        <f>'Unformatted Trip Summary'!J205</f>
        <v>2012/13</v>
      </c>
      <c r="C207" t="str">
        <f>'Unformatted Trip Summary'!I205</f>
        <v>Local Train</v>
      </c>
      <c r="D207">
        <f>'Unformatted Trip Summary'!D205</f>
        <v>2</v>
      </c>
      <c r="E207">
        <f>'Unformatted Trip Summary'!E205</f>
        <v>5</v>
      </c>
      <c r="F207" s="1">
        <f>'Unformatted Trip Summary'!F205</f>
        <v>0.12019006359999999</v>
      </c>
      <c r="G207" s="1">
        <f>'Unformatted Trip Summary'!G205</f>
        <v>2.9773519310999998</v>
      </c>
      <c r="H207" s="1">
        <f>'Unformatted Trip Summary'!H205</f>
        <v>7.0969514100000006E-2</v>
      </c>
    </row>
    <row r="208" spans="1:8" x14ac:dyDescent="0.2">
      <c r="A208" t="str">
        <f>'Unformatted Trip Summary'!A206</f>
        <v>03 WAIKATO</v>
      </c>
      <c r="B208" t="str">
        <f>'Unformatted Trip Summary'!J206</f>
        <v>2017/18</v>
      </c>
      <c r="C208" t="str">
        <f>'Unformatted Trip Summary'!I206</f>
        <v>Local Train</v>
      </c>
      <c r="D208">
        <f>'Unformatted Trip Summary'!D206</f>
        <v>2</v>
      </c>
      <c r="E208">
        <f>'Unformatted Trip Summary'!E206</f>
        <v>5</v>
      </c>
      <c r="F208" s="1">
        <f>'Unformatted Trip Summary'!F206</f>
        <v>0.12728721579999999</v>
      </c>
      <c r="G208" s="1">
        <f>'Unformatted Trip Summary'!G206</f>
        <v>3.2575234219999998</v>
      </c>
      <c r="H208" s="1">
        <f>'Unformatted Trip Summary'!H206</f>
        <v>7.7604885799999995E-2</v>
      </c>
    </row>
    <row r="209" spans="1:8" x14ac:dyDescent="0.2">
      <c r="A209" t="str">
        <f>'Unformatted Trip Summary'!A207</f>
        <v>03 WAIKATO</v>
      </c>
      <c r="B209" t="str">
        <f>'Unformatted Trip Summary'!J207</f>
        <v>2022/23</v>
      </c>
      <c r="C209" t="str">
        <f>'Unformatted Trip Summary'!I207</f>
        <v>Local Train</v>
      </c>
      <c r="D209">
        <f>'Unformatted Trip Summary'!D207</f>
        <v>2</v>
      </c>
      <c r="E209">
        <f>'Unformatted Trip Summary'!E207</f>
        <v>5</v>
      </c>
      <c r="F209" s="1">
        <f>'Unformatted Trip Summary'!F207</f>
        <v>0.14162232129999999</v>
      </c>
      <c r="G209" s="1">
        <f>'Unformatted Trip Summary'!G207</f>
        <v>3.8685438181</v>
      </c>
      <c r="H209" s="1">
        <f>'Unformatted Trip Summary'!H207</f>
        <v>9.2064190099999998E-2</v>
      </c>
    </row>
    <row r="210" spans="1:8" x14ac:dyDescent="0.2">
      <c r="A210" t="str">
        <f>'Unformatted Trip Summary'!A208</f>
        <v>03 WAIKATO</v>
      </c>
      <c r="B210" t="str">
        <f>'Unformatted Trip Summary'!J208</f>
        <v>2027/28</v>
      </c>
      <c r="C210" t="str">
        <f>'Unformatted Trip Summary'!I208</f>
        <v>Local Train</v>
      </c>
      <c r="D210">
        <f>'Unformatted Trip Summary'!D208</f>
        <v>2</v>
      </c>
      <c r="E210">
        <f>'Unformatted Trip Summary'!E208</f>
        <v>5</v>
      </c>
      <c r="F210" s="1">
        <f>'Unformatted Trip Summary'!F208</f>
        <v>0.15532858599999999</v>
      </c>
      <c r="G210" s="1">
        <f>'Unformatted Trip Summary'!G208</f>
        <v>4.3969988506000002</v>
      </c>
      <c r="H210" s="1">
        <f>'Unformatted Trip Summary'!H208</f>
        <v>0.1045829808</v>
      </c>
    </row>
    <row r="211" spans="1:8" x14ac:dyDescent="0.2">
      <c r="A211" t="str">
        <f>'Unformatted Trip Summary'!A209</f>
        <v>03 WAIKATO</v>
      </c>
      <c r="B211" t="str">
        <f>'Unformatted Trip Summary'!J209</f>
        <v>2032/33</v>
      </c>
      <c r="C211" t="str">
        <f>'Unformatted Trip Summary'!I209</f>
        <v>Local Train</v>
      </c>
      <c r="D211">
        <f>'Unformatted Trip Summary'!D209</f>
        <v>2</v>
      </c>
      <c r="E211">
        <f>'Unformatted Trip Summary'!E209</f>
        <v>5</v>
      </c>
      <c r="F211" s="1">
        <f>'Unformatted Trip Summary'!F209</f>
        <v>0.16528467299999999</v>
      </c>
      <c r="G211" s="1">
        <f>'Unformatted Trip Summary'!G209</f>
        <v>4.7603271114999997</v>
      </c>
      <c r="H211" s="1">
        <f>'Unformatted Trip Summary'!H209</f>
        <v>0.1131954416</v>
      </c>
    </row>
    <row r="212" spans="1:8" x14ac:dyDescent="0.2">
      <c r="A212" t="str">
        <f>'Unformatted Trip Summary'!A210</f>
        <v>03 WAIKATO</v>
      </c>
      <c r="B212" t="str">
        <f>'Unformatted Trip Summary'!J210</f>
        <v>2037/38</v>
      </c>
      <c r="C212" t="str">
        <f>'Unformatted Trip Summary'!I210</f>
        <v>Local Train</v>
      </c>
      <c r="D212">
        <f>'Unformatted Trip Summary'!D210</f>
        <v>2</v>
      </c>
      <c r="E212">
        <f>'Unformatted Trip Summary'!E210</f>
        <v>5</v>
      </c>
      <c r="F212" s="1">
        <f>'Unformatted Trip Summary'!F210</f>
        <v>0.17199228499999999</v>
      </c>
      <c r="G212" s="1">
        <f>'Unformatted Trip Summary'!G210</f>
        <v>5.0976279561000002</v>
      </c>
      <c r="H212" s="1">
        <f>'Unformatted Trip Summary'!H210</f>
        <v>0.1211651084</v>
      </c>
    </row>
    <row r="213" spans="1:8" x14ac:dyDescent="0.2">
      <c r="A213" t="str">
        <f>'Unformatted Trip Summary'!A211</f>
        <v>03 WAIKATO</v>
      </c>
      <c r="B213" t="str">
        <f>'Unformatted Trip Summary'!J211</f>
        <v>2042/43</v>
      </c>
      <c r="C213" t="str">
        <f>'Unformatted Trip Summary'!I211</f>
        <v>Local Train</v>
      </c>
      <c r="D213">
        <f>'Unformatted Trip Summary'!D211</f>
        <v>2</v>
      </c>
      <c r="E213">
        <f>'Unformatted Trip Summary'!E211</f>
        <v>5</v>
      </c>
      <c r="F213" s="1">
        <f>'Unformatted Trip Summary'!F211</f>
        <v>0.17736737250000001</v>
      </c>
      <c r="G213" s="1">
        <f>'Unformatted Trip Summary'!G211</f>
        <v>5.3820044290000002</v>
      </c>
      <c r="H213" s="1">
        <f>'Unformatted Trip Summary'!H211</f>
        <v>0.12788143690000001</v>
      </c>
    </row>
    <row r="214" spans="1:8" x14ac:dyDescent="0.2">
      <c r="A214" t="str">
        <f>'Unformatted Trip Summary'!A212</f>
        <v>03 WAIKATO</v>
      </c>
      <c r="B214" t="str">
        <f>'Unformatted Trip Summary'!J212</f>
        <v>2012/13</v>
      </c>
      <c r="C214" t="str">
        <f>'Unformatted Trip Summary'!I212</f>
        <v>Local Bus</v>
      </c>
      <c r="D214">
        <f>'Unformatted Trip Summary'!D212</f>
        <v>81</v>
      </c>
      <c r="E214">
        <f>'Unformatted Trip Summary'!E212</f>
        <v>183</v>
      </c>
      <c r="F214" s="1">
        <f>'Unformatted Trip Summary'!F212</f>
        <v>5.7199103379</v>
      </c>
      <c r="G214" s="1">
        <f>'Unformatted Trip Summary'!G212</f>
        <v>54.303948532</v>
      </c>
      <c r="H214" s="1">
        <f>'Unformatted Trip Summary'!H212</f>
        <v>2.2088814398999999</v>
      </c>
    </row>
    <row r="215" spans="1:8" x14ac:dyDescent="0.2">
      <c r="A215" t="str">
        <f>'Unformatted Trip Summary'!A213</f>
        <v>03 WAIKATO</v>
      </c>
      <c r="B215" t="str">
        <f>'Unformatted Trip Summary'!J213</f>
        <v>2017/18</v>
      </c>
      <c r="C215" t="str">
        <f>'Unformatted Trip Summary'!I213</f>
        <v>Local Bus</v>
      </c>
      <c r="D215">
        <f>'Unformatted Trip Summary'!D213</f>
        <v>81</v>
      </c>
      <c r="E215">
        <f>'Unformatted Trip Summary'!E213</f>
        <v>183</v>
      </c>
      <c r="F215" s="1">
        <f>'Unformatted Trip Summary'!F213</f>
        <v>5.7974363710999999</v>
      </c>
      <c r="G215" s="1">
        <f>'Unformatted Trip Summary'!G213</f>
        <v>52.211012922000002</v>
      </c>
      <c r="H215" s="1">
        <f>'Unformatted Trip Summary'!H213</f>
        <v>2.2059838936</v>
      </c>
    </row>
    <row r="216" spans="1:8" x14ac:dyDescent="0.2">
      <c r="A216" t="str">
        <f>'Unformatted Trip Summary'!A214</f>
        <v>03 WAIKATO</v>
      </c>
      <c r="B216" t="str">
        <f>'Unformatted Trip Summary'!J214</f>
        <v>2022/23</v>
      </c>
      <c r="C216" t="str">
        <f>'Unformatted Trip Summary'!I214</f>
        <v>Local Bus</v>
      </c>
      <c r="D216">
        <f>'Unformatted Trip Summary'!D214</f>
        <v>81</v>
      </c>
      <c r="E216">
        <f>'Unformatted Trip Summary'!E214</f>
        <v>183</v>
      </c>
      <c r="F216" s="1">
        <f>'Unformatted Trip Summary'!F214</f>
        <v>5.7929793319999998</v>
      </c>
      <c r="G216" s="1">
        <f>'Unformatted Trip Summary'!G214</f>
        <v>51.340808866000003</v>
      </c>
      <c r="H216" s="1">
        <f>'Unformatted Trip Summary'!H214</f>
        <v>2.1916393963999998</v>
      </c>
    </row>
    <row r="217" spans="1:8" x14ac:dyDescent="0.2">
      <c r="A217" t="str">
        <f>'Unformatted Trip Summary'!A215</f>
        <v>03 WAIKATO</v>
      </c>
      <c r="B217" t="str">
        <f>'Unformatted Trip Summary'!J215</f>
        <v>2027/28</v>
      </c>
      <c r="C217" t="str">
        <f>'Unformatted Trip Summary'!I215</f>
        <v>Local Bus</v>
      </c>
      <c r="D217">
        <f>'Unformatted Trip Summary'!D215</f>
        <v>81</v>
      </c>
      <c r="E217">
        <f>'Unformatted Trip Summary'!E215</f>
        <v>183</v>
      </c>
      <c r="F217" s="1">
        <f>'Unformatted Trip Summary'!F215</f>
        <v>5.8884810045</v>
      </c>
      <c r="G217" s="1">
        <f>'Unformatted Trip Summary'!G215</f>
        <v>51.014935751000003</v>
      </c>
      <c r="H217" s="1">
        <f>'Unformatted Trip Summary'!H215</f>
        <v>2.2092021998</v>
      </c>
    </row>
    <row r="218" spans="1:8" x14ac:dyDescent="0.2">
      <c r="A218" t="str">
        <f>'Unformatted Trip Summary'!A216</f>
        <v>03 WAIKATO</v>
      </c>
      <c r="B218" t="str">
        <f>'Unformatted Trip Summary'!J216</f>
        <v>2032/33</v>
      </c>
      <c r="C218" t="str">
        <f>'Unformatted Trip Summary'!I216</f>
        <v>Local Bus</v>
      </c>
      <c r="D218">
        <f>'Unformatted Trip Summary'!D216</f>
        <v>81</v>
      </c>
      <c r="E218">
        <f>'Unformatted Trip Summary'!E216</f>
        <v>183</v>
      </c>
      <c r="F218" s="1">
        <f>'Unformatted Trip Summary'!F216</f>
        <v>5.9743234849000002</v>
      </c>
      <c r="G218" s="1">
        <f>'Unformatted Trip Summary'!G216</f>
        <v>50.441487391999999</v>
      </c>
      <c r="H218" s="1">
        <f>'Unformatted Trip Summary'!H216</f>
        <v>2.2159903906</v>
      </c>
    </row>
    <row r="219" spans="1:8" x14ac:dyDescent="0.2">
      <c r="A219" t="str">
        <f>'Unformatted Trip Summary'!A217</f>
        <v>03 WAIKATO</v>
      </c>
      <c r="B219" t="str">
        <f>'Unformatted Trip Summary'!J217</f>
        <v>2037/38</v>
      </c>
      <c r="C219" t="str">
        <f>'Unformatted Trip Summary'!I217</f>
        <v>Local Bus</v>
      </c>
      <c r="D219">
        <f>'Unformatted Trip Summary'!D217</f>
        <v>81</v>
      </c>
      <c r="E219">
        <f>'Unformatted Trip Summary'!E217</f>
        <v>183</v>
      </c>
      <c r="F219" s="1">
        <f>'Unformatted Trip Summary'!F217</f>
        <v>6.0444060360999998</v>
      </c>
      <c r="G219" s="1">
        <f>'Unformatted Trip Summary'!G217</f>
        <v>49.944348787000003</v>
      </c>
      <c r="H219" s="1">
        <f>'Unformatted Trip Summary'!H217</f>
        <v>2.2176624336000001</v>
      </c>
    </row>
    <row r="220" spans="1:8" x14ac:dyDescent="0.2">
      <c r="A220" t="str">
        <f>'Unformatted Trip Summary'!A218</f>
        <v>03 WAIKATO</v>
      </c>
      <c r="B220" t="str">
        <f>'Unformatted Trip Summary'!J218</f>
        <v>2042/43</v>
      </c>
      <c r="C220" t="str">
        <f>'Unformatted Trip Summary'!I218</f>
        <v>Local Bus</v>
      </c>
      <c r="D220">
        <f>'Unformatted Trip Summary'!D218</f>
        <v>81</v>
      </c>
      <c r="E220">
        <f>'Unformatted Trip Summary'!E218</f>
        <v>183</v>
      </c>
      <c r="F220" s="1">
        <f>'Unformatted Trip Summary'!F218</f>
        <v>6.0718038504000003</v>
      </c>
      <c r="G220" s="1">
        <f>'Unformatted Trip Summary'!G218</f>
        <v>49.117850707000002</v>
      </c>
      <c r="H220" s="1">
        <f>'Unformatted Trip Summary'!H218</f>
        <v>2.2060898167</v>
      </c>
    </row>
    <row r="221" spans="1:8" x14ac:dyDescent="0.2">
      <c r="A221" t="str">
        <f>'Unformatted Trip Summary'!A219</f>
        <v>03 WAIKATO</v>
      </c>
      <c r="B221" t="str">
        <f>'Unformatted Trip Summary'!J219</f>
        <v>2012/13</v>
      </c>
      <c r="C221" t="str">
        <f>'Unformatted Trip Summary'!I219</f>
        <v>Local Ferry</v>
      </c>
      <c r="D221">
        <f>'Unformatted Trip Summary'!D219</f>
        <v>3</v>
      </c>
      <c r="E221">
        <f>'Unformatted Trip Summary'!E219</f>
        <v>7</v>
      </c>
      <c r="F221" s="1">
        <f>'Unformatted Trip Summary'!F219</f>
        <v>0.2446181519</v>
      </c>
      <c r="G221" s="1">
        <f>'Unformatted Trip Summary'!G219</f>
        <v>0</v>
      </c>
      <c r="H221" s="1">
        <f>'Unformatted Trip Summary'!H219</f>
        <v>9.3342661800000004E-2</v>
      </c>
    </row>
    <row r="222" spans="1:8" x14ac:dyDescent="0.2">
      <c r="A222" t="str">
        <f>'Unformatted Trip Summary'!A220</f>
        <v>03 WAIKATO</v>
      </c>
      <c r="B222" t="str">
        <f>'Unformatted Trip Summary'!J220</f>
        <v>2017/18</v>
      </c>
      <c r="C222" t="str">
        <f>'Unformatted Trip Summary'!I220</f>
        <v>Local Ferry</v>
      </c>
      <c r="D222">
        <f>'Unformatted Trip Summary'!D220</f>
        <v>3</v>
      </c>
      <c r="E222">
        <f>'Unformatted Trip Summary'!E220</f>
        <v>7</v>
      </c>
      <c r="F222" s="1">
        <f>'Unformatted Trip Summary'!F220</f>
        <v>0.2694678204</v>
      </c>
      <c r="G222" s="1">
        <f>'Unformatted Trip Summary'!G220</f>
        <v>0</v>
      </c>
      <c r="H222" s="1">
        <f>'Unformatted Trip Summary'!H220</f>
        <v>0.1057073952</v>
      </c>
    </row>
    <row r="223" spans="1:8" x14ac:dyDescent="0.2">
      <c r="A223" t="str">
        <f>'Unformatted Trip Summary'!A221</f>
        <v>03 WAIKATO</v>
      </c>
      <c r="B223" t="str">
        <f>'Unformatted Trip Summary'!J221</f>
        <v>2022/23</v>
      </c>
      <c r="C223" t="str">
        <f>'Unformatted Trip Summary'!I221</f>
        <v>Local Ferry</v>
      </c>
      <c r="D223">
        <f>'Unformatted Trip Summary'!D221</f>
        <v>3</v>
      </c>
      <c r="E223">
        <f>'Unformatted Trip Summary'!E221</f>
        <v>7</v>
      </c>
      <c r="F223" s="1">
        <f>'Unformatted Trip Summary'!F221</f>
        <v>0.28550085359999999</v>
      </c>
      <c r="G223" s="1">
        <f>'Unformatted Trip Summary'!G221</f>
        <v>0</v>
      </c>
      <c r="H223" s="1">
        <f>'Unformatted Trip Summary'!H221</f>
        <v>0.1136315926</v>
      </c>
    </row>
    <row r="224" spans="1:8" x14ac:dyDescent="0.2">
      <c r="A224" t="str">
        <f>'Unformatted Trip Summary'!A222</f>
        <v>03 WAIKATO</v>
      </c>
      <c r="B224" t="str">
        <f>'Unformatted Trip Summary'!J222</f>
        <v>2027/28</v>
      </c>
      <c r="C224" t="str">
        <f>'Unformatted Trip Summary'!I222</f>
        <v>Local Ferry</v>
      </c>
      <c r="D224">
        <f>'Unformatted Trip Summary'!D222</f>
        <v>3</v>
      </c>
      <c r="E224">
        <f>'Unformatted Trip Summary'!E222</f>
        <v>7</v>
      </c>
      <c r="F224" s="1">
        <f>'Unformatted Trip Summary'!F222</f>
        <v>0.30034907329999999</v>
      </c>
      <c r="G224" s="1">
        <f>'Unformatted Trip Summary'!G222</f>
        <v>0</v>
      </c>
      <c r="H224" s="1">
        <f>'Unformatted Trip Summary'!H222</f>
        <v>0.1215173901</v>
      </c>
    </row>
    <row r="225" spans="1:8" x14ac:dyDescent="0.2">
      <c r="A225" t="str">
        <f>'Unformatted Trip Summary'!A223</f>
        <v>03 WAIKATO</v>
      </c>
      <c r="B225" t="str">
        <f>'Unformatted Trip Summary'!J223</f>
        <v>2032/33</v>
      </c>
      <c r="C225" t="str">
        <f>'Unformatted Trip Summary'!I223</f>
        <v>Local Ferry</v>
      </c>
      <c r="D225">
        <f>'Unformatted Trip Summary'!D223</f>
        <v>3</v>
      </c>
      <c r="E225">
        <f>'Unformatted Trip Summary'!E223</f>
        <v>7</v>
      </c>
      <c r="F225" s="1">
        <f>'Unformatted Trip Summary'!F223</f>
        <v>0.30200889079999998</v>
      </c>
      <c r="G225" s="1">
        <f>'Unformatted Trip Summary'!G223</f>
        <v>0</v>
      </c>
      <c r="H225" s="1">
        <f>'Unformatted Trip Summary'!H223</f>
        <v>0.12197092750000001</v>
      </c>
    </row>
    <row r="226" spans="1:8" x14ac:dyDescent="0.2">
      <c r="A226" t="str">
        <f>'Unformatted Trip Summary'!A224</f>
        <v>03 WAIKATO</v>
      </c>
      <c r="B226" t="str">
        <f>'Unformatted Trip Summary'!J224</f>
        <v>2037/38</v>
      </c>
      <c r="C226" t="str">
        <f>'Unformatted Trip Summary'!I224</f>
        <v>Local Ferry</v>
      </c>
      <c r="D226">
        <f>'Unformatted Trip Summary'!D224</f>
        <v>3</v>
      </c>
      <c r="E226">
        <f>'Unformatted Trip Summary'!E224</f>
        <v>7</v>
      </c>
      <c r="F226" s="1">
        <f>'Unformatted Trip Summary'!F224</f>
        <v>0.28973344210000002</v>
      </c>
      <c r="G226" s="1">
        <f>'Unformatted Trip Summary'!G224</f>
        <v>0</v>
      </c>
      <c r="H226" s="1">
        <f>'Unformatted Trip Summary'!H224</f>
        <v>0.1159993605</v>
      </c>
    </row>
    <row r="227" spans="1:8" x14ac:dyDescent="0.2">
      <c r="A227" t="str">
        <f>'Unformatted Trip Summary'!A225</f>
        <v>03 WAIKATO</v>
      </c>
      <c r="B227" t="str">
        <f>'Unformatted Trip Summary'!J225</f>
        <v>2042/43</v>
      </c>
      <c r="C227" t="str">
        <f>'Unformatted Trip Summary'!I225</f>
        <v>Local Ferry</v>
      </c>
      <c r="D227">
        <f>'Unformatted Trip Summary'!D225</f>
        <v>3</v>
      </c>
      <c r="E227">
        <f>'Unformatted Trip Summary'!E225</f>
        <v>7</v>
      </c>
      <c r="F227" s="1">
        <f>'Unformatted Trip Summary'!F225</f>
        <v>0.27524112169999998</v>
      </c>
      <c r="G227" s="1">
        <f>'Unformatted Trip Summary'!G225</f>
        <v>0</v>
      </c>
      <c r="H227" s="1">
        <f>'Unformatted Trip Summary'!H225</f>
        <v>0.1091183938</v>
      </c>
    </row>
    <row r="228" spans="1:8" x14ac:dyDescent="0.2">
      <c r="A228" t="str">
        <f>'Unformatted Trip Summary'!A226</f>
        <v>03 WAIKATO</v>
      </c>
      <c r="B228" t="str">
        <f>'Unformatted Trip Summary'!J226</f>
        <v>2012/13</v>
      </c>
      <c r="C228" t="str">
        <f>'Unformatted Trip Summary'!I226</f>
        <v>Other Household Travel</v>
      </c>
      <c r="D228">
        <f>'Unformatted Trip Summary'!D226</f>
        <v>17</v>
      </c>
      <c r="E228">
        <f>'Unformatted Trip Summary'!E226</f>
        <v>46</v>
      </c>
      <c r="F228" s="1">
        <f>'Unformatted Trip Summary'!F226</f>
        <v>1.8854250596</v>
      </c>
      <c r="G228" s="1">
        <f>'Unformatted Trip Summary'!G226</f>
        <v>0</v>
      </c>
      <c r="H228" s="1">
        <f>'Unformatted Trip Summary'!H226</f>
        <v>0.63404452519999999</v>
      </c>
    </row>
    <row r="229" spans="1:8" x14ac:dyDescent="0.2">
      <c r="A229" t="str">
        <f>'Unformatted Trip Summary'!A227</f>
        <v>03 WAIKATO</v>
      </c>
      <c r="B229" t="str">
        <f>'Unformatted Trip Summary'!J227</f>
        <v>2017/18</v>
      </c>
      <c r="C229" t="str">
        <f>'Unformatted Trip Summary'!I227</f>
        <v>Other Household Travel</v>
      </c>
      <c r="D229">
        <f>'Unformatted Trip Summary'!D227</f>
        <v>17</v>
      </c>
      <c r="E229">
        <f>'Unformatted Trip Summary'!E227</f>
        <v>46</v>
      </c>
      <c r="F229" s="1">
        <f>'Unformatted Trip Summary'!F227</f>
        <v>2.0297609899000002</v>
      </c>
      <c r="G229" s="1">
        <f>'Unformatted Trip Summary'!G227</f>
        <v>0</v>
      </c>
      <c r="H229" s="1">
        <f>'Unformatted Trip Summary'!H227</f>
        <v>0.66395639200000001</v>
      </c>
    </row>
    <row r="230" spans="1:8" x14ac:dyDescent="0.2">
      <c r="A230" t="str">
        <f>'Unformatted Trip Summary'!A228</f>
        <v>03 WAIKATO</v>
      </c>
      <c r="B230" t="str">
        <f>'Unformatted Trip Summary'!J228</f>
        <v>2022/23</v>
      </c>
      <c r="C230" t="str">
        <f>'Unformatted Trip Summary'!I228</f>
        <v>Other Household Travel</v>
      </c>
      <c r="D230">
        <f>'Unformatted Trip Summary'!D228</f>
        <v>17</v>
      </c>
      <c r="E230">
        <f>'Unformatted Trip Summary'!E228</f>
        <v>46</v>
      </c>
      <c r="F230" s="1">
        <f>'Unformatted Trip Summary'!F228</f>
        <v>2.1615781809999999</v>
      </c>
      <c r="G230" s="1">
        <f>'Unformatted Trip Summary'!G228</f>
        <v>0</v>
      </c>
      <c r="H230" s="1">
        <f>'Unformatted Trip Summary'!H228</f>
        <v>0.68931484759999995</v>
      </c>
    </row>
    <row r="231" spans="1:8" x14ac:dyDescent="0.2">
      <c r="A231" t="str">
        <f>'Unformatted Trip Summary'!A229</f>
        <v>03 WAIKATO</v>
      </c>
      <c r="B231" t="str">
        <f>'Unformatted Trip Summary'!J229</f>
        <v>2027/28</v>
      </c>
      <c r="C231" t="str">
        <f>'Unformatted Trip Summary'!I229</f>
        <v>Other Household Travel</v>
      </c>
      <c r="D231">
        <f>'Unformatted Trip Summary'!D229</f>
        <v>17</v>
      </c>
      <c r="E231">
        <f>'Unformatted Trip Summary'!E229</f>
        <v>46</v>
      </c>
      <c r="F231" s="1">
        <f>'Unformatted Trip Summary'!F229</f>
        <v>2.3988338467000001</v>
      </c>
      <c r="G231" s="1">
        <f>'Unformatted Trip Summary'!G229</f>
        <v>0</v>
      </c>
      <c r="H231" s="1">
        <f>'Unformatted Trip Summary'!H229</f>
        <v>0.7182072625</v>
      </c>
    </row>
    <row r="232" spans="1:8" x14ac:dyDescent="0.2">
      <c r="A232" t="str">
        <f>'Unformatted Trip Summary'!A230</f>
        <v>03 WAIKATO</v>
      </c>
      <c r="B232" t="str">
        <f>'Unformatted Trip Summary'!J230</f>
        <v>2032/33</v>
      </c>
      <c r="C232" t="str">
        <f>'Unformatted Trip Summary'!I230</f>
        <v>Other Household Travel</v>
      </c>
      <c r="D232">
        <f>'Unformatted Trip Summary'!D230</f>
        <v>17</v>
      </c>
      <c r="E232">
        <f>'Unformatted Trip Summary'!E230</f>
        <v>46</v>
      </c>
      <c r="F232" s="1">
        <f>'Unformatted Trip Summary'!F230</f>
        <v>2.749688871</v>
      </c>
      <c r="G232" s="1">
        <f>'Unformatted Trip Summary'!G230</f>
        <v>0</v>
      </c>
      <c r="H232" s="1">
        <f>'Unformatted Trip Summary'!H230</f>
        <v>0.7580266175</v>
      </c>
    </row>
    <row r="233" spans="1:8" x14ac:dyDescent="0.2">
      <c r="A233" t="str">
        <f>'Unformatted Trip Summary'!A231</f>
        <v>03 WAIKATO</v>
      </c>
      <c r="B233" t="str">
        <f>'Unformatted Trip Summary'!J231</f>
        <v>2037/38</v>
      </c>
      <c r="C233" t="str">
        <f>'Unformatted Trip Summary'!I231</f>
        <v>Other Household Travel</v>
      </c>
      <c r="D233">
        <f>'Unformatted Trip Summary'!D231</f>
        <v>17</v>
      </c>
      <c r="E233">
        <f>'Unformatted Trip Summary'!E231</f>
        <v>46</v>
      </c>
      <c r="F233" s="1">
        <f>'Unformatted Trip Summary'!F231</f>
        <v>3.1031150538999999</v>
      </c>
      <c r="G233" s="1">
        <f>'Unformatted Trip Summary'!G231</f>
        <v>0</v>
      </c>
      <c r="H233" s="1">
        <f>'Unformatted Trip Summary'!H231</f>
        <v>0.80235581349999996</v>
      </c>
    </row>
    <row r="234" spans="1:8" x14ac:dyDescent="0.2">
      <c r="A234" t="str">
        <f>'Unformatted Trip Summary'!A232</f>
        <v>03 WAIKATO</v>
      </c>
      <c r="B234" t="str">
        <f>'Unformatted Trip Summary'!J232</f>
        <v>2042/43</v>
      </c>
      <c r="C234" t="str">
        <f>'Unformatted Trip Summary'!I232</f>
        <v>Other Household Travel</v>
      </c>
      <c r="D234">
        <f>'Unformatted Trip Summary'!D232</f>
        <v>17</v>
      </c>
      <c r="E234">
        <f>'Unformatted Trip Summary'!E232</f>
        <v>46</v>
      </c>
      <c r="F234" s="1">
        <f>'Unformatted Trip Summary'!F232</f>
        <v>3.4168576693000001</v>
      </c>
      <c r="G234" s="1">
        <f>'Unformatted Trip Summary'!G232</f>
        <v>0</v>
      </c>
      <c r="H234" s="1">
        <f>'Unformatted Trip Summary'!H232</f>
        <v>0.83803039960000003</v>
      </c>
    </row>
    <row r="235" spans="1:8" x14ac:dyDescent="0.2">
      <c r="A235" t="str">
        <f>'Unformatted Trip Summary'!A233</f>
        <v>03 WAIKATO</v>
      </c>
      <c r="B235" t="str">
        <f>'Unformatted Trip Summary'!J233</f>
        <v>2012/13</v>
      </c>
      <c r="C235" t="str">
        <f>'Unformatted Trip Summary'!I233</f>
        <v>Air/Non-Local PT</v>
      </c>
      <c r="D235">
        <f>'Unformatted Trip Summary'!D233</f>
        <v>18</v>
      </c>
      <c r="E235">
        <f>'Unformatted Trip Summary'!E233</f>
        <v>32</v>
      </c>
      <c r="F235" s="1">
        <f>'Unformatted Trip Summary'!F233</f>
        <v>0.92406733060000001</v>
      </c>
      <c r="G235" s="1">
        <f>'Unformatted Trip Summary'!G233</f>
        <v>54.768337629999998</v>
      </c>
      <c r="H235" s="1">
        <f>'Unformatted Trip Summary'!H233</f>
        <v>2.3234459650999999</v>
      </c>
    </row>
    <row r="236" spans="1:8" x14ac:dyDescent="0.2">
      <c r="A236" t="str">
        <f>'Unformatted Trip Summary'!A234</f>
        <v>03 WAIKATO</v>
      </c>
      <c r="B236" t="str">
        <f>'Unformatted Trip Summary'!J234</f>
        <v>2017/18</v>
      </c>
      <c r="C236" t="str">
        <f>'Unformatted Trip Summary'!I234</f>
        <v>Air/Non-Local PT</v>
      </c>
      <c r="D236">
        <f>'Unformatted Trip Summary'!D234</f>
        <v>18</v>
      </c>
      <c r="E236">
        <f>'Unformatted Trip Summary'!E234</f>
        <v>32</v>
      </c>
      <c r="F236" s="1">
        <f>'Unformatted Trip Summary'!F234</f>
        <v>1.0254001501000001</v>
      </c>
      <c r="G236" s="1">
        <f>'Unformatted Trip Summary'!G234</f>
        <v>58.519535152000003</v>
      </c>
      <c r="H236" s="1">
        <f>'Unformatted Trip Summary'!H234</f>
        <v>2.5897311071</v>
      </c>
    </row>
    <row r="237" spans="1:8" x14ac:dyDescent="0.2">
      <c r="A237" t="str">
        <f>'Unformatted Trip Summary'!A235</f>
        <v>03 WAIKATO</v>
      </c>
      <c r="B237" t="str">
        <f>'Unformatted Trip Summary'!J235</f>
        <v>2022/23</v>
      </c>
      <c r="C237" t="str">
        <f>'Unformatted Trip Summary'!I235</f>
        <v>Air/Non-Local PT</v>
      </c>
      <c r="D237">
        <f>'Unformatted Trip Summary'!D235</f>
        <v>18</v>
      </c>
      <c r="E237">
        <f>'Unformatted Trip Summary'!E235</f>
        <v>32</v>
      </c>
      <c r="F237" s="1">
        <f>'Unformatted Trip Summary'!F235</f>
        <v>1.1433761354</v>
      </c>
      <c r="G237" s="1">
        <f>'Unformatted Trip Summary'!G235</f>
        <v>61.705591978000001</v>
      </c>
      <c r="H237" s="1">
        <f>'Unformatted Trip Summary'!H235</f>
        <v>2.8340951893000002</v>
      </c>
    </row>
    <row r="238" spans="1:8" x14ac:dyDescent="0.2">
      <c r="A238" t="str">
        <f>'Unformatted Trip Summary'!A236</f>
        <v>03 WAIKATO</v>
      </c>
      <c r="B238" t="str">
        <f>'Unformatted Trip Summary'!J236</f>
        <v>2027/28</v>
      </c>
      <c r="C238" t="str">
        <f>'Unformatted Trip Summary'!I236</f>
        <v>Air/Non-Local PT</v>
      </c>
      <c r="D238">
        <f>'Unformatted Trip Summary'!D236</f>
        <v>18</v>
      </c>
      <c r="E238">
        <f>'Unformatted Trip Summary'!E236</f>
        <v>32</v>
      </c>
      <c r="F238" s="1">
        <f>'Unformatted Trip Summary'!F236</f>
        <v>1.2665054656000001</v>
      </c>
      <c r="G238" s="1">
        <f>'Unformatted Trip Summary'!G236</f>
        <v>64.013490872999995</v>
      </c>
      <c r="H238" s="1">
        <f>'Unformatted Trip Summary'!H236</f>
        <v>3.2052434563999999</v>
      </c>
    </row>
    <row r="239" spans="1:8" x14ac:dyDescent="0.2">
      <c r="A239" t="str">
        <f>'Unformatted Trip Summary'!A237</f>
        <v>03 WAIKATO</v>
      </c>
      <c r="B239" t="str">
        <f>'Unformatted Trip Summary'!J237</f>
        <v>2032/33</v>
      </c>
      <c r="C239" t="str">
        <f>'Unformatted Trip Summary'!I237</f>
        <v>Air/Non-Local PT</v>
      </c>
      <c r="D239">
        <f>'Unformatted Trip Summary'!D237</f>
        <v>18</v>
      </c>
      <c r="E239">
        <f>'Unformatted Trip Summary'!E237</f>
        <v>32</v>
      </c>
      <c r="F239" s="1">
        <f>'Unformatted Trip Summary'!F237</f>
        <v>1.3601197774</v>
      </c>
      <c r="G239" s="1">
        <f>'Unformatted Trip Summary'!G237</f>
        <v>66.894668373000002</v>
      </c>
      <c r="H239" s="1">
        <f>'Unformatted Trip Summary'!H237</f>
        <v>3.4991137982999998</v>
      </c>
    </row>
    <row r="240" spans="1:8" x14ac:dyDescent="0.2">
      <c r="A240" t="str">
        <f>'Unformatted Trip Summary'!A238</f>
        <v>03 WAIKATO</v>
      </c>
      <c r="B240" t="str">
        <f>'Unformatted Trip Summary'!J238</f>
        <v>2037/38</v>
      </c>
      <c r="C240" t="str">
        <f>'Unformatted Trip Summary'!I238</f>
        <v>Air/Non-Local PT</v>
      </c>
      <c r="D240">
        <f>'Unformatted Trip Summary'!D238</f>
        <v>18</v>
      </c>
      <c r="E240">
        <f>'Unformatted Trip Summary'!E238</f>
        <v>32</v>
      </c>
      <c r="F240" s="1">
        <f>'Unformatted Trip Summary'!F238</f>
        <v>1.4137554697000001</v>
      </c>
      <c r="G240" s="1">
        <f>'Unformatted Trip Summary'!G238</f>
        <v>69.490180658</v>
      </c>
      <c r="H240" s="1">
        <f>'Unformatted Trip Summary'!H238</f>
        <v>3.5620390656000001</v>
      </c>
    </row>
    <row r="241" spans="1:8" x14ac:dyDescent="0.2">
      <c r="A241" t="str">
        <f>'Unformatted Trip Summary'!A239</f>
        <v>03 WAIKATO</v>
      </c>
      <c r="B241" t="str">
        <f>'Unformatted Trip Summary'!J239</f>
        <v>2042/43</v>
      </c>
      <c r="C241" t="str">
        <f>'Unformatted Trip Summary'!I239</f>
        <v>Air/Non-Local PT</v>
      </c>
      <c r="D241">
        <f>'Unformatted Trip Summary'!D239</f>
        <v>18</v>
      </c>
      <c r="E241">
        <f>'Unformatted Trip Summary'!E239</f>
        <v>32</v>
      </c>
      <c r="F241" s="1">
        <f>'Unformatted Trip Summary'!F239</f>
        <v>1.4590705063</v>
      </c>
      <c r="G241" s="1">
        <f>'Unformatted Trip Summary'!G239</f>
        <v>71.735989257</v>
      </c>
      <c r="H241" s="1">
        <f>'Unformatted Trip Summary'!H239</f>
        <v>3.5992456377000002</v>
      </c>
    </row>
    <row r="242" spans="1:8" x14ac:dyDescent="0.2">
      <c r="A242" t="str">
        <f>'Unformatted Trip Summary'!A240</f>
        <v>03 WAIKATO</v>
      </c>
      <c r="B242" t="str">
        <f>'Unformatted Trip Summary'!J240</f>
        <v>2012/13</v>
      </c>
      <c r="C242" t="str">
        <f>'Unformatted Trip Summary'!I240</f>
        <v>Non-Household Travel</v>
      </c>
      <c r="D242">
        <f>'Unformatted Trip Summary'!D240</f>
        <v>52</v>
      </c>
      <c r="E242">
        <f>'Unformatted Trip Summary'!E240</f>
        <v>244</v>
      </c>
      <c r="F242" s="1">
        <f>'Unformatted Trip Summary'!F240</f>
        <v>8.7527428694000005</v>
      </c>
      <c r="G242" s="1">
        <f>'Unformatted Trip Summary'!G240</f>
        <v>166.86894676</v>
      </c>
      <c r="H242" s="1">
        <f>'Unformatted Trip Summary'!H240</f>
        <v>3.3327759721999999</v>
      </c>
    </row>
    <row r="243" spans="1:8" x14ac:dyDescent="0.2">
      <c r="A243" t="str">
        <f>'Unformatted Trip Summary'!A241</f>
        <v>03 WAIKATO</v>
      </c>
      <c r="B243" t="str">
        <f>'Unformatted Trip Summary'!J241</f>
        <v>2017/18</v>
      </c>
      <c r="C243" t="str">
        <f>'Unformatted Trip Summary'!I241</f>
        <v>Non-Household Travel</v>
      </c>
      <c r="D243">
        <f>'Unformatted Trip Summary'!D241</f>
        <v>52</v>
      </c>
      <c r="E243">
        <f>'Unformatted Trip Summary'!E241</f>
        <v>244</v>
      </c>
      <c r="F243" s="1">
        <f>'Unformatted Trip Summary'!F241</f>
        <v>9.1104739896000009</v>
      </c>
      <c r="G243" s="1">
        <f>'Unformatted Trip Summary'!G241</f>
        <v>171.16717632000001</v>
      </c>
      <c r="H243" s="1">
        <f>'Unformatted Trip Summary'!H241</f>
        <v>3.4369504678</v>
      </c>
    </row>
    <row r="244" spans="1:8" x14ac:dyDescent="0.2">
      <c r="A244" t="str">
        <f>'Unformatted Trip Summary'!A242</f>
        <v>03 WAIKATO</v>
      </c>
      <c r="B244" t="str">
        <f>'Unformatted Trip Summary'!J242</f>
        <v>2022/23</v>
      </c>
      <c r="C244" t="str">
        <f>'Unformatted Trip Summary'!I242</f>
        <v>Non-Household Travel</v>
      </c>
      <c r="D244">
        <f>'Unformatted Trip Summary'!D242</f>
        <v>52</v>
      </c>
      <c r="E244">
        <f>'Unformatted Trip Summary'!E242</f>
        <v>244</v>
      </c>
      <c r="F244" s="1">
        <f>'Unformatted Trip Summary'!F242</f>
        <v>9.2178153900000002</v>
      </c>
      <c r="G244" s="1">
        <f>'Unformatted Trip Summary'!G242</f>
        <v>172.85319709999999</v>
      </c>
      <c r="H244" s="1">
        <f>'Unformatted Trip Summary'!H242</f>
        <v>3.4740804974000001</v>
      </c>
    </row>
    <row r="245" spans="1:8" x14ac:dyDescent="0.2">
      <c r="A245" t="str">
        <f>'Unformatted Trip Summary'!A243</f>
        <v>03 WAIKATO</v>
      </c>
      <c r="B245" t="str">
        <f>'Unformatted Trip Summary'!J243</f>
        <v>2027/28</v>
      </c>
      <c r="C245" t="str">
        <f>'Unformatted Trip Summary'!I243</f>
        <v>Non-Household Travel</v>
      </c>
      <c r="D245">
        <f>'Unformatted Trip Summary'!D243</f>
        <v>52</v>
      </c>
      <c r="E245">
        <f>'Unformatted Trip Summary'!E243</f>
        <v>244</v>
      </c>
      <c r="F245" s="1">
        <f>'Unformatted Trip Summary'!F243</f>
        <v>9.0269097165000005</v>
      </c>
      <c r="G245" s="1">
        <f>'Unformatted Trip Summary'!G243</f>
        <v>172.82110206999999</v>
      </c>
      <c r="H245" s="1">
        <f>'Unformatted Trip Summary'!H243</f>
        <v>3.4581819892999999</v>
      </c>
    </row>
    <row r="246" spans="1:8" x14ac:dyDescent="0.2">
      <c r="A246" t="str">
        <f>'Unformatted Trip Summary'!A244</f>
        <v>03 WAIKATO</v>
      </c>
      <c r="B246" t="str">
        <f>'Unformatted Trip Summary'!J244</f>
        <v>2032/33</v>
      </c>
      <c r="C246" t="str">
        <f>'Unformatted Trip Summary'!I244</f>
        <v>Non-Household Travel</v>
      </c>
      <c r="D246">
        <f>'Unformatted Trip Summary'!D244</f>
        <v>52</v>
      </c>
      <c r="E246">
        <f>'Unformatted Trip Summary'!E244</f>
        <v>244</v>
      </c>
      <c r="F246" s="1">
        <f>'Unformatted Trip Summary'!F244</f>
        <v>8.8838041950999997</v>
      </c>
      <c r="G246" s="1">
        <f>'Unformatted Trip Summary'!G244</f>
        <v>174.53595933</v>
      </c>
      <c r="H246" s="1">
        <f>'Unformatted Trip Summary'!H244</f>
        <v>3.4697887304999999</v>
      </c>
    </row>
    <row r="247" spans="1:8" x14ac:dyDescent="0.2">
      <c r="A247" t="str">
        <f>'Unformatted Trip Summary'!A245</f>
        <v>03 WAIKATO</v>
      </c>
      <c r="B247" t="str">
        <f>'Unformatted Trip Summary'!J245</f>
        <v>2037/38</v>
      </c>
      <c r="C247" t="str">
        <f>'Unformatted Trip Summary'!I245</f>
        <v>Non-Household Travel</v>
      </c>
      <c r="D247">
        <f>'Unformatted Trip Summary'!D245</f>
        <v>52</v>
      </c>
      <c r="E247">
        <f>'Unformatted Trip Summary'!E245</f>
        <v>244</v>
      </c>
      <c r="F247" s="1">
        <f>'Unformatted Trip Summary'!F245</f>
        <v>8.8122081677999997</v>
      </c>
      <c r="G247" s="1">
        <f>'Unformatted Trip Summary'!G245</f>
        <v>176.17083041999999</v>
      </c>
      <c r="H247" s="1">
        <f>'Unformatted Trip Summary'!H245</f>
        <v>3.4936100738000002</v>
      </c>
    </row>
    <row r="248" spans="1:8" x14ac:dyDescent="0.2">
      <c r="A248" t="str">
        <f>'Unformatted Trip Summary'!A246</f>
        <v>03 WAIKATO</v>
      </c>
      <c r="B248" t="str">
        <f>'Unformatted Trip Summary'!J246</f>
        <v>2042/43</v>
      </c>
      <c r="C248" t="str">
        <f>'Unformatted Trip Summary'!I246</f>
        <v>Non-Household Travel</v>
      </c>
      <c r="D248">
        <f>'Unformatted Trip Summary'!D246</f>
        <v>52</v>
      </c>
      <c r="E248">
        <f>'Unformatted Trip Summary'!E246</f>
        <v>244</v>
      </c>
      <c r="F248" s="1">
        <f>'Unformatted Trip Summary'!F246</f>
        <v>8.7230307867000008</v>
      </c>
      <c r="G248" s="1">
        <f>'Unformatted Trip Summary'!G246</f>
        <v>177.15643273000001</v>
      </c>
      <c r="H248" s="1">
        <f>'Unformatted Trip Summary'!H246</f>
        <v>3.5056236911999998</v>
      </c>
    </row>
    <row r="249" spans="1:8" x14ac:dyDescent="0.2">
      <c r="A249" t="str">
        <f>'Unformatted Trip Summary'!A247</f>
        <v>04 BAY OF PLENTY</v>
      </c>
      <c r="B249" t="str">
        <f>'Unformatted Trip Summary'!J247</f>
        <v>2012/13</v>
      </c>
      <c r="C249" t="str">
        <f>'Unformatted Trip Summary'!I247</f>
        <v>Pedestrian</v>
      </c>
      <c r="D249">
        <f>'Unformatted Trip Summary'!D247</f>
        <v>436</v>
      </c>
      <c r="E249">
        <f>'Unformatted Trip Summary'!E247</f>
        <v>1419</v>
      </c>
      <c r="F249" s="1">
        <f>'Unformatted Trip Summary'!F247</f>
        <v>43.402809341999998</v>
      </c>
      <c r="G249" s="1">
        <f>'Unformatted Trip Summary'!G247</f>
        <v>35.579183637</v>
      </c>
      <c r="H249" s="1">
        <f>'Unformatted Trip Summary'!H247</f>
        <v>9.1706746114000008</v>
      </c>
    </row>
    <row r="250" spans="1:8" x14ac:dyDescent="0.2">
      <c r="A250" t="str">
        <f>'Unformatted Trip Summary'!A248</f>
        <v>04 BAY OF PLENTY</v>
      </c>
      <c r="B250" t="str">
        <f>'Unformatted Trip Summary'!J248</f>
        <v>2017/18</v>
      </c>
      <c r="C250" t="str">
        <f>'Unformatted Trip Summary'!I248</f>
        <v>Pedestrian</v>
      </c>
      <c r="D250">
        <f>'Unformatted Trip Summary'!D248</f>
        <v>436</v>
      </c>
      <c r="E250">
        <f>'Unformatted Trip Summary'!E248</f>
        <v>1419</v>
      </c>
      <c r="F250" s="1">
        <f>'Unformatted Trip Summary'!F248</f>
        <v>43.749727192999998</v>
      </c>
      <c r="G250" s="1">
        <f>'Unformatted Trip Summary'!G248</f>
        <v>35.091949002</v>
      </c>
      <c r="H250" s="1">
        <f>'Unformatted Trip Summary'!H248</f>
        <v>9.2009536856</v>
      </c>
    </row>
    <row r="251" spans="1:8" x14ac:dyDescent="0.2">
      <c r="A251" t="str">
        <f>'Unformatted Trip Summary'!A249</f>
        <v>04 BAY OF PLENTY</v>
      </c>
      <c r="B251" t="str">
        <f>'Unformatted Trip Summary'!J249</f>
        <v>2022/23</v>
      </c>
      <c r="C251" t="str">
        <f>'Unformatted Trip Summary'!I249</f>
        <v>Pedestrian</v>
      </c>
      <c r="D251">
        <f>'Unformatted Trip Summary'!D249</f>
        <v>436</v>
      </c>
      <c r="E251">
        <f>'Unformatted Trip Summary'!E249</f>
        <v>1419</v>
      </c>
      <c r="F251" s="1">
        <f>'Unformatted Trip Summary'!F249</f>
        <v>44.805260165</v>
      </c>
      <c r="G251" s="1">
        <f>'Unformatted Trip Summary'!G249</f>
        <v>35.379661630000001</v>
      </c>
      <c r="H251" s="1">
        <f>'Unformatted Trip Summary'!H249</f>
        <v>9.3928684310000001</v>
      </c>
    </row>
    <row r="252" spans="1:8" x14ac:dyDescent="0.2">
      <c r="A252" t="str">
        <f>'Unformatted Trip Summary'!A250</f>
        <v>04 BAY OF PLENTY</v>
      </c>
      <c r="B252" t="str">
        <f>'Unformatted Trip Summary'!J250</f>
        <v>2027/28</v>
      </c>
      <c r="C252" t="str">
        <f>'Unformatted Trip Summary'!I250</f>
        <v>Pedestrian</v>
      </c>
      <c r="D252">
        <f>'Unformatted Trip Summary'!D250</f>
        <v>436</v>
      </c>
      <c r="E252">
        <f>'Unformatted Trip Summary'!E250</f>
        <v>1419</v>
      </c>
      <c r="F252" s="1">
        <f>'Unformatted Trip Summary'!F250</f>
        <v>45.999180668999998</v>
      </c>
      <c r="G252" s="1">
        <f>'Unformatted Trip Summary'!G250</f>
        <v>35.767243018999999</v>
      </c>
      <c r="H252" s="1">
        <f>'Unformatted Trip Summary'!H250</f>
        <v>9.5756783884000001</v>
      </c>
    </row>
    <row r="253" spans="1:8" x14ac:dyDescent="0.2">
      <c r="A253" t="str">
        <f>'Unformatted Trip Summary'!A251</f>
        <v>04 BAY OF PLENTY</v>
      </c>
      <c r="B253" t="str">
        <f>'Unformatted Trip Summary'!J251</f>
        <v>2032/33</v>
      </c>
      <c r="C253" t="str">
        <f>'Unformatted Trip Summary'!I251</f>
        <v>Pedestrian</v>
      </c>
      <c r="D253">
        <f>'Unformatted Trip Summary'!D251</f>
        <v>436</v>
      </c>
      <c r="E253">
        <f>'Unformatted Trip Summary'!E251</f>
        <v>1419</v>
      </c>
      <c r="F253" s="1">
        <f>'Unformatted Trip Summary'!F251</f>
        <v>46.737283198999997</v>
      </c>
      <c r="G253" s="1">
        <f>'Unformatted Trip Summary'!G251</f>
        <v>35.656544596000003</v>
      </c>
      <c r="H253" s="1">
        <f>'Unformatted Trip Summary'!H251</f>
        <v>9.6191193388999991</v>
      </c>
    </row>
    <row r="254" spans="1:8" x14ac:dyDescent="0.2">
      <c r="A254" t="str">
        <f>'Unformatted Trip Summary'!A252</f>
        <v>04 BAY OF PLENTY</v>
      </c>
      <c r="B254" t="str">
        <f>'Unformatted Trip Summary'!J252</f>
        <v>2037/38</v>
      </c>
      <c r="C254" t="str">
        <f>'Unformatted Trip Summary'!I252</f>
        <v>Pedestrian</v>
      </c>
      <c r="D254">
        <f>'Unformatted Trip Summary'!D252</f>
        <v>436</v>
      </c>
      <c r="E254">
        <f>'Unformatted Trip Summary'!E252</f>
        <v>1419</v>
      </c>
      <c r="F254" s="1">
        <f>'Unformatted Trip Summary'!F252</f>
        <v>47.332336519000002</v>
      </c>
      <c r="G254" s="1">
        <f>'Unformatted Trip Summary'!G252</f>
        <v>35.650290413999997</v>
      </c>
      <c r="H254" s="1">
        <f>'Unformatted Trip Summary'!H252</f>
        <v>9.6466590879999998</v>
      </c>
    </row>
    <row r="255" spans="1:8" x14ac:dyDescent="0.2">
      <c r="A255" t="str">
        <f>'Unformatted Trip Summary'!A253</f>
        <v>04 BAY OF PLENTY</v>
      </c>
      <c r="B255" t="str">
        <f>'Unformatted Trip Summary'!J253</f>
        <v>2042/43</v>
      </c>
      <c r="C255" t="str">
        <f>'Unformatted Trip Summary'!I253</f>
        <v>Pedestrian</v>
      </c>
      <c r="D255">
        <f>'Unformatted Trip Summary'!D253</f>
        <v>436</v>
      </c>
      <c r="E255">
        <f>'Unformatted Trip Summary'!E253</f>
        <v>1419</v>
      </c>
      <c r="F255" s="1">
        <f>'Unformatted Trip Summary'!F253</f>
        <v>47.693538171999997</v>
      </c>
      <c r="G255" s="1">
        <f>'Unformatted Trip Summary'!G253</f>
        <v>35.494976754</v>
      </c>
      <c r="H255" s="1">
        <f>'Unformatted Trip Summary'!H253</f>
        <v>9.6315181449999994</v>
      </c>
    </row>
    <row r="256" spans="1:8" x14ac:dyDescent="0.2">
      <c r="A256" t="str">
        <f>'Unformatted Trip Summary'!A254</f>
        <v>04 BAY OF PLENTY</v>
      </c>
      <c r="B256" t="str">
        <f>'Unformatted Trip Summary'!J254</f>
        <v>2012/13</v>
      </c>
      <c r="C256" t="str">
        <f>'Unformatted Trip Summary'!I254</f>
        <v>Cyclist</v>
      </c>
      <c r="D256">
        <f>'Unformatted Trip Summary'!D254</f>
        <v>53</v>
      </c>
      <c r="E256">
        <f>'Unformatted Trip Summary'!E254</f>
        <v>183</v>
      </c>
      <c r="F256" s="1">
        <f>'Unformatted Trip Summary'!F254</f>
        <v>5.1579391552000002</v>
      </c>
      <c r="G256" s="1">
        <f>'Unformatted Trip Summary'!G254</f>
        <v>8.5028812633000008</v>
      </c>
      <c r="H256" s="1">
        <f>'Unformatted Trip Summary'!H254</f>
        <v>0.91801276549999999</v>
      </c>
    </row>
    <row r="257" spans="1:8" x14ac:dyDescent="0.2">
      <c r="A257" t="str">
        <f>'Unformatted Trip Summary'!A255</f>
        <v>04 BAY OF PLENTY</v>
      </c>
      <c r="B257" t="str">
        <f>'Unformatted Trip Summary'!J255</f>
        <v>2017/18</v>
      </c>
      <c r="C257" t="str">
        <f>'Unformatted Trip Summary'!I255</f>
        <v>Cyclist</v>
      </c>
      <c r="D257">
        <f>'Unformatted Trip Summary'!D255</f>
        <v>53</v>
      </c>
      <c r="E257">
        <f>'Unformatted Trip Summary'!E255</f>
        <v>183</v>
      </c>
      <c r="F257" s="1">
        <f>'Unformatted Trip Summary'!F255</f>
        <v>4.9874518855999996</v>
      </c>
      <c r="G257" s="1">
        <f>'Unformatted Trip Summary'!G255</f>
        <v>8.2383239123000003</v>
      </c>
      <c r="H257" s="1">
        <f>'Unformatted Trip Summary'!H255</f>
        <v>0.88038195860000001</v>
      </c>
    </row>
    <row r="258" spans="1:8" x14ac:dyDescent="0.2">
      <c r="A258" t="str">
        <f>'Unformatted Trip Summary'!A256</f>
        <v>04 BAY OF PLENTY</v>
      </c>
      <c r="B258" t="str">
        <f>'Unformatted Trip Summary'!J256</f>
        <v>2022/23</v>
      </c>
      <c r="C258" t="str">
        <f>'Unformatted Trip Summary'!I256</f>
        <v>Cyclist</v>
      </c>
      <c r="D258">
        <f>'Unformatted Trip Summary'!D256</f>
        <v>53</v>
      </c>
      <c r="E258">
        <f>'Unformatted Trip Summary'!E256</f>
        <v>183</v>
      </c>
      <c r="F258" s="1">
        <f>'Unformatted Trip Summary'!F256</f>
        <v>4.9397313671000003</v>
      </c>
      <c r="G258" s="1">
        <f>'Unformatted Trip Summary'!G256</f>
        <v>8.1703735748999993</v>
      </c>
      <c r="H258" s="1">
        <f>'Unformatted Trip Summary'!H256</f>
        <v>0.86697339029999998</v>
      </c>
    </row>
    <row r="259" spans="1:8" x14ac:dyDescent="0.2">
      <c r="A259" t="str">
        <f>'Unformatted Trip Summary'!A257</f>
        <v>04 BAY OF PLENTY</v>
      </c>
      <c r="B259" t="str">
        <f>'Unformatted Trip Summary'!J257</f>
        <v>2027/28</v>
      </c>
      <c r="C259" t="str">
        <f>'Unformatted Trip Summary'!I257</f>
        <v>Cyclist</v>
      </c>
      <c r="D259">
        <f>'Unformatted Trip Summary'!D257</f>
        <v>53</v>
      </c>
      <c r="E259">
        <f>'Unformatted Trip Summary'!E257</f>
        <v>183</v>
      </c>
      <c r="F259" s="1">
        <f>'Unformatted Trip Summary'!F257</f>
        <v>4.9346495213999999</v>
      </c>
      <c r="G259" s="1">
        <f>'Unformatted Trip Summary'!G257</f>
        <v>8.1780492083999992</v>
      </c>
      <c r="H259" s="1">
        <f>'Unformatted Trip Summary'!H257</f>
        <v>0.86228359909999996</v>
      </c>
    </row>
    <row r="260" spans="1:8" x14ac:dyDescent="0.2">
      <c r="A260" t="str">
        <f>'Unformatted Trip Summary'!A258</f>
        <v>04 BAY OF PLENTY</v>
      </c>
      <c r="B260" t="str">
        <f>'Unformatted Trip Summary'!J258</f>
        <v>2032/33</v>
      </c>
      <c r="C260" t="str">
        <f>'Unformatted Trip Summary'!I258</f>
        <v>Cyclist</v>
      </c>
      <c r="D260">
        <f>'Unformatted Trip Summary'!D258</f>
        <v>53</v>
      </c>
      <c r="E260">
        <f>'Unformatted Trip Summary'!E258</f>
        <v>183</v>
      </c>
      <c r="F260" s="1">
        <f>'Unformatted Trip Summary'!F258</f>
        <v>4.8710989542999998</v>
      </c>
      <c r="G260" s="1">
        <f>'Unformatted Trip Summary'!G258</f>
        <v>8.0248130994999993</v>
      </c>
      <c r="H260" s="1">
        <f>'Unformatted Trip Summary'!H258</f>
        <v>0.84520053390000005</v>
      </c>
    </row>
    <row r="261" spans="1:8" x14ac:dyDescent="0.2">
      <c r="A261" t="str">
        <f>'Unformatted Trip Summary'!A259</f>
        <v>04 BAY OF PLENTY</v>
      </c>
      <c r="B261" t="str">
        <f>'Unformatted Trip Summary'!J259</f>
        <v>2037/38</v>
      </c>
      <c r="C261" t="str">
        <f>'Unformatted Trip Summary'!I259</f>
        <v>Cyclist</v>
      </c>
      <c r="D261">
        <f>'Unformatted Trip Summary'!D259</f>
        <v>53</v>
      </c>
      <c r="E261">
        <f>'Unformatted Trip Summary'!E259</f>
        <v>183</v>
      </c>
      <c r="F261" s="1">
        <f>'Unformatted Trip Summary'!F259</f>
        <v>4.7833141906999996</v>
      </c>
      <c r="G261" s="1">
        <f>'Unformatted Trip Summary'!G259</f>
        <v>7.9550943397999996</v>
      </c>
      <c r="H261" s="1">
        <f>'Unformatted Trip Summary'!H259</f>
        <v>0.8272075015</v>
      </c>
    </row>
    <row r="262" spans="1:8" x14ac:dyDescent="0.2">
      <c r="A262" t="str">
        <f>'Unformatted Trip Summary'!A260</f>
        <v>04 BAY OF PLENTY</v>
      </c>
      <c r="B262" t="str">
        <f>'Unformatted Trip Summary'!J260</f>
        <v>2042/43</v>
      </c>
      <c r="C262" t="str">
        <f>'Unformatted Trip Summary'!I260</f>
        <v>Cyclist</v>
      </c>
      <c r="D262">
        <f>'Unformatted Trip Summary'!D260</f>
        <v>53</v>
      </c>
      <c r="E262">
        <f>'Unformatted Trip Summary'!E260</f>
        <v>183</v>
      </c>
      <c r="F262" s="1">
        <f>'Unformatted Trip Summary'!F260</f>
        <v>4.6777534090000001</v>
      </c>
      <c r="G262" s="1">
        <f>'Unformatted Trip Summary'!G260</f>
        <v>7.8627291831999999</v>
      </c>
      <c r="H262" s="1">
        <f>'Unformatted Trip Summary'!H260</f>
        <v>0.80627403860000002</v>
      </c>
    </row>
    <row r="263" spans="1:8" x14ac:dyDescent="0.2">
      <c r="A263" t="str">
        <f>'Unformatted Trip Summary'!A261</f>
        <v>04 BAY OF PLENTY</v>
      </c>
      <c r="B263" t="str">
        <f>'Unformatted Trip Summary'!J261</f>
        <v>2012/13</v>
      </c>
      <c r="C263" t="str">
        <f>'Unformatted Trip Summary'!I261</f>
        <v>Light Vehicle Driver</v>
      </c>
      <c r="D263">
        <f>'Unformatted Trip Summary'!D261</f>
        <v>777</v>
      </c>
      <c r="E263">
        <f>'Unformatted Trip Summary'!E261</f>
        <v>5260</v>
      </c>
      <c r="F263" s="1">
        <f>'Unformatted Trip Summary'!F261</f>
        <v>178.59124365</v>
      </c>
      <c r="G263" s="1">
        <f>'Unformatted Trip Summary'!G261</f>
        <v>1972.0747595</v>
      </c>
      <c r="H263" s="1">
        <f>'Unformatted Trip Summary'!H261</f>
        <v>45.59682093</v>
      </c>
    </row>
    <row r="264" spans="1:8" x14ac:dyDescent="0.2">
      <c r="A264" t="str">
        <f>'Unformatted Trip Summary'!A262</f>
        <v>04 BAY OF PLENTY</v>
      </c>
      <c r="B264" t="str">
        <f>'Unformatted Trip Summary'!J262</f>
        <v>2017/18</v>
      </c>
      <c r="C264" t="str">
        <f>'Unformatted Trip Summary'!I262</f>
        <v>Light Vehicle Driver</v>
      </c>
      <c r="D264">
        <f>'Unformatted Trip Summary'!D262</f>
        <v>777</v>
      </c>
      <c r="E264">
        <f>'Unformatted Trip Summary'!E262</f>
        <v>5260</v>
      </c>
      <c r="F264" s="1">
        <f>'Unformatted Trip Summary'!F262</f>
        <v>184.10868529999999</v>
      </c>
      <c r="G264" s="1">
        <f>'Unformatted Trip Summary'!G262</f>
        <v>2064.0753077999998</v>
      </c>
      <c r="H264" s="1">
        <f>'Unformatted Trip Summary'!H262</f>
        <v>47.426398153999997</v>
      </c>
    </row>
    <row r="265" spans="1:8" x14ac:dyDescent="0.2">
      <c r="A265" t="str">
        <f>'Unformatted Trip Summary'!A263</f>
        <v>04 BAY OF PLENTY</v>
      </c>
      <c r="B265" t="str">
        <f>'Unformatted Trip Summary'!J263</f>
        <v>2022/23</v>
      </c>
      <c r="C265" t="str">
        <f>'Unformatted Trip Summary'!I263</f>
        <v>Light Vehicle Driver</v>
      </c>
      <c r="D265">
        <f>'Unformatted Trip Summary'!D263</f>
        <v>777</v>
      </c>
      <c r="E265">
        <f>'Unformatted Trip Summary'!E263</f>
        <v>5260</v>
      </c>
      <c r="F265" s="1">
        <f>'Unformatted Trip Summary'!F263</f>
        <v>192.94495903000001</v>
      </c>
      <c r="G265" s="1">
        <f>'Unformatted Trip Summary'!G263</f>
        <v>2188.1354393000001</v>
      </c>
      <c r="H265" s="1">
        <f>'Unformatted Trip Summary'!H263</f>
        <v>50.054401415999997</v>
      </c>
    </row>
    <row r="266" spans="1:8" x14ac:dyDescent="0.2">
      <c r="A266" t="str">
        <f>'Unformatted Trip Summary'!A264</f>
        <v>04 BAY OF PLENTY</v>
      </c>
      <c r="B266" t="str">
        <f>'Unformatted Trip Summary'!J264</f>
        <v>2027/28</v>
      </c>
      <c r="C266" t="str">
        <f>'Unformatted Trip Summary'!I264</f>
        <v>Light Vehicle Driver</v>
      </c>
      <c r="D266">
        <f>'Unformatted Trip Summary'!D264</f>
        <v>777</v>
      </c>
      <c r="E266">
        <f>'Unformatted Trip Summary'!E264</f>
        <v>5260</v>
      </c>
      <c r="F266" s="1">
        <f>'Unformatted Trip Summary'!F264</f>
        <v>201.15535392999999</v>
      </c>
      <c r="G266" s="1">
        <f>'Unformatted Trip Summary'!G264</f>
        <v>2299.6263038000002</v>
      </c>
      <c r="H266" s="1">
        <f>'Unformatted Trip Summary'!H264</f>
        <v>52.470797177999998</v>
      </c>
    </row>
    <row r="267" spans="1:8" x14ac:dyDescent="0.2">
      <c r="A267" t="str">
        <f>'Unformatted Trip Summary'!A265</f>
        <v>04 BAY OF PLENTY</v>
      </c>
      <c r="B267" t="str">
        <f>'Unformatted Trip Summary'!J265</f>
        <v>2032/33</v>
      </c>
      <c r="C267" t="str">
        <f>'Unformatted Trip Summary'!I265</f>
        <v>Light Vehicle Driver</v>
      </c>
      <c r="D267">
        <f>'Unformatted Trip Summary'!D265</f>
        <v>777</v>
      </c>
      <c r="E267">
        <f>'Unformatted Trip Summary'!E265</f>
        <v>5260</v>
      </c>
      <c r="F267" s="1">
        <f>'Unformatted Trip Summary'!F265</f>
        <v>206.57793831999999</v>
      </c>
      <c r="G267" s="1">
        <f>'Unformatted Trip Summary'!G265</f>
        <v>2371.1070076999999</v>
      </c>
      <c r="H267" s="1">
        <f>'Unformatted Trip Summary'!H265</f>
        <v>54.062242671</v>
      </c>
    </row>
    <row r="268" spans="1:8" x14ac:dyDescent="0.2">
      <c r="A268" t="str">
        <f>'Unformatted Trip Summary'!A266</f>
        <v>04 BAY OF PLENTY</v>
      </c>
      <c r="B268" t="str">
        <f>'Unformatted Trip Summary'!J266</f>
        <v>2037/38</v>
      </c>
      <c r="C268" t="str">
        <f>'Unformatted Trip Summary'!I266</f>
        <v>Light Vehicle Driver</v>
      </c>
      <c r="D268">
        <f>'Unformatted Trip Summary'!D266</f>
        <v>777</v>
      </c>
      <c r="E268">
        <f>'Unformatted Trip Summary'!E266</f>
        <v>5260</v>
      </c>
      <c r="F268" s="1">
        <f>'Unformatted Trip Summary'!F266</f>
        <v>208.58600691000001</v>
      </c>
      <c r="G268" s="1">
        <f>'Unformatted Trip Summary'!G266</f>
        <v>2396.9395162000001</v>
      </c>
      <c r="H268" s="1">
        <f>'Unformatted Trip Summary'!H266</f>
        <v>54.713716159000001</v>
      </c>
    </row>
    <row r="269" spans="1:8" x14ac:dyDescent="0.2">
      <c r="A269" t="str">
        <f>'Unformatted Trip Summary'!A267</f>
        <v>04 BAY OF PLENTY</v>
      </c>
      <c r="B269" t="str">
        <f>'Unformatted Trip Summary'!J267</f>
        <v>2042/43</v>
      </c>
      <c r="C269" t="str">
        <f>'Unformatted Trip Summary'!I267</f>
        <v>Light Vehicle Driver</v>
      </c>
      <c r="D269">
        <f>'Unformatted Trip Summary'!D267</f>
        <v>777</v>
      </c>
      <c r="E269">
        <f>'Unformatted Trip Summary'!E267</f>
        <v>5260</v>
      </c>
      <c r="F269" s="1">
        <f>'Unformatted Trip Summary'!F267</f>
        <v>209.80091168000001</v>
      </c>
      <c r="G269" s="1">
        <f>'Unformatted Trip Summary'!G267</f>
        <v>2413.4689564</v>
      </c>
      <c r="H269" s="1">
        <f>'Unformatted Trip Summary'!H267</f>
        <v>55.173960491999999</v>
      </c>
    </row>
    <row r="270" spans="1:8" x14ac:dyDescent="0.2">
      <c r="A270" t="str">
        <f>'Unformatted Trip Summary'!A268</f>
        <v>04 BAY OF PLENTY</v>
      </c>
      <c r="B270" t="str">
        <f>'Unformatted Trip Summary'!J268</f>
        <v>2012/13</v>
      </c>
      <c r="C270" t="str">
        <f>'Unformatted Trip Summary'!I268</f>
        <v>Light Vehicle Passenger</v>
      </c>
      <c r="D270">
        <f>'Unformatted Trip Summary'!D268</f>
        <v>591</v>
      </c>
      <c r="E270">
        <f>'Unformatted Trip Summary'!E268</f>
        <v>2668</v>
      </c>
      <c r="F270" s="1">
        <f>'Unformatted Trip Summary'!F268</f>
        <v>98.719582360000004</v>
      </c>
      <c r="G270" s="1">
        <f>'Unformatted Trip Summary'!G268</f>
        <v>1385.2330090999999</v>
      </c>
      <c r="H270" s="1">
        <f>'Unformatted Trip Summary'!H268</f>
        <v>28.895615969000001</v>
      </c>
    </row>
    <row r="271" spans="1:8" x14ac:dyDescent="0.2">
      <c r="A271" t="str">
        <f>'Unformatted Trip Summary'!A269</f>
        <v>04 BAY OF PLENTY</v>
      </c>
      <c r="B271" t="str">
        <f>'Unformatted Trip Summary'!J269</f>
        <v>2017/18</v>
      </c>
      <c r="C271" t="str">
        <f>'Unformatted Trip Summary'!I269</f>
        <v>Light Vehicle Passenger</v>
      </c>
      <c r="D271">
        <f>'Unformatted Trip Summary'!D269</f>
        <v>591</v>
      </c>
      <c r="E271">
        <f>'Unformatted Trip Summary'!E269</f>
        <v>2668</v>
      </c>
      <c r="F271" s="1">
        <f>'Unformatted Trip Summary'!F269</f>
        <v>97.673571191999997</v>
      </c>
      <c r="G271" s="1">
        <f>'Unformatted Trip Summary'!G269</f>
        <v>1447.2760802</v>
      </c>
      <c r="H271" s="1">
        <f>'Unformatted Trip Summary'!H269</f>
        <v>29.645045385</v>
      </c>
    </row>
    <row r="272" spans="1:8" x14ac:dyDescent="0.2">
      <c r="A272" t="str">
        <f>'Unformatted Trip Summary'!A270</f>
        <v>04 BAY OF PLENTY</v>
      </c>
      <c r="B272" t="str">
        <f>'Unformatted Trip Summary'!J270</f>
        <v>2022/23</v>
      </c>
      <c r="C272" t="str">
        <f>'Unformatted Trip Summary'!I270</f>
        <v>Light Vehicle Passenger</v>
      </c>
      <c r="D272">
        <f>'Unformatted Trip Summary'!D270</f>
        <v>591</v>
      </c>
      <c r="E272">
        <f>'Unformatted Trip Summary'!E270</f>
        <v>2668</v>
      </c>
      <c r="F272" s="1">
        <f>'Unformatted Trip Summary'!F270</f>
        <v>98.044013820999993</v>
      </c>
      <c r="G272" s="1">
        <f>'Unformatted Trip Summary'!G270</f>
        <v>1513.6325391</v>
      </c>
      <c r="H272" s="1">
        <f>'Unformatted Trip Summary'!H270</f>
        <v>30.654265426999999</v>
      </c>
    </row>
    <row r="273" spans="1:8" x14ac:dyDescent="0.2">
      <c r="A273" t="str">
        <f>'Unformatted Trip Summary'!A271</f>
        <v>04 BAY OF PLENTY</v>
      </c>
      <c r="B273" t="str">
        <f>'Unformatted Trip Summary'!J271</f>
        <v>2027/28</v>
      </c>
      <c r="C273" t="str">
        <f>'Unformatted Trip Summary'!I271</f>
        <v>Light Vehicle Passenger</v>
      </c>
      <c r="D273">
        <f>'Unformatted Trip Summary'!D271</f>
        <v>591</v>
      </c>
      <c r="E273">
        <f>'Unformatted Trip Summary'!E271</f>
        <v>2668</v>
      </c>
      <c r="F273" s="1">
        <f>'Unformatted Trip Summary'!F271</f>
        <v>98.776055561000007</v>
      </c>
      <c r="G273" s="1">
        <f>'Unformatted Trip Summary'!G271</f>
        <v>1565.0249733999999</v>
      </c>
      <c r="H273" s="1">
        <f>'Unformatted Trip Summary'!H271</f>
        <v>31.490285898</v>
      </c>
    </row>
    <row r="274" spans="1:8" x14ac:dyDescent="0.2">
      <c r="A274" t="str">
        <f>'Unformatted Trip Summary'!A272</f>
        <v>04 BAY OF PLENTY</v>
      </c>
      <c r="B274" t="str">
        <f>'Unformatted Trip Summary'!J272</f>
        <v>2032/33</v>
      </c>
      <c r="C274" t="str">
        <f>'Unformatted Trip Summary'!I272</f>
        <v>Light Vehicle Passenger</v>
      </c>
      <c r="D274">
        <f>'Unformatted Trip Summary'!D272</f>
        <v>591</v>
      </c>
      <c r="E274">
        <f>'Unformatted Trip Summary'!E272</f>
        <v>2668</v>
      </c>
      <c r="F274" s="1">
        <f>'Unformatted Trip Summary'!F272</f>
        <v>98.957881990999994</v>
      </c>
      <c r="G274" s="1">
        <f>'Unformatted Trip Summary'!G272</f>
        <v>1590.0374552000001</v>
      </c>
      <c r="H274" s="1">
        <f>'Unformatted Trip Summary'!H272</f>
        <v>31.879604715999999</v>
      </c>
    </row>
    <row r="275" spans="1:8" x14ac:dyDescent="0.2">
      <c r="A275" t="str">
        <f>'Unformatted Trip Summary'!A273</f>
        <v>04 BAY OF PLENTY</v>
      </c>
      <c r="B275" t="str">
        <f>'Unformatted Trip Summary'!J273</f>
        <v>2037/38</v>
      </c>
      <c r="C275" t="str">
        <f>'Unformatted Trip Summary'!I273</f>
        <v>Light Vehicle Passenger</v>
      </c>
      <c r="D275">
        <f>'Unformatted Trip Summary'!D273</f>
        <v>591</v>
      </c>
      <c r="E275">
        <f>'Unformatted Trip Summary'!E273</f>
        <v>2668</v>
      </c>
      <c r="F275" s="1">
        <f>'Unformatted Trip Summary'!F273</f>
        <v>98.689899077999996</v>
      </c>
      <c r="G275" s="1">
        <f>'Unformatted Trip Summary'!G273</f>
        <v>1604.7756535000001</v>
      </c>
      <c r="H275" s="1">
        <f>'Unformatted Trip Summary'!H273</f>
        <v>32.087578717</v>
      </c>
    </row>
    <row r="276" spans="1:8" x14ac:dyDescent="0.2">
      <c r="A276" t="str">
        <f>'Unformatted Trip Summary'!A274</f>
        <v>04 BAY OF PLENTY</v>
      </c>
      <c r="B276" t="str">
        <f>'Unformatted Trip Summary'!J274</f>
        <v>2042/43</v>
      </c>
      <c r="C276" t="str">
        <f>'Unformatted Trip Summary'!I274</f>
        <v>Light Vehicle Passenger</v>
      </c>
      <c r="D276">
        <f>'Unformatted Trip Summary'!D274</f>
        <v>591</v>
      </c>
      <c r="E276">
        <f>'Unformatted Trip Summary'!E274</f>
        <v>2668</v>
      </c>
      <c r="F276" s="1">
        <f>'Unformatted Trip Summary'!F274</f>
        <v>98.005694833000007</v>
      </c>
      <c r="G276" s="1">
        <f>'Unformatted Trip Summary'!G274</f>
        <v>1613.8698139999999</v>
      </c>
      <c r="H276" s="1">
        <f>'Unformatted Trip Summary'!H274</f>
        <v>32.181512959000003</v>
      </c>
    </row>
    <row r="277" spans="1:8" x14ac:dyDescent="0.2">
      <c r="A277" t="str">
        <f>'Unformatted Trip Summary'!A275</f>
        <v>04 BAY OF PLENTY</v>
      </c>
      <c r="B277" t="str">
        <f>'Unformatted Trip Summary'!J275</f>
        <v>2012/13</v>
      </c>
      <c r="C277" t="str">
        <f>'Unformatted Trip Summary'!I275</f>
        <v>Taxi/Vehicle Share</v>
      </c>
      <c r="D277">
        <f>'Unformatted Trip Summary'!D275</f>
        <v>4</v>
      </c>
      <c r="E277">
        <f>'Unformatted Trip Summary'!E275</f>
        <v>8</v>
      </c>
      <c r="F277" s="1">
        <f>'Unformatted Trip Summary'!F275</f>
        <v>0.15552198610000001</v>
      </c>
      <c r="G277" s="1">
        <f>'Unformatted Trip Summary'!G275</f>
        <v>0.98369936449999995</v>
      </c>
      <c r="H277" s="1">
        <f>'Unformatted Trip Summary'!H275</f>
        <v>7.3048454499999999E-2</v>
      </c>
    </row>
    <row r="278" spans="1:8" x14ac:dyDescent="0.2">
      <c r="A278" t="str">
        <f>'Unformatted Trip Summary'!A276</f>
        <v>04 BAY OF PLENTY</v>
      </c>
      <c r="B278" t="str">
        <f>'Unformatted Trip Summary'!J276</f>
        <v>2017/18</v>
      </c>
      <c r="C278" t="str">
        <f>'Unformatted Trip Summary'!I276</f>
        <v>Taxi/Vehicle Share</v>
      </c>
      <c r="D278">
        <f>'Unformatted Trip Summary'!D276</f>
        <v>4</v>
      </c>
      <c r="E278">
        <f>'Unformatted Trip Summary'!E276</f>
        <v>8</v>
      </c>
      <c r="F278" s="1">
        <f>'Unformatted Trip Summary'!F276</f>
        <v>0.1422718728</v>
      </c>
      <c r="G278" s="1">
        <f>'Unformatted Trip Summary'!G276</f>
        <v>0.89997979139999995</v>
      </c>
      <c r="H278" s="1">
        <f>'Unformatted Trip Summary'!H276</f>
        <v>6.6834567400000003E-2</v>
      </c>
    </row>
    <row r="279" spans="1:8" x14ac:dyDescent="0.2">
      <c r="A279" t="str">
        <f>'Unformatted Trip Summary'!A277</f>
        <v>04 BAY OF PLENTY</v>
      </c>
      <c r="B279" t="str">
        <f>'Unformatted Trip Summary'!J277</f>
        <v>2022/23</v>
      </c>
      <c r="C279" t="str">
        <f>'Unformatted Trip Summary'!I277</f>
        <v>Taxi/Vehicle Share</v>
      </c>
      <c r="D279">
        <f>'Unformatted Trip Summary'!D277</f>
        <v>4</v>
      </c>
      <c r="E279">
        <f>'Unformatted Trip Summary'!E277</f>
        <v>8</v>
      </c>
      <c r="F279" s="1">
        <f>'Unformatted Trip Summary'!F277</f>
        <v>0.13341823720000001</v>
      </c>
      <c r="G279" s="1">
        <f>'Unformatted Trip Summary'!G277</f>
        <v>0.8770570607</v>
      </c>
      <c r="H279" s="1">
        <f>'Unformatted Trip Summary'!H277</f>
        <v>6.5018072800000007E-2</v>
      </c>
    </row>
    <row r="280" spans="1:8" x14ac:dyDescent="0.2">
      <c r="A280" t="str">
        <f>'Unformatted Trip Summary'!A278</f>
        <v>04 BAY OF PLENTY</v>
      </c>
      <c r="B280" t="str">
        <f>'Unformatted Trip Summary'!J278</f>
        <v>2027/28</v>
      </c>
      <c r="C280" t="str">
        <f>'Unformatted Trip Summary'!I278</f>
        <v>Taxi/Vehicle Share</v>
      </c>
      <c r="D280">
        <f>'Unformatted Trip Summary'!D278</f>
        <v>4</v>
      </c>
      <c r="E280">
        <f>'Unformatted Trip Summary'!E278</f>
        <v>8</v>
      </c>
      <c r="F280" s="1">
        <f>'Unformatted Trip Summary'!F278</f>
        <v>0.12898925689999999</v>
      </c>
      <c r="G280" s="1">
        <f>'Unformatted Trip Summary'!G278</f>
        <v>0.88911281529999997</v>
      </c>
      <c r="H280" s="1">
        <f>'Unformatted Trip Summary'!H278</f>
        <v>6.5501142100000007E-2</v>
      </c>
    </row>
    <row r="281" spans="1:8" x14ac:dyDescent="0.2">
      <c r="A281" t="str">
        <f>'Unformatted Trip Summary'!A279</f>
        <v>04 BAY OF PLENTY</v>
      </c>
      <c r="B281" t="str">
        <f>'Unformatted Trip Summary'!J279</f>
        <v>2032/33</v>
      </c>
      <c r="C281" t="str">
        <f>'Unformatted Trip Summary'!I279</f>
        <v>Taxi/Vehicle Share</v>
      </c>
      <c r="D281">
        <f>'Unformatted Trip Summary'!D279</f>
        <v>4</v>
      </c>
      <c r="E281">
        <f>'Unformatted Trip Summary'!E279</f>
        <v>8</v>
      </c>
      <c r="F281" s="1">
        <f>'Unformatted Trip Summary'!F279</f>
        <v>0.1245980701</v>
      </c>
      <c r="G281" s="1">
        <f>'Unformatted Trip Summary'!G279</f>
        <v>0.86073790999999999</v>
      </c>
      <c r="H281" s="1">
        <f>'Unformatted Trip Summary'!H279</f>
        <v>6.2883809299999996E-2</v>
      </c>
    </row>
    <row r="282" spans="1:8" x14ac:dyDescent="0.2">
      <c r="A282" t="str">
        <f>'Unformatted Trip Summary'!A280</f>
        <v>04 BAY OF PLENTY</v>
      </c>
      <c r="B282" t="str">
        <f>'Unformatted Trip Summary'!J280</f>
        <v>2037/38</v>
      </c>
      <c r="C282" t="str">
        <f>'Unformatted Trip Summary'!I280</f>
        <v>Taxi/Vehicle Share</v>
      </c>
      <c r="D282">
        <f>'Unformatted Trip Summary'!D280</f>
        <v>4</v>
      </c>
      <c r="E282">
        <f>'Unformatted Trip Summary'!E280</f>
        <v>8</v>
      </c>
      <c r="F282" s="1">
        <f>'Unformatted Trip Summary'!F280</f>
        <v>0.1213411397</v>
      </c>
      <c r="G282" s="1">
        <f>'Unformatted Trip Summary'!G280</f>
        <v>0.83545778150000005</v>
      </c>
      <c r="H282" s="1">
        <f>'Unformatted Trip Summary'!H280</f>
        <v>6.0937060299999998E-2</v>
      </c>
    </row>
    <row r="283" spans="1:8" x14ac:dyDescent="0.2">
      <c r="A283" t="str">
        <f>'Unformatted Trip Summary'!A281</f>
        <v>04 BAY OF PLENTY</v>
      </c>
      <c r="B283" t="str">
        <f>'Unformatted Trip Summary'!J281</f>
        <v>2042/43</v>
      </c>
      <c r="C283" t="str">
        <f>'Unformatted Trip Summary'!I281</f>
        <v>Taxi/Vehicle Share</v>
      </c>
      <c r="D283">
        <f>'Unformatted Trip Summary'!D281</f>
        <v>4</v>
      </c>
      <c r="E283">
        <f>'Unformatted Trip Summary'!E281</f>
        <v>8</v>
      </c>
      <c r="F283" s="1">
        <f>'Unformatted Trip Summary'!F281</f>
        <v>0.1168292259</v>
      </c>
      <c r="G283" s="1">
        <f>'Unformatted Trip Summary'!G281</f>
        <v>0.80513026679999999</v>
      </c>
      <c r="H283" s="1">
        <f>'Unformatted Trip Summary'!H281</f>
        <v>5.8665677499999999E-2</v>
      </c>
    </row>
    <row r="284" spans="1:8" x14ac:dyDescent="0.2">
      <c r="A284" t="str">
        <f>'Unformatted Trip Summary'!A282</f>
        <v>04 BAY OF PLENTY</v>
      </c>
      <c r="B284" t="str">
        <f>'Unformatted Trip Summary'!J282</f>
        <v>2012/13</v>
      </c>
      <c r="C284" t="str">
        <f>'Unformatted Trip Summary'!I282</f>
        <v>Motorcyclist</v>
      </c>
      <c r="D284">
        <f>'Unformatted Trip Summary'!D282</f>
        <v>10</v>
      </c>
      <c r="E284">
        <f>'Unformatted Trip Summary'!E282</f>
        <v>40</v>
      </c>
      <c r="F284" s="1">
        <f>'Unformatted Trip Summary'!F282</f>
        <v>0.90641599910000004</v>
      </c>
      <c r="G284" s="1">
        <f>'Unformatted Trip Summary'!G282</f>
        <v>35.608960758999999</v>
      </c>
      <c r="H284" s="1">
        <f>'Unformatted Trip Summary'!H282</f>
        <v>0.60409197079999999</v>
      </c>
    </row>
    <row r="285" spans="1:8" x14ac:dyDescent="0.2">
      <c r="A285" t="str">
        <f>'Unformatted Trip Summary'!A283</f>
        <v>04 BAY OF PLENTY</v>
      </c>
      <c r="B285" t="str">
        <f>'Unformatted Trip Summary'!J283</f>
        <v>2017/18</v>
      </c>
      <c r="C285" t="str">
        <f>'Unformatted Trip Summary'!I283</f>
        <v>Motorcyclist</v>
      </c>
      <c r="D285">
        <f>'Unformatted Trip Summary'!D283</f>
        <v>10</v>
      </c>
      <c r="E285">
        <f>'Unformatted Trip Summary'!E283</f>
        <v>40</v>
      </c>
      <c r="F285" s="1">
        <f>'Unformatted Trip Summary'!F283</f>
        <v>0.95954942519999997</v>
      </c>
      <c r="G285" s="1">
        <f>'Unformatted Trip Summary'!G283</f>
        <v>38.315136817999999</v>
      </c>
      <c r="H285" s="1">
        <f>'Unformatted Trip Summary'!H283</f>
        <v>0.64730182879999998</v>
      </c>
    </row>
    <row r="286" spans="1:8" x14ac:dyDescent="0.2">
      <c r="A286" t="str">
        <f>'Unformatted Trip Summary'!A284</f>
        <v>04 BAY OF PLENTY</v>
      </c>
      <c r="B286" t="str">
        <f>'Unformatted Trip Summary'!J284</f>
        <v>2022/23</v>
      </c>
      <c r="C286" t="str">
        <f>'Unformatted Trip Summary'!I284</f>
        <v>Motorcyclist</v>
      </c>
      <c r="D286">
        <f>'Unformatted Trip Summary'!D284</f>
        <v>10</v>
      </c>
      <c r="E286">
        <f>'Unformatted Trip Summary'!E284</f>
        <v>40</v>
      </c>
      <c r="F286" s="1">
        <f>'Unformatted Trip Summary'!F284</f>
        <v>1.0068221891</v>
      </c>
      <c r="G286" s="1">
        <f>'Unformatted Trip Summary'!G284</f>
        <v>39.956933358999997</v>
      </c>
      <c r="H286" s="1">
        <f>'Unformatted Trip Summary'!H284</f>
        <v>0.67441132100000001</v>
      </c>
    </row>
    <row r="287" spans="1:8" x14ac:dyDescent="0.2">
      <c r="A287" t="str">
        <f>'Unformatted Trip Summary'!A285</f>
        <v>04 BAY OF PLENTY</v>
      </c>
      <c r="B287" t="str">
        <f>'Unformatted Trip Summary'!J285</f>
        <v>2027/28</v>
      </c>
      <c r="C287" t="str">
        <f>'Unformatted Trip Summary'!I285</f>
        <v>Motorcyclist</v>
      </c>
      <c r="D287">
        <f>'Unformatted Trip Summary'!D285</f>
        <v>10</v>
      </c>
      <c r="E287">
        <f>'Unformatted Trip Summary'!E285</f>
        <v>40</v>
      </c>
      <c r="F287" s="1">
        <f>'Unformatted Trip Summary'!F285</f>
        <v>1.0022062250999999</v>
      </c>
      <c r="G287" s="1">
        <f>'Unformatted Trip Summary'!G285</f>
        <v>39.345682910999997</v>
      </c>
      <c r="H287" s="1">
        <f>'Unformatted Trip Summary'!H285</f>
        <v>0.66455704260000004</v>
      </c>
    </row>
    <row r="288" spans="1:8" x14ac:dyDescent="0.2">
      <c r="A288" t="str">
        <f>'Unformatted Trip Summary'!A286</f>
        <v>04 BAY OF PLENTY</v>
      </c>
      <c r="B288" t="str">
        <f>'Unformatted Trip Summary'!J286</f>
        <v>2032/33</v>
      </c>
      <c r="C288" t="str">
        <f>'Unformatted Trip Summary'!I286</f>
        <v>Motorcyclist</v>
      </c>
      <c r="D288">
        <f>'Unformatted Trip Summary'!D286</f>
        <v>10</v>
      </c>
      <c r="E288">
        <f>'Unformatted Trip Summary'!E286</f>
        <v>40</v>
      </c>
      <c r="F288" s="1">
        <f>'Unformatted Trip Summary'!F286</f>
        <v>0.97484416640000005</v>
      </c>
      <c r="G288" s="1">
        <f>'Unformatted Trip Summary'!G286</f>
        <v>37.776716829999998</v>
      </c>
      <c r="H288" s="1">
        <f>'Unformatted Trip Summary'!H286</f>
        <v>0.64043070629999999</v>
      </c>
    </row>
    <row r="289" spans="1:8" x14ac:dyDescent="0.2">
      <c r="A289" t="str">
        <f>'Unformatted Trip Summary'!A287</f>
        <v>04 BAY OF PLENTY</v>
      </c>
      <c r="B289" t="str">
        <f>'Unformatted Trip Summary'!J287</f>
        <v>2037/38</v>
      </c>
      <c r="C289" t="str">
        <f>'Unformatted Trip Summary'!I287</f>
        <v>Motorcyclist</v>
      </c>
      <c r="D289">
        <f>'Unformatted Trip Summary'!D287</f>
        <v>10</v>
      </c>
      <c r="E289">
        <f>'Unformatted Trip Summary'!E287</f>
        <v>40</v>
      </c>
      <c r="F289" s="1">
        <f>'Unformatted Trip Summary'!F287</f>
        <v>0.92808413460000005</v>
      </c>
      <c r="G289" s="1">
        <f>'Unformatted Trip Summary'!G287</f>
        <v>35.826111204999997</v>
      </c>
      <c r="H289" s="1">
        <f>'Unformatted Trip Summary'!H287</f>
        <v>0.60995451430000003</v>
      </c>
    </row>
    <row r="290" spans="1:8" x14ac:dyDescent="0.2">
      <c r="A290" t="str">
        <f>'Unformatted Trip Summary'!A288</f>
        <v>04 BAY OF PLENTY</v>
      </c>
      <c r="B290" t="str">
        <f>'Unformatted Trip Summary'!J288</f>
        <v>2042/43</v>
      </c>
      <c r="C290" t="str">
        <f>'Unformatted Trip Summary'!I288</f>
        <v>Motorcyclist</v>
      </c>
      <c r="D290">
        <f>'Unformatted Trip Summary'!D288</f>
        <v>10</v>
      </c>
      <c r="E290">
        <f>'Unformatted Trip Summary'!E288</f>
        <v>40</v>
      </c>
      <c r="F290" s="1">
        <f>'Unformatted Trip Summary'!F288</f>
        <v>0.88015213839999995</v>
      </c>
      <c r="G290" s="1">
        <f>'Unformatted Trip Summary'!G288</f>
        <v>33.865968353</v>
      </c>
      <c r="H290" s="1">
        <f>'Unformatted Trip Summary'!H288</f>
        <v>0.57907037959999996</v>
      </c>
    </row>
    <row r="291" spans="1:8" x14ac:dyDescent="0.2">
      <c r="A291" t="str">
        <f>'Unformatted Trip Summary'!A289</f>
        <v>04 BAY OF PLENTY</v>
      </c>
      <c r="B291" t="str">
        <f>'Unformatted Trip Summary'!J289</f>
        <v>2012/13</v>
      </c>
      <c r="C291" t="str">
        <f>'Unformatted Trip Summary'!I289</f>
        <v>Local Bus</v>
      </c>
      <c r="D291">
        <f>'Unformatted Trip Summary'!D289</f>
        <v>73</v>
      </c>
      <c r="E291">
        <f>'Unformatted Trip Summary'!E289</f>
        <v>194</v>
      </c>
      <c r="F291" s="1">
        <f>'Unformatted Trip Summary'!F289</f>
        <v>7.4672006229000001</v>
      </c>
      <c r="G291" s="1">
        <f>'Unformatted Trip Summary'!G289</f>
        <v>52.669440211999998</v>
      </c>
      <c r="H291" s="1">
        <f>'Unformatted Trip Summary'!H289</f>
        <v>2.9412276716000001</v>
      </c>
    </row>
    <row r="292" spans="1:8" x14ac:dyDescent="0.2">
      <c r="A292" t="str">
        <f>'Unformatted Trip Summary'!A290</f>
        <v>04 BAY OF PLENTY</v>
      </c>
      <c r="B292" t="str">
        <f>'Unformatted Trip Summary'!J290</f>
        <v>2017/18</v>
      </c>
      <c r="C292" t="str">
        <f>'Unformatted Trip Summary'!I290</f>
        <v>Local Bus</v>
      </c>
      <c r="D292">
        <f>'Unformatted Trip Summary'!D290</f>
        <v>73</v>
      </c>
      <c r="E292">
        <f>'Unformatted Trip Summary'!E290</f>
        <v>194</v>
      </c>
      <c r="F292" s="1">
        <f>'Unformatted Trip Summary'!F290</f>
        <v>7.2229718001999998</v>
      </c>
      <c r="G292" s="1">
        <f>'Unformatted Trip Summary'!G290</f>
        <v>50.020171181000002</v>
      </c>
      <c r="H292" s="1">
        <f>'Unformatted Trip Summary'!H290</f>
        <v>2.8006844173999998</v>
      </c>
    </row>
    <row r="293" spans="1:8" x14ac:dyDescent="0.2">
      <c r="A293" t="str">
        <f>'Unformatted Trip Summary'!A291</f>
        <v>04 BAY OF PLENTY</v>
      </c>
      <c r="B293" t="str">
        <f>'Unformatted Trip Summary'!J291</f>
        <v>2022/23</v>
      </c>
      <c r="C293" t="str">
        <f>'Unformatted Trip Summary'!I291</f>
        <v>Local Bus</v>
      </c>
      <c r="D293">
        <f>'Unformatted Trip Summary'!D291</f>
        <v>73</v>
      </c>
      <c r="E293">
        <f>'Unformatted Trip Summary'!E291</f>
        <v>194</v>
      </c>
      <c r="F293" s="1">
        <f>'Unformatted Trip Summary'!F291</f>
        <v>7.0999095605999996</v>
      </c>
      <c r="G293" s="1">
        <f>'Unformatted Trip Summary'!G291</f>
        <v>48.557222426999999</v>
      </c>
      <c r="H293" s="1">
        <f>'Unformatted Trip Summary'!H291</f>
        <v>2.7225529141</v>
      </c>
    </row>
    <row r="294" spans="1:8" x14ac:dyDescent="0.2">
      <c r="A294" t="str">
        <f>'Unformatted Trip Summary'!A292</f>
        <v>04 BAY OF PLENTY</v>
      </c>
      <c r="B294" t="str">
        <f>'Unformatted Trip Summary'!J292</f>
        <v>2027/28</v>
      </c>
      <c r="C294" t="str">
        <f>'Unformatted Trip Summary'!I292</f>
        <v>Local Bus</v>
      </c>
      <c r="D294">
        <f>'Unformatted Trip Summary'!D292</f>
        <v>73</v>
      </c>
      <c r="E294">
        <f>'Unformatted Trip Summary'!E292</f>
        <v>194</v>
      </c>
      <c r="F294" s="1">
        <f>'Unformatted Trip Summary'!F292</f>
        <v>7.0467231054999999</v>
      </c>
      <c r="G294" s="1">
        <f>'Unformatted Trip Summary'!G292</f>
        <v>47.480551876</v>
      </c>
      <c r="H294" s="1">
        <f>'Unformatted Trip Summary'!H292</f>
        <v>2.6704240618999999</v>
      </c>
    </row>
    <row r="295" spans="1:8" x14ac:dyDescent="0.2">
      <c r="A295" t="str">
        <f>'Unformatted Trip Summary'!A293</f>
        <v>04 BAY OF PLENTY</v>
      </c>
      <c r="B295" t="str">
        <f>'Unformatted Trip Summary'!J293</f>
        <v>2032/33</v>
      </c>
      <c r="C295" t="str">
        <f>'Unformatted Trip Summary'!I293</f>
        <v>Local Bus</v>
      </c>
      <c r="D295">
        <f>'Unformatted Trip Summary'!D293</f>
        <v>73</v>
      </c>
      <c r="E295">
        <f>'Unformatted Trip Summary'!E293</f>
        <v>194</v>
      </c>
      <c r="F295" s="1">
        <f>'Unformatted Trip Summary'!F293</f>
        <v>6.9735147179999997</v>
      </c>
      <c r="G295" s="1">
        <f>'Unformatted Trip Summary'!G293</f>
        <v>45.957881567999998</v>
      </c>
      <c r="H295" s="1">
        <f>'Unformatted Trip Summary'!H293</f>
        <v>2.6067786280999998</v>
      </c>
    </row>
    <row r="296" spans="1:8" x14ac:dyDescent="0.2">
      <c r="A296" t="str">
        <f>'Unformatted Trip Summary'!A294</f>
        <v>04 BAY OF PLENTY</v>
      </c>
      <c r="B296" t="str">
        <f>'Unformatted Trip Summary'!J294</f>
        <v>2037/38</v>
      </c>
      <c r="C296" t="str">
        <f>'Unformatted Trip Summary'!I294</f>
        <v>Local Bus</v>
      </c>
      <c r="D296">
        <f>'Unformatted Trip Summary'!D294</f>
        <v>73</v>
      </c>
      <c r="E296">
        <f>'Unformatted Trip Summary'!E294</f>
        <v>194</v>
      </c>
      <c r="F296" s="1">
        <f>'Unformatted Trip Summary'!F294</f>
        <v>6.9433184341</v>
      </c>
      <c r="G296" s="1">
        <f>'Unformatted Trip Summary'!G294</f>
        <v>45.102182765999999</v>
      </c>
      <c r="H296" s="1">
        <f>'Unformatted Trip Summary'!H294</f>
        <v>2.5647900414999998</v>
      </c>
    </row>
    <row r="297" spans="1:8" x14ac:dyDescent="0.2">
      <c r="A297" t="str">
        <f>'Unformatted Trip Summary'!A295</f>
        <v>04 BAY OF PLENTY</v>
      </c>
      <c r="B297" t="str">
        <f>'Unformatted Trip Summary'!J295</f>
        <v>2042/43</v>
      </c>
      <c r="C297" t="str">
        <f>'Unformatted Trip Summary'!I295</f>
        <v>Local Bus</v>
      </c>
      <c r="D297">
        <f>'Unformatted Trip Summary'!D295</f>
        <v>73</v>
      </c>
      <c r="E297">
        <f>'Unformatted Trip Summary'!E295</f>
        <v>194</v>
      </c>
      <c r="F297" s="1">
        <f>'Unformatted Trip Summary'!F295</f>
        <v>6.8728409157000003</v>
      </c>
      <c r="G297" s="1">
        <f>'Unformatted Trip Summary'!G295</f>
        <v>43.992389525</v>
      </c>
      <c r="H297" s="1">
        <f>'Unformatted Trip Summary'!H295</f>
        <v>2.5080753930999999</v>
      </c>
    </row>
    <row r="298" spans="1:8" x14ac:dyDescent="0.2">
      <c r="A298" t="str">
        <f>'Unformatted Trip Summary'!A296</f>
        <v>04 BAY OF PLENTY</v>
      </c>
      <c r="B298" t="str">
        <f>'Unformatted Trip Summary'!J296</f>
        <v>2012/13</v>
      </c>
      <c r="C298" t="str">
        <f>'Unformatted Trip Summary'!I296</f>
        <v>Other Household Travel</v>
      </c>
      <c r="D298">
        <f>'Unformatted Trip Summary'!D296</f>
        <v>13</v>
      </c>
      <c r="E298">
        <f>'Unformatted Trip Summary'!E296</f>
        <v>34</v>
      </c>
      <c r="F298" s="1">
        <f>'Unformatted Trip Summary'!F296</f>
        <v>0.59853678389999998</v>
      </c>
      <c r="G298" s="1">
        <f>'Unformatted Trip Summary'!G296</f>
        <v>0</v>
      </c>
      <c r="H298" s="1">
        <f>'Unformatted Trip Summary'!H296</f>
        <v>0.21279540499999999</v>
      </c>
    </row>
    <row r="299" spans="1:8" x14ac:dyDescent="0.2">
      <c r="A299" t="str">
        <f>'Unformatted Trip Summary'!A297</f>
        <v>04 BAY OF PLENTY</v>
      </c>
      <c r="B299" t="str">
        <f>'Unformatted Trip Summary'!J297</f>
        <v>2017/18</v>
      </c>
      <c r="C299" t="str">
        <f>'Unformatted Trip Summary'!I297</f>
        <v>Other Household Travel</v>
      </c>
      <c r="D299">
        <f>'Unformatted Trip Summary'!D297</f>
        <v>13</v>
      </c>
      <c r="E299">
        <f>'Unformatted Trip Summary'!E297</f>
        <v>34</v>
      </c>
      <c r="F299" s="1">
        <f>'Unformatted Trip Summary'!F297</f>
        <v>0.5853577042</v>
      </c>
      <c r="G299" s="1">
        <f>'Unformatted Trip Summary'!G297</f>
        <v>0</v>
      </c>
      <c r="H299" s="1">
        <f>'Unformatted Trip Summary'!H297</f>
        <v>0.2143916005</v>
      </c>
    </row>
    <row r="300" spans="1:8" x14ac:dyDescent="0.2">
      <c r="A300" t="str">
        <f>'Unformatted Trip Summary'!A298</f>
        <v>04 BAY OF PLENTY</v>
      </c>
      <c r="B300" t="str">
        <f>'Unformatted Trip Summary'!J298</f>
        <v>2022/23</v>
      </c>
      <c r="C300" t="str">
        <f>'Unformatted Trip Summary'!I298</f>
        <v>Other Household Travel</v>
      </c>
      <c r="D300">
        <f>'Unformatted Trip Summary'!D298</f>
        <v>13</v>
      </c>
      <c r="E300">
        <f>'Unformatted Trip Summary'!E298</f>
        <v>34</v>
      </c>
      <c r="F300" s="1">
        <f>'Unformatted Trip Summary'!F298</f>
        <v>0.55593040299999996</v>
      </c>
      <c r="G300" s="1">
        <f>'Unformatted Trip Summary'!G298</f>
        <v>0</v>
      </c>
      <c r="H300" s="1">
        <f>'Unformatted Trip Summary'!H298</f>
        <v>0.2095175141</v>
      </c>
    </row>
    <row r="301" spans="1:8" x14ac:dyDescent="0.2">
      <c r="A301" t="str">
        <f>'Unformatted Trip Summary'!A299</f>
        <v>04 BAY OF PLENTY</v>
      </c>
      <c r="B301" t="str">
        <f>'Unformatted Trip Summary'!J299</f>
        <v>2027/28</v>
      </c>
      <c r="C301" t="str">
        <f>'Unformatted Trip Summary'!I299</f>
        <v>Other Household Travel</v>
      </c>
      <c r="D301">
        <f>'Unformatted Trip Summary'!D299</f>
        <v>13</v>
      </c>
      <c r="E301">
        <f>'Unformatted Trip Summary'!E299</f>
        <v>34</v>
      </c>
      <c r="F301" s="1">
        <f>'Unformatted Trip Summary'!F299</f>
        <v>0.52618256389999996</v>
      </c>
      <c r="G301" s="1">
        <f>'Unformatted Trip Summary'!G299</f>
        <v>0</v>
      </c>
      <c r="H301" s="1">
        <f>'Unformatted Trip Summary'!H299</f>
        <v>0.20322107480000001</v>
      </c>
    </row>
    <row r="302" spans="1:8" x14ac:dyDescent="0.2">
      <c r="A302" t="str">
        <f>'Unformatted Trip Summary'!A300</f>
        <v>04 BAY OF PLENTY</v>
      </c>
      <c r="B302" t="str">
        <f>'Unformatted Trip Summary'!J300</f>
        <v>2032/33</v>
      </c>
      <c r="C302" t="str">
        <f>'Unformatted Trip Summary'!I300</f>
        <v>Other Household Travel</v>
      </c>
      <c r="D302">
        <f>'Unformatted Trip Summary'!D300</f>
        <v>13</v>
      </c>
      <c r="E302">
        <f>'Unformatted Trip Summary'!E300</f>
        <v>34</v>
      </c>
      <c r="F302" s="1">
        <f>'Unformatted Trip Summary'!F300</f>
        <v>0.50189748899999997</v>
      </c>
      <c r="G302" s="1">
        <f>'Unformatted Trip Summary'!G300</f>
        <v>0</v>
      </c>
      <c r="H302" s="1">
        <f>'Unformatted Trip Summary'!H300</f>
        <v>0.19138088170000001</v>
      </c>
    </row>
    <row r="303" spans="1:8" x14ac:dyDescent="0.2">
      <c r="A303" t="str">
        <f>'Unformatted Trip Summary'!A301</f>
        <v>04 BAY OF PLENTY</v>
      </c>
      <c r="B303" t="str">
        <f>'Unformatted Trip Summary'!J301</f>
        <v>2037/38</v>
      </c>
      <c r="C303" t="str">
        <f>'Unformatted Trip Summary'!I301</f>
        <v>Other Household Travel</v>
      </c>
      <c r="D303">
        <f>'Unformatted Trip Summary'!D301</f>
        <v>13</v>
      </c>
      <c r="E303">
        <f>'Unformatted Trip Summary'!E301</f>
        <v>34</v>
      </c>
      <c r="F303" s="1">
        <f>'Unformatted Trip Summary'!F301</f>
        <v>0.48390236079999999</v>
      </c>
      <c r="G303" s="1">
        <f>'Unformatted Trip Summary'!G301</f>
        <v>0</v>
      </c>
      <c r="H303" s="1">
        <f>'Unformatted Trip Summary'!H301</f>
        <v>0.184910728</v>
      </c>
    </row>
    <row r="304" spans="1:8" x14ac:dyDescent="0.2">
      <c r="A304" t="str">
        <f>'Unformatted Trip Summary'!A302</f>
        <v>04 BAY OF PLENTY</v>
      </c>
      <c r="B304" t="str">
        <f>'Unformatted Trip Summary'!J302</f>
        <v>2042/43</v>
      </c>
      <c r="C304" t="str">
        <f>'Unformatted Trip Summary'!I302</f>
        <v>Other Household Travel</v>
      </c>
      <c r="D304">
        <f>'Unformatted Trip Summary'!D302</f>
        <v>13</v>
      </c>
      <c r="E304">
        <f>'Unformatted Trip Summary'!E302</f>
        <v>34</v>
      </c>
      <c r="F304" s="1">
        <f>'Unformatted Trip Summary'!F302</f>
        <v>0.4643393394</v>
      </c>
      <c r="G304" s="1">
        <f>'Unformatted Trip Summary'!G302</f>
        <v>0</v>
      </c>
      <c r="H304" s="1">
        <f>'Unformatted Trip Summary'!H302</f>
        <v>0.177638461</v>
      </c>
    </row>
    <row r="305" spans="1:8" x14ac:dyDescent="0.2">
      <c r="A305" t="str">
        <f>'Unformatted Trip Summary'!A303</f>
        <v>04 BAY OF PLENTY</v>
      </c>
      <c r="B305" t="str">
        <f>'Unformatted Trip Summary'!J303</f>
        <v>2012/13</v>
      </c>
      <c r="C305" t="str">
        <f>'Unformatted Trip Summary'!I303</f>
        <v>Air/Non-Local PT</v>
      </c>
      <c r="D305">
        <f>'Unformatted Trip Summary'!D303</f>
        <v>10</v>
      </c>
      <c r="E305">
        <f>'Unformatted Trip Summary'!E303</f>
        <v>20</v>
      </c>
      <c r="F305" s="1">
        <f>'Unformatted Trip Summary'!F303</f>
        <v>0.7132672793</v>
      </c>
      <c r="G305" s="1">
        <f>'Unformatted Trip Summary'!G303</f>
        <v>34.241381883000003</v>
      </c>
      <c r="H305" s="1">
        <f>'Unformatted Trip Summary'!H303</f>
        <v>1.7899343983</v>
      </c>
    </row>
    <row r="306" spans="1:8" x14ac:dyDescent="0.2">
      <c r="A306" t="str">
        <f>'Unformatted Trip Summary'!A304</f>
        <v>04 BAY OF PLENTY</v>
      </c>
      <c r="B306" t="str">
        <f>'Unformatted Trip Summary'!J304</f>
        <v>2017/18</v>
      </c>
      <c r="C306" t="str">
        <f>'Unformatted Trip Summary'!I304</f>
        <v>Air/Non-Local PT</v>
      </c>
      <c r="D306">
        <f>'Unformatted Trip Summary'!D304</f>
        <v>10</v>
      </c>
      <c r="E306">
        <f>'Unformatted Trip Summary'!E304</f>
        <v>20</v>
      </c>
      <c r="F306" s="1">
        <f>'Unformatted Trip Summary'!F304</f>
        <v>0.74443794870000002</v>
      </c>
      <c r="G306" s="1">
        <f>'Unformatted Trip Summary'!G304</f>
        <v>36.605527549999998</v>
      </c>
      <c r="H306" s="1">
        <f>'Unformatted Trip Summary'!H304</f>
        <v>2.1315612314000001</v>
      </c>
    </row>
    <row r="307" spans="1:8" x14ac:dyDescent="0.2">
      <c r="A307" t="str">
        <f>'Unformatted Trip Summary'!A305</f>
        <v>04 BAY OF PLENTY</v>
      </c>
      <c r="B307" t="str">
        <f>'Unformatted Trip Summary'!J305</f>
        <v>2022/23</v>
      </c>
      <c r="C307" t="str">
        <f>'Unformatted Trip Summary'!I305</f>
        <v>Air/Non-Local PT</v>
      </c>
      <c r="D307">
        <f>'Unformatted Trip Summary'!D305</f>
        <v>10</v>
      </c>
      <c r="E307">
        <f>'Unformatted Trip Summary'!E305</f>
        <v>20</v>
      </c>
      <c r="F307" s="1">
        <f>'Unformatted Trip Summary'!F305</f>
        <v>0.7790542265</v>
      </c>
      <c r="G307" s="1">
        <f>'Unformatted Trip Summary'!G305</f>
        <v>38.739281188</v>
      </c>
      <c r="H307" s="1">
        <f>'Unformatted Trip Summary'!H305</f>
        <v>2.4340122272000002</v>
      </c>
    </row>
    <row r="308" spans="1:8" x14ac:dyDescent="0.2">
      <c r="A308" t="str">
        <f>'Unformatted Trip Summary'!A306</f>
        <v>04 BAY OF PLENTY</v>
      </c>
      <c r="B308" t="str">
        <f>'Unformatted Trip Summary'!J306</f>
        <v>2027/28</v>
      </c>
      <c r="C308" t="str">
        <f>'Unformatted Trip Summary'!I306</f>
        <v>Air/Non-Local PT</v>
      </c>
      <c r="D308">
        <f>'Unformatted Trip Summary'!D306</f>
        <v>10</v>
      </c>
      <c r="E308">
        <f>'Unformatted Trip Summary'!E306</f>
        <v>20</v>
      </c>
      <c r="F308" s="1">
        <f>'Unformatted Trip Summary'!F306</f>
        <v>0.80506078859999997</v>
      </c>
      <c r="G308" s="1">
        <f>'Unformatted Trip Summary'!G306</f>
        <v>40.463349653999998</v>
      </c>
      <c r="H308" s="1">
        <f>'Unformatted Trip Summary'!H306</f>
        <v>2.6152779006000002</v>
      </c>
    </row>
    <row r="309" spans="1:8" x14ac:dyDescent="0.2">
      <c r="A309" t="str">
        <f>'Unformatted Trip Summary'!A307</f>
        <v>04 BAY OF PLENTY</v>
      </c>
      <c r="B309" t="str">
        <f>'Unformatted Trip Summary'!J307</f>
        <v>2032/33</v>
      </c>
      <c r="C309" t="str">
        <f>'Unformatted Trip Summary'!I307</f>
        <v>Air/Non-Local PT</v>
      </c>
      <c r="D309">
        <f>'Unformatted Trip Summary'!D307</f>
        <v>10</v>
      </c>
      <c r="E309">
        <f>'Unformatted Trip Summary'!E307</f>
        <v>20</v>
      </c>
      <c r="F309" s="1">
        <f>'Unformatted Trip Summary'!F307</f>
        <v>0.81417213850000003</v>
      </c>
      <c r="G309" s="1">
        <f>'Unformatted Trip Summary'!G307</f>
        <v>41.551235716000001</v>
      </c>
      <c r="H309" s="1">
        <f>'Unformatted Trip Summary'!H307</f>
        <v>2.6904185829</v>
      </c>
    </row>
    <row r="310" spans="1:8" x14ac:dyDescent="0.2">
      <c r="A310" t="str">
        <f>'Unformatted Trip Summary'!A308</f>
        <v>04 BAY OF PLENTY</v>
      </c>
      <c r="B310" t="str">
        <f>'Unformatted Trip Summary'!J308</f>
        <v>2037/38</v>
      </c>
      <c r="C310" t="str">
        <f>'Unformatted Trip Summary'!I308</f>
        <v>Air/Non-Local PT</v>
      </c>
      <c r="D310">
        <f>'Unformatted Trip Summary'!D308</f>
        <v>10</v>
      </c>
      <c r="E310">
        <f>'Unformatted Trip Summary'!E308</f>
        <v>20</v>
      </c>
      <c r="F310" s="1">
        <f>'Unformatted Trip Summary'!F308</f>
        <v>0.85171798340000004</v>
      </c>
      <c r="G310" s="1">
        <f>'Unformatted Trip Summary'!G308</f>
        <v>45.889102512999997</v>
      </c>
      <c r="H310" s="1">
        <f>'Unformatted Trip Summary'!H308</f>
        <v>2.7685630851999998</v>
      </c>
    </row>
    <row r="311" spans="1:8" x14ac:dyDescent="0.2">
      <c r="A311" t="str">
        <f>'Unformatted Trip Summary'!A309</f>
        <v>04 BAY OF PLENTY</v>
      </c>
      <c r="B311" t="str">
        <f>'Unformatted Trip Summary'!J309</f>
        <v>2042/43</v>
      </c>
      <c r="C311" t="str">
        <f>'Unformatted Trip Summary'!I309</f>
        <v>Air/Non-Local PT</v>
      </c>
      <c r="D311">
        <f>'Unformatted Trip Summary'!D309</f>
        <v>10</v>
      </c>
      <c r="E311">
        <f>'Unformatted Trip Summary'!E309</f>
        <v>20</v>
      </c>
      <c r="F311" s="1">
        <f>'Unformatted Trip Summary'!F309</f>
        <v>0.88921075360000001</v>
      </c>
      <c r="G311" s="1">
        <f>'Unformatted Trip Summary'!G309</f>
        <v>50.445577845000003</v>
      </c>
      <c r="H311" s="1">
        <f>'Unformatted Trip Summary'!H309</f>
        <v>2.8374198648000002</v>
      </c>
    </row>
    <row r="312" spans="1:8" x14ac:dyDescent="0.2">
      <c r="A312" t="str">
        <f>'Unformatted Trip Summary'!A310</f>
        <v>04 BAY OF PLENTY</v>
      </c>
      <c r="B312" t="str">
        <f>'Unformatted Trip Summary'!J310</f>
        <v>2012/13</v>
      </c>
      <c r="C312" t="str">
        <f>'Unformatted Trip Summary'!I310</f>
        <v>Non-Household Travel</v>
      </c>
      <c r="D312">
        <f>'Unformatted Trip Summary'!D310</f>
        <v>6</v>
      </c>
      <c r="E312">
        <f>'Unformatted Trip Summary'!E310</f>
        <v>33</v>
      </c>
      <c r="F312" s="1">
        <f>'Unformatted Trip Summary'!F310</f>
        <v>1.4872690419000001</v>
      </c>
      <c r="G312" s="1">
        <f>'Unformatted Trip Summary'!G310</f>
        <v>13.901388431999999</v>
      </c>
      <c r="H312" s="1">
        <f>'Unformatted Trip Summary'!H310</f>
        <v>0.32958292379999998</v>
      </c>
    </row>
    <row r="313" spans="1:8" x14ac:dyDescent="0.2">
      <c r="A313" t="str">
        <f>'Unformatted Trip Summary'!A311</f>
        <v>04 BAY OF PLENTY</v>
      </c>
      <c r="B313" t="str">
        <f>'Unformatted Trip Summary'!J311</f>
        <v>2017/18</v>
      </c>
      <c r="C313" t="str">
        <f>'Unformatted Trip Summary'!I311</f>
        <v>Non-Household Travel</v>
      </c>
      <c r="D313">
        <f>'Unformatted Trip Summary'!D311</f>
        <v>6</v>
      </c>
      <c r="E313">
        <f>'Unformatted Trip Summary'!E311</f>
        <v>33</v>
      </c>
      <c r="F313" s="1">
        <f>'Unformatted Trip Summary'!F311</f>
        <v>1.5864073910000001</v>
      </c>
      <c r="G313" s="1">
        <f>'Unformatted Trip Summary'!G311</f>
        <v>13.60787792</v>
      </c>
      <c r="H313" s="1">
        <f>'Unformatted Trip Summary'!H311</f>
        <v>0.33939279950000001</v>
      </c>
    </row>
    <row r="314" spans="1:8" x14ac:dyDescent="0.2">
      <c r="A314" t="str">
        <f>'Unformatted Trip Summary'!A312</f>
        <v>04 BAY OF PLENTY</v>
      </c>
      <c r="B314" t="str">
        <f>'Unformatted Trip Summary'!J312</f>
        <v>2022/23</v>
      </c>
      <c r="C314" t="str">
        <f>'Unformatted Trip Summary'!I312</f>
        <v>Non-Household Travel</v>
      </c>
      <c r="D314">
        <f>'Unformatted Trip Summary'!D312</f>
        <v>6</v>
      </c>
      <c r="E314">
        <f>'Unformatted Trip Summary'!E312</f>
        <v>33</v>
      </c>
      <c r="F314" s="1">
        <f>'Unformatted Trip Summary'!F312</f>
        <v>1.6284751308000001</v>
      </c>
      <c r="G314" s="1">
        <f>'Unformatted Trip Summary'!G312</f>
        <v>13.062091462</v>
      </c>
      <c r="H314" s="1">
        <f>'Unformatted Trip Summary'!H312</f>
        <v>0.33925528510000003</v>
      </c>
    </row>
    <row r="315" spans="1:8" x14ac:dyDescent="0.2">
      <c r="A315" t="str">
        <f>'Unformatted Trip Summary'!A313</f>
        <v>04 BAY OF PLENTY</v>
      </c>
      <c r="B315" t="str">
        <f>'Unformatted Trip Summary'!J313</f>
        <v>2027/28</v>
      </c>
      <c r="C315" t="str">
        <f>'Unformatted Trip Summary'!I313</f>
        <v>Non-Household Travel</v>
      </c>
      <c r="D315">
        <f>'Unformatted Trip Summary'!D313</f>
        <v>6</v>
      </c>
      <c r="E315">
        <f>'Unformatted Trip Summary'!E313</f>
        <v>33</v>
      </c>
      <c r="F315" s="1">
        <f>'Unformatted Trip Summary'!F313</f>
        <v>1.5857126776999999</v>
      </c>
      <c r="G315" s="1">
        <f>'Unformatted Trip Summary'!G313</f>
        <v>12.241926517</v>
      </c>
      <c r="H315" s="1">
        <f>'Unformatted Trip Summary'!H313</f>
        <v>0.32541571889999998</v>
      </c>
    </row>
    <row r="316" spans="1:8" x14ac:dyDescent="0.2">
      <c r="A316" t="str">
        <f>'Unformatted Trip Summary'!A314</f>
        <v>04 BAY OF PLENTY</v>
      </c>
      <c r="B316" t="str">
        <f>'Unformatted Trip Summary'!J314</f>
        <v>2032/33</v>
      </c>
      <c r="C316" t="str">
        <f>'Unformatted Trip Summary'!I314</f>
        <v>Non-Household Travel</v>
      </c>
      <c r="D316">
        <f>'Unformatted Trip Summary'!D314</f>
        <v>6</v>
      </c>
      <c r="E316">
        <f>'Unformatted Trip Summary'!E314</f>
        <v>33</v>
      </c>
      <c r="F316" s="1">
        <f>'Unformatted Trip Summary'!F314</f>
        <v>1.5269657365</v>
      </c>
      <c r="G316" s="1">
        <f>'Unformatted Trip Summary'!G314</f>
        <v>11.669601833</v>
      </c>
      <c r="H316" s="1">
        <f>'Unformatted Trip Summary'!H314</f>
        <v>0.31206735800000002</v>
      </c>
    </row>
    <row r="317" spans="1:8" x14ac:dyDescent="0.2">
      <c r="A317" t="str">
        <f>'Unformatted Trip Summary'!A315</f>
        <v>04 BAY OF PLENTY</v>
      </c>
      <c r="B317" t="str">
        <f>'Unformatted Trip Summary'!J315</f>
        <v>2037/38</v>
      </c>
      <c r="C317" t="str">
        <f>'Unformatted Trip Summary'!I315</f>
        <v>Non-Household Travel</v>
      </c>
      <c r="D317">
        <f>'Unformatted Trip Summary'!D315</f>
        <v>6</v>
      </c>
      <c r="E317">
        <f>'Unformatted Trip Summary'!E315</f>
        <v>33</v>
      </c>
      <c r="F317" s="1">
        <f>'Unformatted Trip Summary'!F315</f>
        <v>1.4793713159999999</v>
      </c>
      <c r="G317" s="1">
        <f>'Unformatted Trip Summary'!G315</f>
        <v>11.296716919</v>
      </c>
      <c r="H317" s="1">
        <f>'Unformatted Trip Summary'!H315</f>
        <v>0.30256592490000001</v>
      </c>
    </row>
    <row r="318" spans="1:8" x14ac:dyDescent="0.2">
      <c r="A318" t="str">
        <f>'Unformatted Trip Summary'!A316</f>
        <v>04 BAY OF PLENTY</v>
      </c>
      <c r="B318" t="str">
        <f>'Unformatted Trip Summary'!J316</f>
        <v>2042/43</v>
      </c>
      <c r="C318" t="str">
        <f>'Unformatted Trip Summary'!I316</f>
        <v>Non-Household Travel</v>
      </c>
      <c r="D318">
        <f>'Unformatted Trip Summary'!D316</f>
        <v>6</v>
      </c>
      <c r="E318">
        <f>'Unformatted Trip Summary'!E316</f>
        <v>33</v>
      </c>
      <c r="F318" s="1">
        <f>'Unformatted Trip Summary'!F316</f>
        <v>1.4293067497</v>
      </c>
      <c r="G318" s="1">
        <f>'Unformatted Trip Summary'!G316</f>
        <v>10.824450626999999</v>
      </c>
      <c r="H318" s="1">
        <f>'Unformatted Trip Summary'!H316</f>
        <v>0.29172253380000002</v>
      </c>
    </row>
    <row r="319" spans="1:8" x14ac:dyDescent="0.2">
      <c r="A319" t="str">
        <f>'Unformatted Trip Summary'!A317</f>
        <v>05 GISBORNE</v>
      </c>
      <c r="B319" t="str">
        <f>'Unformatted Trip Summary'!J317</f>
        <v>2012/13</v>
      </c>
      <c r="C319" t="str">
        <f>'Unformatted Trip Summary'!I317</f>
        <v>Pedestrian</v>
      </c>
      <c r="D319">
        <f>'Unformatted Trip Summary'!D317</f>
        <v>242</v>
      </c>
      <c r="E319">
        <f>'Unformatted Trip Summary'!E317</f>
        <v>910</v>
      </c>
      <c r="F319" s="1">
        <f>'Unformatted Trip Summary'!F317</f>
        <v>12.564280467</v>
      </c>
      <c r="G319" s="1">
        <f>'Unformatted Trip Summary'!G317</f>
        <v>7.5635235767999998</v>
      </c>
      <c r="H319" s="1">
        <f>'Unformatted Trip Summary'!H317</f>
        <v>2.2694063563000002</v>
      </c>
    </row>
    <row r="320" spans="1:8" x14ac:dyDescent="0.2">
      <c r="A320" t="str">
        <f>'Unformatted Trip Summary'!A318</f>
        <v>05 GISBORNE</v>
      </c>
      <c r="B320" t="str">
        <f>'Unformatted Trip Summary'!J318</f>
        <v>2017/18</v>
      </c>
      <c r="C320" t="str">
        <f>'Unformatted Trip Summary'!I318</f>
        <v>Pedestrian</v>
      </c>
      <c r="D320">
        <f>'Unformatted Trip Summary'!D318</f>
        <v>242</v>
      </c>
      <c r="E320">
        <f>'Unformatted Trip Summary'!E318</f>
        <v>910</v>
      </c>
      <c r="F320" s="1">
        <f>'Unformatted Trip Summary'!F318</f>
        <v>12.142408828000001</v>
      </c>
      <c r="G320" s="1">
        <f>'Unformatted Trip Summary'!G318</f>
        <v>7.3214013378000002</v>
      </c>
      <c r="H320" s="1">
        <f>'Unformatted Trip Summary'!H318</f>
        <v>2.1641548165</v>
      </c>
    </row>
    <row r="321" spans="1:8" x14ac:dyDescent="0.2">
      <c r="A321" t="str">
        <f>'Unformatted Trip Summary'!A319</f>
        <v>05 GISBORNE</v>
      </c>
      <c r="B321" t="str">
        <f>'Unformatted Trip Summary'!J319</f>
        <v>2022/23</v>
      </c>
      <c r="C321" t="str">
        <f>'Unformatted Trip Summary'!I319</f>
        <v>Pedestrian</v>
      </c>
      <c r="D321">
        <f>'Unformatted Trip Summary'!D319</f>
        <v>242</v>
      </c>
      <c r="E321">
        <f>'Unformatted Trip Summary'!E319</f>
        <v>910</v>
      </c>
      <c r="F321" s="1">
        <f>'Unformatted Trip Summary'!F319</f>
        <v>11.767292482</v>
      </c>
      <c r="G321" s="1">
        <f>'Unformatted Trip Summary'!G319</f>
        <v>7.1354192753000003</v>
      </c>
      <c r="H321" s="1">
        <f>'Unformatted Trip Summary'!H319</f>
        <v>2.0719221305</v>
      </c>
    </row>
    <row r="322" spans="1:8" x14ac:dyDescent="0.2">
      <c r="A322" t="str">
        <f>'Unformatted Trip Summary'!A320</f>
        <v>05 GISBORNE</v>
      </c>
      <c r="B322" t="str">
        <f>'Unformatted Trip Summary'!J320</f>
        <v>2027/28</v>
      </c>
      <c r="C322" t="str">
        <f>'Unformatted Trip Summary'!I320</f>
        <v>Pedestrian</v>
      </c>
      <c r="D322">
        <f>'Unformatted Trip Summary'!D320</f>
        <v>242</v>
      </c>
      <c r="E322">
        <f>'Unformatted Trip Summary'!E320</f>
        <v>910</v>
      </c>
      <c r="F322" s="1">
        <f>'Unformatted Trip Summary'!F320</f>
        <v>11.476670889999999</v>
      </c>
      <c r="G322" s="1">
        <f>'Unformatted Trip Summary'!G320</f>
        <v>7.0845506903000004</v>
      </c>
      <c r="H322" s="1">
        <f>'Unformatted Trip Summary'!H320</f>
        <v>2.0198531966000002</v>
      </c>
    </row>
    <row r="323" spans="1:8" x14ac:dyDescent="0.2">
      <c r="A323" t="str">
        <f>'Unformatted Trip Summary'!A321</f>
        <v>05 GISBORNE</v>
      </c>
      <c r="B323" t="str">
        <f>'Unformatted Trip Summary'!J321</f>
        <v>2032/33</v>
      </c>
      <c r="C323" t="str">
        <f>'Unformatted Trip Summary'!I321</f>
        <v>Pedestrian</v>
      </c>
      <c r="D323">
        <f>'Unformatted Trip Summary'!D321</f>
        <v>242</v>
      </c>
      <c r="E323">
        <f>'Unformatted Trip Summary'!E321</f>
        <v>910</v>
      </c>
      <c r="F323" s="1">
        <f>'Unformatted Trip Summary'!F321</f>
        <v>11.121824289999999</v>
      </c>
      <c r="G323" s="1">
        <f>'Unformatted Trip Summary'!G321</f>
        <v>7.0042001376999998</v>
      </c>
      <c r="H323" s="1">
        <f>'Unformatted Trip Summary'!H321</f>
        <v>1.9644710477</v>
      </c>
    </row>
    <row r="324" spans="1:8" x14ac:dyDescent="0.2">
      <c r="A324" t="str">
        <f>'Unformatted Trip Summary'!A322</f>
        <v>05 GISBORNE</v>
      </c>
      <c r="B324" t="str">
        <f>'Unformatted Trip Summary'!J322</f>
        <v>2037/38</v>
      </c>
      <c r="C324" t="str">
        <f>'Unformatted Trip Summary'!I322</f>
        <v>Pedestrian</v>
      </c>
      <c r="D324">
        <f>'Unformatted Trip Summary'!D322</f>
        <v>242</v>
      </c>
      <c r="E324">
        <f>'Unformatted Trip Summary'!E322</f>
        <v>910</v>
      </c>
      <c r="F324" s="1">
        <f>'Unformatted Trip Summary'!F322</f>
        <v>10.745820267999999</v>
      </c>
      <c r="G324" s="1">
        <f>'Unformatted Trip Summary'!G322</f>
        <v>6.8425320151999998</v>
      </c>
      <c r="H324" s="1">
        <f>'Unformatted Trip Summary'!H322</f>
        <v>1.901496155</v>
      </c>
    </row>
    <row r="325" spans="1:8" x14ac:dyDescent="0.2">
      <c r="A325" t="str">
        <f>'Unformatted Trip Summary'!A323</f>
        <v>05 GISBORNE</v>
      </c>
      <c r="B325" t="str">
        <f>'Unformatted Trip Summary'!J323</f>
        <v>2042/43</v>
      </c>
      <c r="C325" t="str">
        <f>'Unformatted Trip Summary'!I323</f>
        <v>Pedestrian</v>
      </c>
      <c r="D325">
        <f>'Unformatted Trip Summary'!D323</f>
        <v>242</v>
      </c>
      <c r="E325">
        <f>'Unformatted Trip Summary'!E323</f>
        <v>910</v>
      </c>
      <c r="F325" s="1">
        <f>'Unformatted Trip Summary'!F323</f>
        <v>10.370735619</v>
      </c>
      <c r="G325" s="1">
        <f>'Unformatted Trip Summary'!G323</f>
        <v>6.7007903966000004</v>
      </c>
      <c r="H325" s="1">
        <f>'Unformatted Trip Summary'!H323</f>
        <v>1.8387176058000001</v>
      </c>
    </row>
    <row r="326" spans="1:8" x14ac:dyDescent="0.2">
      <c r="A326" t="str">
        <f>'Unformatted Trip Summary'!A324</f>
        <v>05 GISBORNE</v>
      </c>
      <c r="B326" t="str">
        <f>'Unformatted Trip Summary'!J324</f>
        <v>2012/13</v>
      </c>
      <c r="C326" t="str">
        <f>'Unformatted Trip Summary'!I324</f>
        <v>Cyclist</v>
      </c>
      <c r="D326">
        <f>'Unformatted Trip Summary'!D324</f>
        <v>27</v>
      </c>
      <c r="E326">
        <f>'Unformatted Trip Summary'!E324</f>
        <v>100</v>
      </c>
      <c r="F326" s="1">
        <f>'Unformatted Trip Summary'!F324</f>
        <v>1.1119455742</v>
      </c>
      <c r="G326" s="1">
        <f>'Unformatted Trip Summary'!G324</f>
        <v>3.8031873472000002</v>
      </c>
      <c r="H326" s="1">
        <f>'Unformatted Trip Summary'!H324</f>
        <v>0.28046850410000002</v>
      </c>
    </row>
    <row r="327" spans="1:8" x14ac:dyDescent="0.2">
      <c r="A327" t="str">
        <f>'Unformatted Trip Summary'!A325</f>
        <v>05 GISBORNE</v>
      </c>
      <c r="B327" t="str">
        <f>'Unformatted Trip Summary'!J325</f>
        <v>2017/18</v>
      </c>
      <c r="C327" t="str">
        <f>'Unformatted Trip Summary'!I325</f>
        <v>Cyclist</v>
      </c>
      <c r="D327">
        <f>'Unformatted Trip Summary'!D325</f>
        <v>27</v>
      </c>
      <c r="E327">
        <f>'Unformatted Trip Summary'!E325</f>
        <v>100</v>
      </c>
      <c r="F327" s="1">
        <f>'Unformatted Trip Summary'!F325</f>
        <v>1.0683317897</v>
      </c>
      <c r="G327" s="1">
        <f>'Unformatted Trip Summary'!G325</f>
        <v>3.4550945738999999</v>
      </c>
      <c r="H327" s="1">
        <f>'Unformatted Trip Summary'!H325</f>
        <v>0.26040143449999997</v>
      </c>
    </row>
    <row r="328" spans="1:8" x14ac:dyDescent="0.2">
      <c r="A328" t="str">
        <f>'Unformatted Trip Summary'!A326</f>
        <v>05 GISBORNE</v>
      </c>
      <c r="B328" t="str">
        <f>'Unformatted Trip Summary'!J326</f>
        <v>2022/23</v>
      </c>
      <c r="C328" t="str">
        <f>'Unformatted Trip Summary'!I326</f>
        <v>Cyclist</v>
      </c>
      <c r="D328">
        <f>'Unformatted Trip Summary'!D326</f>
        <v>27</v>
      </c>
      <c r="E328">
        <f>'Unformatted Trip Summary'!E326</f>
        <v>100</v>
      </c>
      <c r="F328" s="1">
        <f>'Unformatted Trip Summary'!F326</f>
        <v>1.0468345075000001</v>
      </c>
      <c r="G328" s="1">
        <f>'Unformatted Trip Summary'!G326</f>
        <v>3.2670618392000002</v>
      </c>
      <c r="H328" s="1">
        <f>'Unformatted Trip Summary'!H326</f>
        <v>0.2472953483</v>
      </c>
    </row>
    <row r="329" spans="1:8" x14ac:dyDescent="0.2">
      <c r="A329" t="str">
        <f>'Unformatted Trip Summary'!A327</f>
        <v>05 GISBORNE</v>
      </c>
      <c r="B329" t="str">
        <f>'Unformatted Trip Summary'!J327</f>
        <v>2027/28</v>
      </c>
      <c r="C329" t="str">
        <f>'Unformatted Trip Summary'!I327</f>
        <v>Cyclist</v>
      </c>
      <c r="D329">
        <f>'Unformatted Trip Summary'!D327</f>
        <v>27</v>
      </c>
      <c r="E329">
        <f>'Unformatted Trip Summary'!E327</f>
        <v>100</v>
      </c>
      <c r="F329" s="1">
        <f>'Unformatted Trip Summary'!F327</f>
        <v>1.0269517094</v>
      </c>
      <c r="G329" s="1">
        <f>'Unformatted Trip Summary'!G327</f>
        <v>3.1325375879999999</v>
      </c>
      <c r="H329" s="1">
        <f>'Unformatted Trip Summary'!H327</f>
        <v>0.23550375069999999</v>
      </c>
    </row>
    <row r="330" spans="1:8" x14ac:dyDescent="0.2">
      <c r="A330" t="str">
        <f>'Unformatted Trip Summary'!A328</f>
        <v>05 GISBORNE</v>
      </c>
      <c r="B330" t="str">
        <f>'Unformatted Trip Summary'!J328</f>
        <v>2032/33</v>
      </c>
      <c r="C330" t="str">
        <f>'Unformatted Trip Summary'!I328</f>
        <v>Cyclist</v>
      </c>
      <c r="D330">
        <f>'Unformatted Trip Summary'!D328</f>
        <v>27</v>
      </c>
      <c r="E330">
        <f>'Unformatted Trip Summary'!E328</f>
        <v>100</v>
      </c>
      <c r="F330" s="1">
        <f>'Unformatted Trip Summary'!F328</f>
        <v>0.98680121229999995</v>
      </c>
      <c r="G330" s="1">
        <f>'Unformatted Trip Summary'!G328</f>
        <v>2.9482601467</v>
      </c>
      <c r="H330" s="1">
        <f>'Unformatted Trip Summary'!H328</f>
        <v>0.22260464660000001</v>
      </c>
    </row>
    <row r="331" spans="1:8" x14ac:dyDescent="0.2">
      <c r="A331" t="str">
        <f>'Unformatted Trip Summary'!A329</f>
        <v>05 GISBORNE</v>
      </c>
      <c r="B331" t="str">
        <f>'Unformatted Trip Summary'!J329</f>
        <v>2037/38</v>
      </c>
      <c r="C331" t="str">
        <f>'Unformatted Trip Summary'!I329</f>
        <v>Cyclist</v>
      </c>
      <c r="D331">
        <f>'Unformatted Trip Summary'!D329</f>
        <v>27</v>
      </c>
      <c r="E331">
        <f>'Unformatted Trip Summary'!E329</f>
        <v>100</v>
      </c>
      <c r="F331" s="1">
        <f>'Unformatted Trip Summary'!F329</f>
        <v>0.94008986439999997</v>
      </c>
      <c r="G331" s="1">
        <f>'Unformatted Trip Summary'!G329</f>
        <v>2.7203872609999999</v>
      </c>
      <c r="H331" s="1">
        <f>'Unformatted Trip Summary'!H329</f>
        <v>0.20927199660000001</v>
      </c>
    </row>
    <row r="332" spans="1:8" x14ac:dyDescent="0.2">
      <c r="A332" t="str">
        <f>'Unformatted Trip Summary'!A330</f>
        <v>05 GISBORNE</v>
      </c>
      <c r="B332" t="str">
        <f>'Unformatted Trip Summary'!J330</f>
        <v>2042/43</v>
      </c>
      <c r="C332" t="str">
        <f>'Unformatted Trip Summary'!I330</f>
        <v>Cyclist</v>
      </c>
      <c r="D332">
        <f>'Unformatted Trip Summary'!D330</f>
        <v>27</v>
      </c>
      <c r="E332">
        <f>'Unformatted Trip Summary'!E330</f>
        <v>100</v>
      </c>
      <c r="F332" s="1">
        <f>'Unformatted Trip Summary'!F330</f>
        <v>0.89187500519999996</v>
      </c>
      <c r="G332" s="1">
        <f>'Unformatted Trip Summary'!G330</f>
        <v>2.4983628373000002</v>
      </c>
      <c r="H332" s="1">
        <f>'Unformatted Trip Summary'!H330</f>
        <v>0.1958051804</v>
      </c>
    </row>
    <row r="333" spans="1:8" x14ac:dyDescent="0.2">
      <c r="A333" t="str">
        <f>'Unformatted Trip Summary'!A331</f>
        <v>05 GISBORNE</v>
      </c>
      <c r="B333" t="str">
        <f>'Unformatted Trip Summary'!J331</f>
        <v>2012/13</v>
      </c>
      <c r="C333" t="str">
        <f>'Unformatted Trip Summary'!I331</f>
        <v>Light Vehicle Driver</v>
      </c>
      <c r="D333">
        <f>'Unformatted Trip Summary'!D331</f>
        <v>319</v>
      </c>
      <c r="E333">
        <f>'Unformatted Trip Summary'!E331</f>
        <v>2307</v>
      </c>
      <c r="F333" s="1">
        <f>'Unformatted Trip Summary'!F331</f>
        <v>28.776347379000001</v>
      </c>
      <c r="G333" s="1">
        <f>'Unformatted Trip Summary'!G331</f>
        <v>241.40144318</v>
      </c>
      <c r="H333" s="1">
        <f>'Unformatted Trip Summary'!H331</f>
        <v>6.0182660548999998</v>
      </c>
    </row>
    <row r="334" spans="1:8" x14ac:dyDescent="0.2">
      <c r="A334" t="str">
        <f>'Unformatted Trip Summary'!A332</f>
        <v>05 GISBORNE</v>
      </c>
      <c r="B334" t="str">
        <f>'Unformatted Trip Summary'!J332</f>
        <v>2017/18</v>
      </c>
      <c r="C334" t="str">
        <f>'Unformatted Trip Summary'!I332</f>
        <v>Light Vehicle Driver</v>
      </c>
      <c r="D334">
        <f>'Unformatted Trip Summary'!D332</f>
        <v>319</v>
      </c>
      <c r="E334">
        <f>'Unformatted Trip Summary'!E332</f>
        <v>2307</v>
      </c>
      <c r="F334" s="1">
        <f>'Unformatted Trip Summary'!F332</f>
        <v>29.443132583000001</v>
      </c>
      <c r="G334" s="1">
        <f>'Unformatted Trip Summary'!G332</f>
        <v>251.56359605</v>
      </c>
      <c r="H334" s="1">
        <f>'Unformatted Trip Summary'!H332</f>
        <v>6.2491095284</v>
      </c>
    </row>
    <row r="335" spans="1:8" x14ac:dyDescent="0.2">
      <c r="A335" t="str">
        <f>'Unformatted Trip Summary'!A333</f>
        <v>05 GISBORNE</v>
      </c>
      <c r="B335" t="str">
        <f>'Unformatted Trip Summary'!J333</f>
        <v>2022/23</v>
      </c>
      <c r="C335" t="str">
        <f>'Unformatted Trip Summary'!I333</f>
        <v>Light Vehicle Driver</v>
      </c>
      <c r="D335">
        <f>'Unformatted Trip Summary'!D333</f>
        <v>319</v>
      </c>
      <c r="E335">
        <f>'Unformatted Trip Summary'!E333</f>
        <v>2307</v>
      </c>
      <c r="F335" s="1">
        <f>'Unformatted Trip Summary'!F333</f>
        <v>29.525948649</v>
      </c>
      <c r="G335" s="1">
        <f>'Unformatted Trip Summary'!G333</f>
        <v>254.27543401</v>
      </c>
      <c r="H335" s="1">
        <f>'Unformatted Trip Summary'!H333</f>
        <v>6.3254718859999999</v>
      </c>
    </row>
    <row r="336" spans="1:8" x14ac:dyDescent="0.2">
      <c r="A336" t="str">
        <f>'Unformatted Trip Summary'!A334</f>
        <v>05 GISBORNE</v>
      </c>
      <c r="B336" t="str">
        <f>'Unformatted Trip Summary'!J334</f>
        <v>2027/28</v>
      </c>
      <c r="C336" t="str">
        <f>'Unformatted Trip Summary'!I334</f>
        <v>Light Vehicle Driver</v>
      </c>
      <c r="D336">
        <f>'Unformatted Trip Summary'!D334</f>
        <v>319</v>
      </c>
      <c r="E336">
        <f>'Unformatted Trip Summary'!E334</f>
        <v>2307</v>
      </c>
      <c r="F336" s="1">
        <f>'Unformatted Trip Summary'!F334</f>
        <v>29.310806385999999</v>
      </c>
      <c r="G336" s="1">
        <f>'Unformatted Trip Summary'!G334</f>
        <v>253.19937268999999</v>
      </c>
      <c r="H336" s="1">
        <f>'Unformatted Trip Summary'!H334</f>
        <v>6.3241445859000001</v>
      </c>
    </row>
    <row r="337" spans="1:8" x14ac:dyDescent="0.2">
      <c r="A337" t="str">
        <f>'Unformatted Trip Summary'!A335</f>
        <v>05 GISBORNE</v>
      </c>
      <c r="B337" t="str">
        <f>'Unformatted Trip Summary'!J335</f>
        <v>2032/33</v>
      </c>
      <c r="C337" t="str">
        <f>'Unformatted Trip Summary'!I335</f>
        <v>Light Vehicle Driver</v>
      </c>
      <c r="D337">
        <f>'Unformatted Trip Summary'!D335</f>
        <v>319</v>
      </c>
      <c r="E337">
        <f>'Unformatted Trip Summary'!E335</f>
        <v>2307</v>
      </c>
      <c r="F337" s="1">
        <f>'Unformatted Trip Summary'!F335</f>
        <v>28.926517855</v>
      </c>
      <c r="G337" s="1">
        <f>'Unformatted Trip Summary'!G335</f>
        <v>251.24364360999999</v>
      </c>
      <c r="H337" s="1">
        <f>'Unformatted Trip Summary'!H335</f>
        <v>6.2854819881999999</v>
      </c>
    </row>
    <row r="338" spans="1:8" x14ac:dyDescent="0.2">
      <c r="A338" t="str">
        <f>'Unformatted Trip Summary'!A336</f>
        <v>05 GISBORNE</v>
      </c>
      <c r="B338" t="str">
        <f>'Unformatted Trip Summary'!J336</f>
        <v>2037/38</v>
      </c>
      <c r="C338" t="str">
        <f>'Unformatted Trip Summary'!I336</f>
        <v>Light Vehicle Driver</v>
      </c>
      <c r="D338">
        <f>'Unformatted Trip Summary'!D336</f>
        <v>319</v>
      </c>
      <c r="E338">
        <f>'Unformatted Trip Summary'!E336</f>
        <v>2307</v>
      </c>
      <c r="F338" s="1">
        <f>'Unformatted Trip Summary'!F336</f>
        <v>28.561166501999999</v>
      </c>
      <c r="G338" s="1">
        <f>'Unformatted Trip Summary'!G336</f>
        <v>249.18902521000001</v>
      </c>
      <c r="H338" s="1">
        <f>'Unformatted Trip Summary'!H336</f>
        <v>6.2443405288999996</v>
      </c>
    </row>
    <row r="339" spans="1:8" x14ac:dyDescent="0.2">
      <c r="A339" t="str">
        <f>'Unformatted Trip Summary'!A337</f>
        <v>05 GISBORNE</v>
      </c>
      <c r="B339" t="str">
        <f>'Unformatted Trip Summary'!J337</f>
        <v>2042/43</v>
      </c>
      <c r="C339" t="str">
        <f>'Unformatted Trip Summary'!I337</f>
        <v>Light Vehicle Driver</v>
      </c>
      <c r="D339">
        <f>'Unformatted Trip Summary'!D337</f>
        <v>319</v>
      </c>
      <c r="E339">
        <f>'Unformatted Trip Summary'!E337</f>
        <v>2307</v>
      </c>
      <c r="F339" s="1">
        <f>'Unformatted Trip Summary'!F337</f>
        <v>28.121779471</v>
      </c>
      <c r="G339" s="1">
        <f>'Unformatted Trip Summary'!G337</f>
        <v>246.26123222000001</v>
      </c>
      <c r="H339" s="1">
        <f>'Unformatted Trip Summary'!H337</f>
        <v>6.1860664785999999</v>
      </c>
    </row>
    <row r="340" spans="1:8" x14ac:dyDescent="0.2">
      <c r="A340" t="str">
        <f>'Unformatted Trip Summary'!A338</f>
        <v>05 GISBORNE</v>
      </c>
      <c r="B340" t="str">
        <f>'Unformatted Trip Summary'!J338</f>
        <v>2012/13</v>
      </c>
      <c r="C340" t="str">
        <f>'Unformatted Trip Summary'!I338</f>
        <v>Light Vehicle Passenger</v>
      </c>
      <c r="D340">
        <f>'Unformatted Trip Summary'!D338</f>
        <v>278</v>
      </c>
      <c r="E340">
        <f>'Unformatted Trip Summary'!E338</f>
        <v>1431</v>
      </c>
      <c r="F340" s="1">
        <f>'Unformatted Trip Summary'!F338</f>
        <v>18.791024854</v>
      </c>
      <c r="G340" s="1">
        <f>'Unformatted Trip Summary'!G338</f>
        <v>174.74236519999999</v>
      </c>
      <c r="H340" s="1">
        <f>'Unformatted Trip Summary'!H338</f>
        <v>4.5909579553000004</v>
      </c>
    </row>
    <row r="341" spans="1:8" x14ac:dyDescent="0.2">
      <c r="A341" t="str">
        <f>'Unformatted Trip Summary'!A339</f>
        <v>05 GISBORNE</v>
      </c>
      <c r="B341" t="str">
        <f>'Unformatted Trip Summary'!J339</f>
        <v>2017/18</v>
      </c>
      <c r="C341" t="str">
        <f>'Unformatted Trip Summary'!I339</f>
        <v>Light Vehicle Passenger</v>
      </c>
      <c r="D341">
        <f>'Unformatted Trip Summary'!D339</f>
        <v>278</v>
      </c>
      <c r="E341">
        <f>'Unformatted Trip Summary'!E339</f>
        <v>1431</v>
      </c>
      <c r="F341" s="1">
        <f>'Unformatted Trip Summary'!F339</f>
        <v>17.671432620000001</v>
      </c>
      <c r="G341" s="1">
        <f>'Unformatted Trip Summary'!G339</f>
        <v>165.91769871</v>
      </c>
      <c r="H341" s="1">
        <f>'Unformatted Trip Summary'!H339</f>
        <v>4.3965142607000001</v>
      </c>
    </row>
    <row r="342" spans="1:8" x14ac:dyDescent="0.2">
      <c r="A342" t="str">
        <f>'Unformatted Trip Summary'!A340</f>
        <v>05 GISBORNE</v>
      </c>
      <c r="B342" t="str">
        <f>'Unformatted Trip Summary'!J340</f>
        <v>2022/23</v>
      </c>
      <c r="C342" t="str">
        <f>'Unformatted Trip Summary'!I340</f>
        <v>Light Vehicle Passenger</v>
      </c>
      <c r="D342">
        <f>'Unformatted Trip Summary'!D340</f>
        <v>278</v>
      </c>
      <c r="E342">
        <f>'Unformatted Trip Summary'!E340</f>
        <v>1431</v>
      </c>
      <c r="F342" s="1">
        <f>'Unformatted Trip Summary'!F340</f>
        <v>16.709269882000001</v>
      </c>
      <c r="G342" s="1">
        <f>'Unformatted Trip Summary'!G340</f>
        <v>158.59136022000001</v>
      </c>
      <c r="H342" s="1">
        <f>'Unformatted Trip Summary'!H340</f>
        <v>4.2195789627</v>
      </c>
    </row>
    <row r="343" spans="1:8" x14ac:dyDescent="0.2">
      <c r="A343" t="str">
        <f>'Unformatted Trip Summary'!A341</f>
        <v>05 GISBORNE</v>
      </c>
      <c r="B343" t="str">
        <f>'Unformatted Trip Summary'!J341</f>
        <v>2027/28</v>
      </c>
      <c r="C343" t="str">
        <f>'Unformatted Trip Summary'!I341</f>
        <v>Light Vehicle Passenger</v>
      </c>
      <c r="D343">
        <f>'Unformatted Trip Summary'!D341</f>
        <v>278</v>
      </c>
      <c r="E343">
        <f>'Unformatted Trip Summary'!E341</f>
        <v>1431</v>
      </c>
      <c r="F343" s="1">
        <f>'Unformatted Trip Summary'!F341</f>
        <v>16.001085391</v>
      </c>
      <c r="G343" s="1">
        <f>'Unformatted Trip Summary'!G341</f>
        <v>154.27993871000001</v>
      </c>
      <c r="H343" s="1">
        <f>'Unformatted Trip Summary'!H341</f>
        <v>4.1145001251000002</v>
      </c>
    </row>
    <row r="344" spans="1:8" x14ac:dyDescent="0.2">
      <c r="A344" t="str">
        <f>'Unformatted Trip Summary'!A342</f>
        <v>05 GISBORNE</v>
      </c>
      <c r="B344" t="str">
        <f>'Unformatted Trip Summary'!J342</f>
        <v>2032/33</v>
      </c>
      <c r="C344" t="str">
        <f>'Unformatted Trip Summary'!I342</f>
        <v>Light Vehicle Passenger</v>
      </c>
      <c r="D344">
        <f>'Unformatted Trip Summary'!D342</f>
        <v>278</v>
      </c>
      <c r="E344">
        <f>'Unformatted Trip Summary'!E342</f>
        <v>1431</v>
      </c>
      <c r="F344" s="1">
        <f>'Unformatted Trip Summary'!F342</f>
        <v>15.359200202</v>
      </c>
      <c r="G344" s="1">
        <f>'Unformatted Trip Summary'!G342</f>
        <v>148.29510931999999</v>
      </c>
      <c r="H344" s="1">
        <f>'Unformatted Trip Summary'!H342</f>
        <v>3.9722447651000001</v>
      </c>
    </row>
    <row r="345" spans="1:8" x14ac:dyDescent="0.2">
      <c r="A345" t="str">
        <f>'Unformatted Trip Summary'!A343</f>
        <v>05 GISBORNE</v>
      </c>
      <c r="B345" t="str">
        <f>'Unformatted Trip Summary'!J343</f>
        <v>2037/38</v>
      </c>
      <c r="C345" t="str">
        <f>'Unformatted Trip Summary'!I343</f>
        <v>Light Vehicle Passenger</v>
      </c>
      <c r="D345">
        <f>'Unformatted Trip Summary'!D343</f>
        <v>278</v>
      </c>
      <c r="E345">
        <f>'Unformatted Trip Summary'!E343</f>
        <v>1431</v>
      </c>
      <c r="F345" s="1">
        <f>'Unformatted Trip Summary'!F343</f>
        <v>14.893223539999999</v>
      </c>
      <c r="G345" s="1">
        <f>'Unformatted Trip Summary'!G343</f>
        <v>143.30285739999999</v>
      </c>
      <c r="H345" s="1">
        <f>'Unformatted Trip Summary'!H343</f>
        <v>3.8820178683000002</v>
      </c>
    </row>
    <row r="346" spans="1:8" x14ac:dyDescent="0.2">
      <c r="A346" t="str">
        <f>'Unformatted Trip Summary'!A344</f>
        <v>05 GISBORNE</v>
      </c>
      <c r="B346" t="str">
        <f>'Unformatted Trip Summary'!J344</f>
        <v>2042/43</v>
      </c>
      <c r="C346" t="str">
        <f>'Unformatted Trip Summary'!I344</f>
        <v>Light Vehicle Passenger</v>
      </c>
      <c r="D346">
        <f>'Unformatted Trip Summary'!D344</f>
        <v>278</v>
      </c>
      <c r="E346">
        <f>'Unformatted Trip Summary'!E344</f>
        <v>1431</v>
      </c>
      <c r="F346" s="1">
        <f>'Unformatted Trip Summary'!F344</f>
        <v>14.392162568</v>
      </c>
      <c r="G346" s="1">
        <f>'Unformatted Trip Summary'!G344</f>
        <v>137.94193118000001</v>
      </c>
      <c r="H346" s="1">
        <f>'Unformatted Trip Summary'!H344</f>
        <v>3.7841423748</v>
      </c>
    </row>
    <row r="347" spans="1:8" x14ac:dyDescent="0.2">
      <c r="A347" t="str">
        <f>'Unformatted Trip Summary'!A345</f>
        <v>05 GISBORNE</v>
      </c>
      <c r="B347" t="str">
        <f>'Unformatted Trip Summary'!J345</f>
        <v>2012/13</v>
      </c>
      <c r="C347" t="str">
        <f>'Unformatted Trip Summary'!I345</f>
        <v>Taxi/Vehicle Share</v>
      </c>
      <c r="D347">
        <f>'Unformatted Trip Summary'!D345</f>
        <v>2</v>
      </c>
      <c r="E347">
        <f>'Unformatted Trip Summary'!E345</f>
        <v>2</v>
      </c>
      <c r="F347" s="1">
        <f>'Unformatted Trip Summary'!F345</f>
        <v>2.27015811E-2</v>
      </c>
      <c r="G347" s="1">
        <f>'Unformatted Trip Summary'!G345</f>
        <v>0.1174510768</v>
      </c>
      <c r="H347" s="1">
        <f>'Unformatted Trip Summary'!H345</f>
        <v>5.0534828E-3</v>
      </c>
    </row>
    <row r="348" spans="1:8" x14ac:dyDescent="0.2">
      <c r="A348" t="str">
        <f>'Unformatted Trip Summary'!A346</f>
        <v>05 GISBORNE</v>
      </c>
      <c r="B348" t="str">
        <f>'Unformatted Trip Summary'!J346</f>
        <v>2017/18</v>
      </c>
      <c r="C348" t="str">
        <f>'Unformatted Trip Summary'!I346</f>
        <v>Taxi/Vehicle Share</v>
      </c>
      <c r="D348">
        <f>'Unformatted Trip Summary'!D346</f>
        <v>2</v>
      </c>
      <c r="E348">
        <f>'Unformatted Trip Summary'!E346</f>
        <v>2</v>
      </c>
      <c r="F348" s="1">
        <f>'Unformatted Trip Summary'!F346</f>
        <v>2.4811977400000001E-2</v>
      </c>
      <c r="G348" s="1">
        <f>'Unformatted Trip Summary'!G346</f>
        <v>0.1638076577</v>
      </c>
      <c r="H348" s="1">
        <f>'Unformatted Trip Summary'!H346</f>
        <v>6.8502542000000001E-3</v>
      </c>
    </row>
    <row r="349" spans="1:8" x14ac:dyDescent="0.2">
      <c r="A349" t="str">
        <f>'Unformatted Trip Summary'!A347</f>
        <v>05 GISBORNE</v>
      </c>
      <c r="B349" t="str">
        <f>'Unformatted Trip Summary'!J347</f>
        <v>2022/23</v>
      </c>
      <c r="C349" t="str">
        <f>'Unformatted Trip Summary'!I347</f>
        <v>Taxi/Vehicle Share</v>
      </c>
      <c r="D349">
        <f>'Unformatted Trip Summary'!D347</f>
        <v>2</v>
      </c>
      <c r="E349">
        <f>'Unformatted Trip Summary'!E347</f>
        <v>2</v>
      </c>
      <c r="F349" s="1">
        <f>'Unformatted Trip Summary'!F347</f>
        <v>2.9629036300000001E-2</v>
      </c>
      <c r="G349" s="1">
        <f>'Unformatted Trip Summary'!G347</f>
        <v>0.23694604799999999</v>
      </c>
      <c r="H349" s="1">
        <f>'Unformatted Trip Summary'!H347</f>
        <v>9.7280309999999998E-3</v>
      </c>
    </row>
    <row r="350" spans="1:8" x14ac:dyDescent="0.2">
      <c r="A350" t="str">
        <f>'Unformatted Trip Summary'!A348</f>
        <v>05 GISBORNE</v>
      </c>
      <c r="B350" t="str">
        <f>'Unformatted Trip Summary'!J348</f>
        <v>2027/28</v>
      </c>
      <c r="C350" t="str">
        <f>'Unformatted Trip Summary'!I348</f>
        <v>Taxi/Vehicle Share</v>
      </c>
      <c r="D350">
        <f>'Unformatted Trip Summary'!D348</f>
        <v>2</v>
      </c>
      <c r="E350">
        <f>'Unformatted Trip Summary'!E348</f>
        <v>2</v>
      </c>
      <c r="F350" s="1">
        <f>'Unformatted Trip Summary'!F348</f>
        <v>3.7503022300000001E-2</v>
      </c>
      <c r="G350" s="1">
        <f>'Unformatted Trip Summary'!G348</f>
        <v>0.34430738779999998</v>
      </c>
      <c r="H350" s="1">
        <f>'Unformatted Trip Summary'!H348</f>
        <v>1.39755626E-2</v>
      </c>
    </row>
    <row r="351" spans="1:8" x14ac:dyDescent="0.2">
      <c r="A351" t="str">
        <f>'Unformatted Trip Summary'!A349</f>
        <v>05 GISBORNE</v>
      </c>
      <c r="B351" t="str">
        <f>'Unformatted Trip Summary'!J349</f>
        <v>2032/33</v>
      </c>
      <c r="C351" t="str">
        <f>'Unformatted Trip Summary'!I349</f>
        <v>Taxi/Vehicle Share</v>
      </c>
      <c r="D351">
        <f>'Unformatted Trip Summary'!D349</f>
        <v>2</v>
      </c>
      <c r="E351">
        <f>'Unformatted Trip Summary'!E349</f>
        <v>2</v>
      </c>
      <c r="F351" s="1">
        <f>'Unformatted Trip Summary'!F349</f>
        <v>4.5445870399999998E-2</v>
      </c>
      <c r="G351" s="1">
        <f>'Unformatted Trip Summary'!G349</f>
        <v>0.46271353910000002</v>
      </c>
      <c r="H351" s="1">
        <f>'Unformatted Trip Summary'!H349</f>
        <v>1.8638658499999999E-2</v>
      </c>
    </row>
    <row r="352" spans="1:8" x14ac:dyDescent="0.2">
      <c r="A352" t="str">
        <f>'Unformatted Trip Summary'!A350</f>
        <v>05 GISBORNE</v>
      </c>
      <c r="B352" t="str">
        <f>'Unformatted Trip Summary'!J350</f>
        <v>2037/38</v>
      </c>
      <c r="C352" t="str">
        <f>'Unformatted Trip Summary'!I350</f>
        <v>Taxi/Vehicle Share</v>
      </c>
      <c r="D352">
        <f>'Unformatted Trip Summary'!D350</f>
        <v>2</v>
      </c>
      <c r="E352">
        <f>'Unformatted Trip Summary'!E350</f>
        <v>2</v>
      </c>
      <c r="F352" s="1">
        <f>'Unformatted Trip Summary'!F350</f>
        <v>5.17664787E-2</v>
      </c>
      <c r="G352" s="1">
        <f>'Unformatted Trip Summary'!G350</f>
        <v>0.54845742289999999</v>
      </c>
      <c r="H352" s="1">
        <f>'Unformatted Trip Summary'!H350</f>
        <v>2.2031865599999999E-2</v>
      </c>
    </row>
    <row r="353" spans="1:8" x14ac:dyDescent="0.2">
      <c r="A353" t="str">
        <f>'Unformatted Trip Summary'!A351</f>
        <v>05 GISBORNE</v>
      </c>
      <c r="B353" t="str">
        <f>'Unformatted Trip Summary'!J351</f>
        <v>2042/43</v>
      </c>
      <c r="C353" t="str">
        <f>'Unformatted Trip Summary'!I351</f>
        <v>Taxi/Vehicle Share</v>
      </c>
      <c r="D353">
        <f>'Unformatted Trip Summary'!D351</f>
        <v>2</v>
      </c>
      <c r="E353">
        <f>'Unformatted Trip Summary'!E351</f>
        <v>2</v>
      </c>
      <c r="F353" s="1">
        <f>'Unformatted Trip Summary'!F351</f>
        <v>5.9023290700000001E-2</v>
      </c>
      <c r="G353" s="1">
        <f>'Unformatted Trip Summary'!G351</f>
        <v>0.64775924309999999</v>
      </c>
      <c r="H353" s="1">
        <f>'Unformatted Trip Summary'!H351</f>
        <v>2.5959785799999999E-2</v>
      </c>
    </row>
    <row r="354" spans="1:8" x14ac:dyDescent="0.2">
      <c r="A354" t="str">
        <f>'Unformatted Trip Summary'!A352</f>
        <v>05 GISBORNE</v>
      </c>
      <c r="B354" t="str">
        <f>'Unformatted Trip Summary'!J352</f>
        <v>2012/13</v>
      </c>
      <c r="C354" t="str">
        <f>'Unformatted Trip Summary'!I352</f>
        <v>Motorcyclist</v>
      </c>
      <c r="D354">
        <f>'Unformatted Trip Summary'!D352</f>
        <v>3</v>
      </c>
      <c r="E354">
        <f>'Unformatted Trip Summary'!E352</f>
        <v>16</v>
      </c>
      <c r="F354" s="1">
        <f>'Unformatted Trip Summary'!F352</f>
        <v>0.20072163900000001</v>
      </c>
      <c r="G354" s="1">
        <f>'Unformatted Trip Summary'!G352</f>
        <v>0.95186353219999997</v>
      </c>
      <c r="H354" s="1">
        <f>'Unformatted Trip Summary'!H352</f>
        <v>4.6418087199999999E-2</v>
      </c>
    </row>
    <row r="355" spans="1:8" x14ac:dyDescent="0.2">
      <c r="A355" t="str">
        <f>'Unformatted Trip Summary'!A353</f>
        <v>05 GISBORNE</v>
      </c>
      <c r="B355" t="str">
        <f>'Unformatted Trip Summary'!J353</f>
        <v>2017/18</v>
      </c>
      <c r="C355" t="str">
        <f>'Unformatted Trip Summary'!I353</f>
        <v>Motorcyclist</v>
      </c>
      <c r="D355">
        <f>'Unformatted Trip Summary'!D353</f>
        <v>3</v>
      </c>
      <c r="E355">
        <f>'Unformatted Trip Summary'!E353</f>
        <v>16</v>
      </c>
      <c r="F355" s="1">
        <f>'Unformatted Trip Summary'!F353</f>
        <v>0.2021256957</v>
      </c>
      <c r="G355" s="1">
        <f>'Unformatted Trip Summary'!G353</f>
        <v>0.98749501529999995</v>
      </c>
      <c r="H355" s="1">
        <f>'Unformatted Trip Summary'!H353</f>
        <v>4.68425944E-2</v>
      </c>
    </row>
    <row r="356" spans="1:8" x14ac:dyDescent="0.2">
      <c r="A356" t="str">
        <f>'Unformatted Trip Summary'!A354</f>
        <v>05 GISBORNE</v>
      </c>
      <c r="B356" t="str">
        <f>'Unformatted Trip Summary'!J354</f>
        <v>2022/23</v>
      </c>
      <c r="C356" t="str">
        <f>'Unformatted Trip Summary'!I354</f>
        <v>Motorcyclist</v>
      </c>
      <c r="D356">
        <f>'Unformatted Trip Summary'!D354</f>
        <v>3</v>
      </c>
      <c r="E356">
        <f>'Unformatted Trip Summary'!E354</f>
        <v>16</v>
      </c>
      <c r="F356" s="1">
        <f>'Unformatted Trip Summary'!F354</f>
        <v>0.19350012259999999</v>
      </c>
      <c r="G356" s="1">
        <f>'Unformatted Trip Summary'!G354</f>
        <v>0.97068374609999997</v>
      </c>
      <c r="H356" s="1">
        <f>'Unformatted Trip Summary'!H354</f>
        <v>4.4957090800000002E-2</v>
      </c>
    </row>
    <row r="357" spans="1:8" x14ac:dyDescent="0.2">
      <c r="A357" t="str">
        <f>'Unformatted Trip Summary'!A355</f>
        <v>05 GISBORNE</v>
      </c>
      <c r="B357" t="str">
        <f>'Unformatted Trip Summary'!J355</f>
        <v>2027/28</v>
      </c>
      <c r="C357" t="str">
        <f>'Unformatted Trip Summary'!I355</f>
        <v>Motorcyclist</v>
      </c>
      <c r="D357">
        <f>'Unformatted Trip Summary'!D355</f>
        <v>3</v>
      </c>
      <c r="E357">
        <f>'Unformatted Trip Summary'!E355</f>
        <v>16</v>
      </c>
      <c r="F357" s="1">
        <f>'Unformatted Trip Summary'!F355</f>
        <v>0.17843270510000001</v>
      </c>
      <c r="G357" s="1">
        <f>'Unformatted Trip Summary'!G355</f>
        <v>0.92017352600000002</v>
      </c>
      <c r="H357" s="1">
        <f>'Unformatted Trip Summary'!H355</f>
        <v>4.1729614200000001E-2</v>
      </c>
    </row>
    <row r="358" spans="1:8" x14ac:dyDescent="0.2">
      <c r="A358" t="str">
        <f>'Unformatted Trip Summary'!A356</f>
        <v>05 GISBORNE</v>
      </c>
      <c r="B358" t="str">
        <f>'Unformatted Trip Summary'!J356</f>
        <v>2032/33</v>
      </c>
      <c r="C358" t="str">
        <f>'Unformatted Trip Summary'!I356</f>
        <v>Motorcyclist</v>
      </c>
      <c r="D358">
        <f>'Unformatted Trip Summary'!D356</f>
        <v>3</v>
      </c>
      <c r="E358">
        <f>'Unformatted Trip Summary'!E356</f>
        <v>16</v>
      </c>
      <c r="F358" s="1">
        <f>'Unformatted Trip Summary'!F356</f>
        <v>0.16463461169999999</v>
      </c>
      <c r="G358" s="1">
        <f>'Unformatted Trip Summary'!G356</f>
        <v>0.85173746500000003</v>
      </c>
      <c r="H358" s="1">
        <f>'Unformatted Trip Summary'!H356</f>
        <v>3.8688853799999999E-2</v>
      </c>
    </row>
    <row r="359" spans="1:8" x14ac:dyDescent="0.2">
      <c r="A359" t="str">
        <f>'Unformatted Trip Summary'!A357</f>
        <v>05 GISBORNE</v>
      </c>
      <c r="B359" t="str">
        <f>'Unformatted Trip Summary'!J357</f>
        <v>2037/38</v>
      </c>
      <c r="C359" t="str">
        <f>'Unformatted Trip Summary'!I357</f>
        <v>Motorcyclist</v>
      </c>
      <c r="D359">
        <f>'Unformatted Trip Summary'!D357</f>
        <v>3</v>
      </c>
      <c r="E359">
        <f>'Unformatted Trip Summary'!E357</f>
        <v>16</v>
      </c>
      <c r="F359" s="1">
        <f>'Unformatted Trip Summary'!F357</f>
        <v>0.1536602088</v>
      </c>
      <c r="G359" s="1">
        <f>'Unformatted Trip Summary'!G357</f>
        <v>0.78405372780000004</v>
      </c>
      <c r="H359" s="1">
        <f>'Unformatted Trip Summary'!H357</f>
        <v>3.6190141199999998E-2</v>
      </c>
    </row>
    <row r="360" spans="1:8" x14ac:dyDescent="0.2">
      <c r="A360" t="str">
        <f>'Unformatted Trip Summary'!A358</f>
        <v>05 GISBORNE</v>
      </c>
      <c r="B360" t="str">
        <f>'Unformatted Trip Summary'!J358</f>
        <v>2042/43</v>
      </c>
      <c r="C360" t="str">
        <f>'Unformatted Trip Summary'!I358</f>
        <v>Motorcyclist</v>
      </c>
      <c r="D360">
        <f>'Unformatted Trip Summary'!D358</f>
        <v>3</v>
      </c>
      <c r="E360">
        <f>'Unformatted Trip Summary'!E358</f>
        <v>16</v>
      </c>
      <c r="F360" s="1">
        <f>'Unformatted Trip Summary'!F358</f>
        <v>0.14195436249999999</v>
      </c>
      <c r="G360" s="1">
        <f>'Unformatted Trip Summary'!G358</f>
        <v>0.71635773290000004</v>
      </c>
      <c r="H360" s="1">
        <f>'Unformatted Trip Summary'!H358</f>
        <v>3.3522573700000002E-2</v>
      </c>
    </row>
    <row r="361" spans="1:8" x14ac:dyDescent="0.2">
      <c r="A361" t="str">
        <f>'Unformatted Trip Summary'!A359</f>
        <v>05 GISBORNE</v>
      </c>
      <c r="B361" t="str">
        <f>'Unformatted Trip Summary'!J359</f>
        <v>2012/13</v>
      </c>
      <c r="C361" t="str">
        <f>'Unformatted Trip Summary'!I359</f>
        <v>Local Train</v>
      </c>
      <c r="D361">
        <f>'Unformatted Trip Summary'!D359</f>
        <v>1</v>
      </c>
      <c r="E361">
        <f>'Unformatted Trip Summary'!E359</f>
        <v>3</v>
      </c>
      <c r="F361" s="1">
        <f>'Unformatted Trip Summary'!F359</f>
        <v>2.2764127700000001E-2</v>
      </c>
      <c r="G361" s="1">
        <f>'Unformatted Trip Summary'!G359</f>
        <v>0</v>
      </c>
      <c r="H361" s="1">
        <f>'Unformatted Trip Summary'!H359</f>
        <v>2.5293475000000001E-3</v>
      </c>
    </row>
    <row r="362" spans="1:8" x14ac:dyDescent="0.2">
      <c r="A362" t="str">
        <f>'Unformatted Trip Summary'!A360</f>
        <v>05 GISBORNE</v>
      </c>
      <c r="B362" t="str">
        <f>'Unformatted Trip Summary'!J360</f>
        <v>2017/18</v>
      </c>
      <c r="C362" t="str">
        <f>'Unformatted Trip Summary'!I360</f>
        <v>Local Train</v>
      </c>
      <c r="D362">
        <f>'Unformatted Trip Summary'!D360</f>
        <v>1</v>
      </c>
      <c r="E362">
        <f>'Unformatted Trip Summary'!E360</f>
        <v>3</v>
      </c>
      <c r="F362" s="1">
        <f>'Unformatted Trip Summary'!F360</f>
        <v>3.4434643500000001E-2</v>
      </c>
      <c r="G362" s="1">
        <f>'Unformatted Trip Summary'!G360</f>
        <v>0</v>
      </c>
      <c r="H362" s="1">
        <f>'Unformatted Trip Summary'!H360</f>
        <v>3.8260715000000001E-3</v>
      </c>
    </row>
    <row r="363" spans="1:8" x14ac:dyDescent="0.2">
      <c r="A363" t="str">
        <f>'Unformatted Trip Summary'!A361</f>
        <v>05 GISBORNE</v>
      </c>
      <c r="B363" t="str">
        <f>'Unformatted Trip Summary'!J361</f>
        <v>2022/23</v>
      </c>
      <c r="C363" t="str">
        <f>'Unformatted Trip Summary'!I361</f>
        <v>Local Train</v>
      </c>
      <c r="D363">
        <f>'Unformatted Trip Summary'!D361</f>
        <v>1</v>
      </c>
      <c r="E363">
        <f>'Unformatted Trip Summary'!E361</f>
        <v>3</v>
      </c>
      <c r="F363" s="1">
        <f>'Unformatted Trip Summary'!F361</f>
        <v>5.2264401500000002E-2</v>
      </c>
      <c r="G363" s="1">
        <f>'Unformatted Trip Summary'!G361</f>
        <v>0</v>
      </c>
      <c r="H363" s="1">
        <f>'Unformatted Trip Summary'!H361</f>
        <v>5.8071557000000003E-3</v>
      </c>
    </row>
    <row r="364" spans="1:8" x14ac:dyDescent="0.2">
      <c r="A364" t="str">
        <f>'Unformatted Trip Summary'!A362</f>
        <v>05 GISBORNE</v>
      </c>
      <c r="B364" t="str">
        <f>'Unformatted Trip Summary'!J362</f>
        <v>2027/28</v>
      </c>
      <c r="C364" t="str">
        <f>'Unformatted Trip Summary'!I362</f>
        <v>Local Train</v>
      </c>
      <c r="D364">
        <f>'Unformatted Trip Summary'!D362</f>
        <v>1</v>
      </c>
      <c r="E364">
        <f>'Unformatted Trip Summary'!E362</f>
        <v>3</v>
      </c>
      <c r="F364" s="1">
        <f>'Unformatted Trip Summary'!F362</f>
        <v>7.8122237299999994E-2</v>
      </c>
      <c r="G364" s="1">
        <f>'Unformatted Trip Summary'!G362</f>
        <v>0</v>
      </c>
      <c r="H364" s="1">
        <f>'Unformatted Trip Summary'!H362</f>
        <v>8.6802486000000009E-3</v>
      </c>
    </row>
    <row r="365" spans="1:8" x14ac:dyDescent="0.2">
      <c r="A365" t="str">
        <f>'Unformatted Trip Summary'!A363</f>
        <v>05 GISBORNE</v>
      </c>
      <c r="B365" t="str">
        <f>'Unformatted Trip Summary'!J363</f>
        <v>2032/33</v>
      </c>
      <c r="C365" t="str">
        <f>'Unformatted Trip Summary'!I363</f>
        <v>Local Train</v>
      </c>
      <c r="D365">
        <f>'Unformatted Trip Summary'!D363</f>
        <v>1</v>
      </c>
      <c r="E365">
        <f>'Unformatted Trip Summary'!E363</f>
        <v>3</v>
      </c>
      <c r="F365" s="1">
        <f>'Unformatted Trip Summary'!F363</f>
        <v>0.106930819</v>
      </c>
      <c r="G365" s="1">
        <f>'Unformatted Trip Summary'!G363</f>
        <v>0</v>
      </c>
      <c r="H365" s="1">
        <f>'Unformatted Trip Summary'!H363</f>
        <v>1.18812021E-2</v>
      </c>
    </row>
    <row r="366" spans="1:8" x14ac:dyDescent="0.2">
      <c r="A366" t="str">
        <f>'Unformatted Trip Summary'!A364</f>
        <v>05 GISBORNE</v>
      </c>
      <c r="B366" t="str">
        <f>'Unformatted Trip Summary'!J364</f>
        <v>2037/38</v>
      </c>
      <c r="C366" t="str">
        <f>'Unformatted Trip Summary'!I364</f>
        <v>Local Train</v>
      </c>
      <c r="D366">
        <f>'Unformatted Trip Summary'!D364</f>
        <v>1</v>
      </c>
      <c r="E366">
        <f>'Unformatted Trip Summary'!E364</f>
        <v>3</v>
      </c>
      <c r="F366" s="1">
        <f>'Unformatted Trip Summary'!F364</f>
        <v>0.12756954540000001</v>
      </c>
      <c r="G366" s="1">
        <f>'Unformatted Trip Summary'!G364</f>
        <v>0</v>
      </c>
      <c r="H366" s="1">
        <f>'Unformatted Trip Summary'!H364</f>
        <v>1.41743939E-2</v>
      </c>
    </row>
    <row r="367" spans="1:8" x14ac:dyDescent="0.2">
      <c r="A367" t="str">
        <f>'Unformatted Trip Summary'!A365</f>
        <v>05 GISBORNE</v>
      </c>
      <c r="B367" t="str">
        <f>'Unformatted Trip Summary'!J365</f>
        <v>2042/43</v>
      </c>
      <c r="C367" t="str">
        <f>'Unformatted Trip Summary'!I365</f>
        <v>Local Train</v>
      </c>
      <c r="D367">
        <f>'Unformatted Trip Summary'!D365</f>
        <v>1</v>
      </c>
      <c r="E367">
        <f>'Unformatted Trip Summary'!E365</f>
        <v>3</v>
      </c>
      <c r="F367" s="1">
        <f>'Unformatted Trip Summary'!F365</f>
        <v>0.15149648299999999</v>
      </c>
      <c r="G367" s="1">
        <f>'Unformatted Trip Summary'!G365</f>
        <v>0</v>
      </c>
      <c r="H367" s="1">
        <f>'Unformatted Trip Summary'!H365</f>
        <v>1.6832942600000001E-2</v>
      </c>
    </row>
    <row r="368" spans="1:8" x14ac:dyDescent="0.2">
      <c r="A368" t="str">
        <f>'Unformatted Trip Summary'!A366</f>
        <v>05 GISBORNE</v>
      </c>
      <c r="B368" t="str">
        <f>'Unformatted Trip Summary'!J366</f>
        <v>2012/13</v>
      </c>
      <c r="C368" t="str">
        <f>'Unformatted Trip Summary'!I366</f>
        <v>Local Bus</v>
      </c>
      <c r="D368">
        <f>'Unformatted Trip Summary'!D366</f>
        <v>18</v>
      </c>
      <c r="E368">
        <f>'Unformatted Trip Summary'!E366</f>
        <v>34</v>
      </c>
      <c r="F368" s="1">
        <f>'Unformatted Trip Summary'!F366</f>
        <v>0.39415976190000002</v>
      </c>
      <c r="G368" s="1">
        <f>'Unformatted Trip Summary'!G366</f>
        <v>4.8778387282000004</v>
      </c>
      <c r="H368" s="1">
        <f>'Unformatted Trip Summary'!H366</f>
        <v>0.17812381360000001</v>
      </c>
    </row>
    <row r="369" spans="1:8" x14ac:dyDescent="0.2">
      <c r="A369" t="str">
        <f>'Unformatted Trip Summary'!A367</f>
        <v>05 GISBORNE</v>
      </c>
      <c r="B369" t="str">
        <f>'Unformatted Trip Summary'!J367</f>
        <v>2017/18</v>
      </c>
      <c r="C369" t="str">
        <f>'Unformatted Trip Summary'!I367</f>
        <v>Local Bus</v>
      </c>
      <c r="D369">
        <f>'Unformatted Trip Summary'!D367</f>
        <v>18</v>
      </c>
      <c r="E369">
        <f>'Unformatted Trip Summary'!E367</f>
        <v>34</v>
      </c>
      <c r="F369" s="1">
        <f>'Unformatted Trip Summary'!F367</f>
        <v>0.35686035490000001</v>
      </c>
      <c r="G369" s="1">
        <f>'Unformatted Trip Summary'!G367</f>
        <v>4.3745403245999999</v>
      </c>
      <c r="H369" s="1">
        <f>'Unformatted Trip Summary'!H367</f>
        <v>0.16129306030000001</v>
      </c>
    </row>
    <row r="370" spans="1:8" x14ac:dyDescent="0.2">
      <c r="A370" t="str">
        <f>'Unformatted Trip Summary'!A368</f>
        <v>05 GISBORNE</v>
      </c>
      <c r="B370" t="str">
        <f>'Unformatted Trip Summary'!J368</f>
        <v>2022/23</v>
      </c>
      <c r="C370" t="str">
        <f>'Unformatted Trip Summary'!I368</f>
        <v>Local Bus</v>
      </c>
      <c r="D370">
        <f>'Unformatted Trip Summary'!D368</f>
        <v>18</v>
      </c>
      <c r="E370">
        <f>'Unformatted Trip Summary'!E368</f>
        <v>34</v>
      </c>
      <c r="F370" s="1">
        <f>'Unformatted Trip Summary'!F368</f>
        <v>0.33600546850000002</v>
      </c>
      <c r="G370" s="1">
        <f>'Unformatted Trip Summary'!G368</f>
        <v>4.0372990479000004</v>
      </c>
      <c r="H370" s="1">
        <f>'Unformatted Trip Summary'!H368</f>
        <v>0.15210868250000001</v>
      </c>
    </row>
    <row r="371" spans="1:8" x14ac:dyDescent="0.2">
      <c r="A371" t="str">
        <f>'Unformatted Trip Summary'!A369</f>
        <v>05 GISBORNE</v>
      </c>
      <c r="B371" t="str">
        <f>'Unformatted Trip Summary'!J369</f>
        <v>2027/28</v>
      </c>
      <c r="C371" t="str">
        <f>'Unformatted Trip Summary'!I369</f>
        <v>Local Bus</v>
      </c>
      <c r="D371">
        <f>'Unformatted Trip Summary'!D369</f>
        <v>18</v>
      </c>
      <c r="E371">
        <f>'Unformatted Trip Summary'!E369</f>
        <v>34</v>
      </c>
      <c r="F371" s="1">
        <f>'Unformatted Trip Summary'!F369</f>
        <v>0.33883576570000001</v>
      </c>
      <c r="G371" s="1">
        <f>'Unformatted Trip Summary'!G369</f>
        <v>3.9517236578000001</v>
      </c>
      <c r="H371" s="1">
        <f>'Unformatted Trip Summary'!H369</f>
        <v>0.15247802060000001</v>
      </c>
    </row>
    <row r="372" spans="1:8" x14ac:dyDescent="0.2">
      <c r="A372" t="str">
        <f>'Unformatted Trip Summary'!A370</f>
        <v>05 GISBORNE</v>
      </c>
      <c r="B372" t="str">
        <f>'Unformatted Trip Summary'!J370</f>
        <v>2032/33</v>
      </c>
      <c r="C372" t="str">
        <f>'Unformatted Trip Summary'!I370</f>
        <v>Local Bus</v>
      </c>
      <c r="D372">
        <f>'Unformatted Trip Summary'!D370</f>
        <v>18</v>
      </c>
      <c r="E372">
        <f>'Unformatted Trip Summary'!E370</f>
        <v>34</v>
      </c>
      <c r="F372" s="1">
        <f>'Unformatted Trip Summary'!F370</f>
        <v>0.34490867069999998</v>
      </c>
      <c r="G372" s="1">
        <f>'Unformatted Trip Summary'!G370</f>
        <v>3.6798282111999998</v>
      </c>
      <c r="H372" s="1">
        <f>'Unformatted Trip Summary'!H370</f>
        <v>0.15217471990000001</v>
      </c>
    </row>
    <row r="373" spans="1:8" x14ac:dyDescent="0.2">
      <c r="A373" t="str">
        <f>'Unformatted Trip Summary'!A371</f>
        <v>05 GISBORNE</v>
      </c>
      <c r="B373" t="str">
        <f>'Unformatted Trip Summary'!J371</f>
        <v>2037/38</v>
      </c>
      <c r="C373" t="str">
        <f>'Unformatted Trip Summary'!I371</f>
        <v>Local Bus</v>
      </c>
      <c r="D373">
        <f>'Unformatted Trip Summary'!D371</f>
        <v>18</v>
      </c>
      <c r="E373">
        <f>'Unformatted Trip Summary'!E371</f>
        <v>34</v>
      </c>
      <c r="F373" s="1">
        <f>'Unformatted Trip Summary'!F371</f>
        <v>0.34785918659999998</v>
      </c>
      <c r="G373" s="1">
        <f>'Unformatted Trip Summary'!G371</f>
        <v>3.6314756244000002</v>
      </c>
      <c r="H373" s="1">
        <f>'Unformatted Trip Summary'!H371</f>
        <v>0.15475789549999999</v>
      </c>
    </row>
    <row r="374" spans="1:8" x14ac:dyDescent="0.2">
      <c r="A374" t="str">
        <f>'Unformatted Trip Summary'!A372</f>
        <v>05 GISBORNE</v>
      </c>
      <c r="B374" t="str">
        <f>'Unformatted Trip Summary'!J372</f>
        <v>2042/43</v>
      </c>
      <c r="C374" t="str">
        <f>'Unformatted Trip Summary'!I372</f>
        <v>Local Bus</v>
      </c>
      <c r="D374">
        <f>'Unformatted Trip Summary'!D372</f>
        <v>18</v>
      </c>
      <c r="E374">
        <f>'Unformatted Trip Summary'!E372</f>
        <v>34</v>
      </c>
      <c r="F374" s="1">
        <f>'Unformatted Trip Summary'!F372</f>
        <v>0.35373411329999999</v>
      </c>
      <c r="G374" s="1">
        <f>'Unformatted Trip Summary'!G372</f>
        <v>3.5762527427999999</v>
      </c>
      <c r="H374" s="1">
        <f>'Unformatted Trip Summary'!H372</f>
        <v>0.15817257330000001</v>
      </c>
    </row>
    <row r="375" spans="1:8" x14ac:dyDescent="0.2">
      <c r="A375" t="str">
        <f>'Unformatted Trip Summary'!A373</f>
        <v>05 GISBORNE</v>
      </c>
      <c r="B375" t="str">
        <f>'Unformatted Trip Summary'!J373</f>
        <v>2012/13</v>
      </c>
      <c r="C375" t="str">
        <f>'Unformatted Trip Summary'!I373</f>
        <v>Local Ferry</v>
      </c>
      <c r="D375">
        <f>'Unformatted Trip Summary'!D373</f>
        <v>1</v>
      </c>
      <c r="E375">
        <f>'Unformatted Trip Summary'!E373</f>
        <v>2</v>
      </c>
      <c r="F375" s="1">
        <f>'Unformatted Trip Summary'!F373</f>
        <v>1.5651153399999999E-2</v>
      </c>
      <c r="G375" s="1">
        <f>'Unformatted Trip Summary'!G373</f>
        <v>0</v>
      </c>
      <c r="H375" s="1">
        <f>'Unformatted Trip Summary'!H373</f>
        <v>6.5213138999999998E-3</v>
      </c>
    </row>
    <row r="376" spans="1:8" x14ac:dyDescent="0.2">
      <c r="A376" t="str">
        <f>'Unformatted Trip Summary'!A374</f>
        <v>05 GISBORNE</v>
      </c>
      <c r="B376" t="str">
        <f>'Unformatted Trip Summary'!J374</f>
        <v>2017/18</v>
      </c>
      <c r="C376" t="str">
        <f>'Unformatted Trip Summary'!I374</f>
        <v>Local Ferry</v>
      </c>
      <c r="D376">
        <f>'Unformatted Trip Summary'!D374</f>
        <v>1</v>
      </c>
      <c r="E376">
        <f>'Unformatted Trip Summary'!E374</f>
        <v>2</v>
      </c>
      <c r="F376" s="1">
        <f>'Unformatted Trip Summary'!F374</f>
        <v>1.5020386300000001E-2</v>
      </c>
      <c r="G376" s="1">
        <f>'Unformatted Trip Summary'!G374</f>
        <v>0</v>
      </c>
      <c r="H376" s="1">
        <f>'Unformatted Trip Summary'!H374</f>
        <v>6.2584943000000004E-3</v>
      </c>
    </row>
    <row r="377" spans="1:8" x14ac:dyDescent="0.2">
      <c r="A377" t="str">
        <f>'Unformatted Trip Summary'!A375</f>
        <v>05 GISBORNE</v>
      </c>
      <c r="B377" t="str">
        <f>'Unformatted Trip Summary'!J375</f>
        <v>2022/23</v>
      </c>
      <c r="C377" t="str">
        <f>'Unformatted Trip Summary'!I375</f>
        <v>Local Ferry</v>
      </c>
      <c r="D377">
        <f>'Unformatted Trip Summary'!D375</f>
        <v>1</v>
      </c>
      <c r="E377">
        <f>'Unformatted Trip Summary'!E375</f>
        <v>2</v>
      </c>
      <c r="F377" s="1">
        <f>'Unformatted Trip Summary'!F375</f>
        <v>1.4228919499999999E-2</v>
      </c>
      <c r="G377" s="1">
        <f>'Unformatted Trip Summary'!G375</f>
        <v>0</v>
      </c>
      <c r="H377" s="1">
        <f>'Unformatted Trip Summary'!H375</f>
        <v>5.9287165000000003E-3</v>
      </c>
    </row>
    <row r="378" spans="1:8" x14ac:dyDescent="0.2">
      <c r="A378" t="str">
        <f>'Unformatted Trip Summary'!A376</f>
        <v>05 GISBORNE</v>
      </c>
      <c r="B378" t="str">
        <f>'Unformatted Trip Summary'!J376</f>
        <v>2027/28</v>
      </c>
      <c r="C378" t="str">
        <f>'Unformatted Trip Summary'!I376</f>
        <v>Local Ferry</v>
      </c>
      <c r="D378">
        <f>'Unformatted Trip Summary'!D376</f>
        <v>1</v>
      </c>
      <c r="E378">
        <f>'Unformatted Trip Summary'!E376</f>
        <v>2</v>
      </c>
      <c r="F378" s="1">
        <f>'Unformatted Trip Summary'!F376</f>
        <v>1.2986311400000001E-2</v>
      </c>
      <c r="G378" s="1">
        <f>'Unformatted Trip Summary'!G376</f>
        <v>0</v>
      </c>
      <c r="H378" s="1">
        <f>'Unformatted Trip Summary'!H376</f>
        <v>5.4109631E-3</v>
      </c>
    </row>
    <row r="379" spans="1:8" x14ac:dyDescent="0.2">
      <c r="A379" t="str">
        <f>'Unformatted Trip Summary'!A377</f>
        <v>05 GISBORNE</v>
      </c>
      <c r="B379" t="str">
        <f>'Unformatted Trip Summary'!J377</f>
        <v>2032/33</v>
      </c>
      <c r="C379" t="str">
        <f>'Unformatted Trip Summary'!I377</f>
        <v>Local Ferry</v>
      </c>
      <c r="D379">
        <f>'Unformatted Trip Summary'!D377</f>
        <v>1</v>
      </c>
      <c r="E379">
        <f>'Unformatted Trip Summary'!E377</f>
        <v>2</v>
      </c>
      <c r="F379" s="1">
        <f>'Unformatted Trip Summary'!F377</f>
        <v>1.34539477E-2</v>
      </c>
      <c r="G379" s="1">
        <f>'Unformatted Trip Summary'!G377</f>
        <v>0</v>
      </c>
      <c r="H379" s="1">
        <f>'Unformatted Trip Summary'!H377</f>
        <v>5.6058115000000002E-3</v>
      </c>
    </row>
    <row r="380" spans="1:8" x14ac:dyDescent="0.2">
      <c r="A380" t="str">
        <f>'Unformatted Trip Summary'!A378</f>
        <v>05 GISBORNE</v>
      </c>
      <c r="B380" t="str">
        <f>'Unformatted Trip Summary'!J378</f>
        <v>2037/38</v>
      </c>
      <c r="C380" t="str">
        <f>'Unformatted Trip Summary'!I378</f>
        <v>Local Ferry</v>
      </c>
      <c r="D380">
        <f>'Unformatted Trip Summary'!D378</f>
        <v>1</v>
      </c>
      <c r="E380">
        <f>'Unformatted Trip Summary'!E378</f>
        <v>2</v>
      </c>
      <c r="F380" s="1">
        <f>'Unformatted Trip Summary'!F378</f>
        <v>1.50244121E-2</v>
      </c>
      <c r="G380" s="1">
        <f>'Unformatted Trip Summary'!G378</f>
        <v>0</v>
      </c>
      <c r="H380" s="1">
        <f>'Unformatted Trip Summary'!H378</f>
        <v>6.2601716999999999E-3</v>
      </c>
    </row>
    <row r="381" spans="1:8" x14ac:dyDescent="0.2">
      <c r="A381" t="str">
        <f>'Unformatted Trip Summary'!A379</f>
        <v>05 GISBORNE</v>
      </c>
      <c r="B381" t="str">
        <f>'Unformatted Trip Summary'!J379</f>
        <v>2042/43</v>
      </c>
      <c r="C381" t="str">
        <f>'Unformatted Trip Summary'!I379</f>
        <v>Local Ferry</v>
      </c>
      <c r="D381">
        <f>'Unformatted Trip Summary'!D379</f>
        <v>1</v>
      </c>
      <c r="E381">
        <f>'Unformatted Trip Summary'!E379</f>
        <v>2</v>
      </c>
      <c r="F381" s="1">
        <f>'Unformatted Trip Summary'!F379</f>
        <v>1.6544597099999999E-2</v>
      </c>
      <c r="G381" s="1">
        <f>'Unformatted Trip Summary'!G379</f>
        <v>0</v>
      </c>
      <c r="H381" s="1">
        <f>'Unformatted Trip Summary'!H379</f>
        <v>6.8935821000000001E-3</v>
      </c>
    </row>
    <row r="382" spans="1:8" x14ac:dyDescent="0.2">
      <c r="A382" t="str">
        <f>'Unformatted Trip Summary'!A380</f>
        <v>05 GISBORNE</v>
      </c>
      <c r="B382" t="str">
        <f>'Unformatted Trip Summary'!J380</f>
        <v>2012/13</v>
      </c>
      <c r="C382" t="str">
        <f>'Unformatted Trip Summary'!I380</f>
        <v>Other Household Travel</v>
      </c>
      <c r="D382">
        <f>'Unformatted Trip Summary'!D380</f>
        <v>1</v>
      </c>
      <c r="E382">
        <f>'Unformatted Trip Summary'!E380</f>
        <v>2</v>
      </c>
      <c r="F382" s="1">
        <f>'Unformatted Trip Summary'!F380</f>
        <v>3.13358953E-2</v>
      </c>
      <c r="G382" s="1">
        <f>'Unformatted Trip Summary'!G380</f>
        <v>0</v>
      </c>
      <c r="H382" s="1">
        <f>'Unformatted Trip Summary'!H380</f>
        <v>5.2226492000000003E-3</v>
      </c>
    </row>
    <row r="383" spans="1:8" x14ac:dyDescent="0.2">
      <c r="A383" t="str">
        <f>'Unformatted Trip Summary'!A381</f>
        <v>05 GISBORNE</v>
      </c>
      <c r="B383" t="str">
        <f>'Unformatted Trip Summary'!J381</f>
        <v>2017/18</v>
      </c>
      <c r="C383" t="str">
        <f>'Unformatted Trip Summary'!I381</f>
        <v>Other Household Travel</v>
      </c>
      <c r="D383">
        <f>'Unformatted Trip Summary'!D381</f>
        <v>1</v>
      </c>
      <c r="E383">
        <f>'Unformatted Trip Summary'!E381</f>
        <v>2</v>
      </c>
      <c r="F383" s="1">
        <f>'Unformatted Trip Summary'!F381</f>
        <v>2.6646337400000001E-2</v>
      </c>
      <c r="G383" s="1">
        <f>'Unformatted Trip Summary'!G381</f>
        <v>0</v>
      </c>
      <c r="H383" s="1">
        <f>'Unformatted Trip Summary'!H381</f>
        <v>4.4410561999999997E-3</v>
      </c>
    </row>
    <row r="384" spans="1:8" x14ac:dyDescent="0.2">
      <c r="A384" t="str">
        <f>'Unformatted Trip Summary'!A382</f>
        <v>05 GISBORNE</v>
      </c>
      <c r="B384" t="str">
        <f>'Unformatted Trip Summary'!J382</f>
        <v>2022/23</v>
      </c>
      <c r="C384" t="str">
        <f>'Unformatted Trip Summary'!I382</f>
        <v>Other Household Travel</v>
      </c>
      <c r="D384">
        <f>'Unformatted Trip Summary'!D382</f>
        <v>1</v>
      </c>
      <c r="E384">
        <f>'Unformatted Trip Summary'!E382</f>
        <v>2</v>
      </c>
      <c r="F384" s="1">
        <f>'Unformatted Trip Summary'!F382</f>
        <v>2.0238863700000002E-2</v>
      </c>
      <c r="G384" s="1">
        <f>'Unformatted Trip Summary'!G382</f>
        <v>0</v>
      </c>
      <c r="H384" s="1">
        <f>'Unformatted Trip Summary'!H382</f>
        <v>3.3731439999999998E-3</v>
      </c>
    </row>
    <row r="385" spans="1:8" x14ac:dyDescent="0.2">
      <c r="A385" t="str">
        <f>'Unformatted Trip Summary'!A383</f>
        <v>05 GISBORNE</v>
      </c>
      <c r="B385" t="str">
        <f>'Unformatted Trip Summary'!J383</f>
        <v>2027/28</v>
      </c>
      <c r="C385" t="str">
        <f>'Unformatted Trip Summary'!I383</f>
        <v>Other Household Travel</v>
      </c>
      <c r="D385">
        <f>'Unformatted Trip Summary'!D383</f>
        <v>1</v>
      </c>
      <c r="E385">
        <f>'Unformatted Trip Summary'!E383</f>
        <v>2</v>
      </c>
      <c r="F385" s="1">
        <f>'Unformatted Trip Summary'!F383</f>
        <v>2.0581495299999999E-2</v>
      </c>
      <c r="G385" s="1">
        <f>'Unformatted Trip Summary'!G383</f>
        <v>0</v>
      </c>
      <c r="H385" s="1">
        <f>'Unformatted Trip Summary'!H383</f>
        <v>3.4302491999999999E-3</v>
      </c>
    </row>
    <row r="386" spans="1:8" x14ac:dyDescent="0.2">
      <c r="A386" t="str">
        <f>'Unformatted Trip Summary'!A384</f>
        <v>05 GISBORNE</v>
      </c>
      <c r="B386" t="str">
        <f>'Unformatted Trip Summary'!J384</f>
        <v>2032/33</v>
      </c>
      <c r="C386" t="str">
        <f>'Unformatted Trip Summary'!I384</f>
        <v>Other Household Travel</v>
      </c>
      <c r="D386">
        <f>'Unformatted Trip Summary'!D384</f>
        <v>1</v>
      </c>
      <c r="E386">
        <f>'Unformatted Trip Summary'!E384</f>
        <v>2</v>
      </c>
      <c r="F386" s="1">
        <f>'Unformatted Trip Summary'!F384</f>
        <v>1.9836614499999999E-2</v>
      </c>
      <c r="G386" s="1">
        <f>'Unformatted Trip Summary'!G384</f>
        <v>0</v>
      </c>
      <c r="H386" s="1">
        <f>'Unformatted Trip Summary'!H384</f>
        <v>3.3061024000000001E-3</v>
      </c>
    </row>
    <row r="387" spans="1:8" x14ac:dyDescent="0.2">
      <c r="A387" t="str">
        <f>'Unformatted Trip Summary'!A385</f>
        <v>05 GISBORNE</v>
      </c>
      <c r="B387" t="str">
        <f>'Unformatted Trip Summary'!J385</f>
        <v>2037/38</v>
      </c>
      <c r="C387" t="str">
        <f>'Unformatted Trip Summary'!I385</f>
        <v>Other Household Travel</v>
      </c>
      <c r="D387">
        <f>'Unformatted Trip Summary'!D385</f>
        <v>1</v>
      </c>
      <c r="E387">
        <f>'Unformatted Trip Summary'!E385</f>
        <v>2</v>
      </c>
      <c r="F387" s="1">
        <f>'Unformatted Trip Summary'!F385</f>
        <v>1.73395015E-2</v>
      </c>
      <c r="G387" s="1">
        <f>'Unformatted Trip Summary'!G385</f>
        <v>0</v>
      </c>
      <c r="H387" s="1">
        <f>'Unformatted Trip Summary'!H385</f>
        <v>2.8899169000000001E-3</v>
      </c>
    </row>
    <row r="388" spans="1:8" x14ac:dyDescent="0.2">
      <c r="A388" t="str">
        <f>'Unformatted Trip Summary'!A386</f>
        <v>05 GISBORNE</v>
      </c>
      <c r="B388" t="str">
        <f>'Unformatted Trip Summary'!J386</f>
        <v>2042/43</v>
      </c>
      <c r="C388" t="str">
        <f>'Unformatted Trip Summary'!I386</f>
        <v>Other Household Travel</v>
      </c>
      <c r="D388">
        <f>'Unformatted Trip Summary'!D386</f>
        <v>1</v>
      </c>
      <c r="E388">
        <f>'Unformatted Trip Summary'!E386</f>
        <v>2</v>
      </c>
      <c r="F388" s="1">
        <f>'Unformatted Trip Summary'!F386</f>
        <v>1.48788966E-2</v>
      </c>
      <c r="G388" s="1">
        <f>'Unformatted Trip Summary'!G386</f>
        <v>0</v>
      </c>
      <c r="H388" s="1">
        <f>'Unformatted Trip Summary'!H386</f>
        <v>2.4798161000000002E-3</v>
      </c>
    </row>
    <row r="389" spans="1:8" x14ac:dyDescent="0.2">
      <c r="A389" t="str">
        <f>'Unformatted Trip Summary'!A387</f>
        <v>05 GISBORNE</v>
      </c>
      <c r="B389" t="str">
        <f>'Unformatted Trip Summary'!J387</f>
        <v>2012/13</v>
      </c>
      <c r="C389" t="str">
        <f>'Unformatted Trip Summary'!I387</f>
        <v>Air/Non-Local PT</v>
      </c>
      <c r="D389">
        <f>'Unformatted Trip Summary'!D387</f>
        <v>12</v>
      </c>
      <c r="E389">
        <f>'Unformatted Trip Summary'!E387</f>
        <v>20</v>
      </c>
      <c r="F389" s="1">
        <f>'Unformatted Trip Summary'!F387</f>
        <v>0.31271654580000002</v>
      </c>
      <c r="G389" s="1">
        <f>'Unformatted Trip Summary'!G387</f>
        <v>23.012948782999999</v>
      </c>
      <c r="H389" s="1">
        <f>'Unformatted Trip Summary'!H387</f>
        <v>0.66485160600000004</v>
      </c>
    </row>
    <row r="390" spans="1:8" x14ac:dyDescent="0.2">
      <c r="A390" t="str">
        <f>'Unformatted Trip Summary'!A388</f>
        <v>05 GISBORNE</v>
      </c>
      <c r="B390" t="str">
        <f>'Unformatted Trip Summary'!J388</f>
        <v>2017/18</v>
      </c>
      <c r="C390" t="str">
        <f>'Unformatted Trip Summary'!I388</f>
        <v>Air/Non-Local PT</v>
      </c>
      <c r="D390">
        <f>'Unformatted Trip Summary'!D388</f>
        <v>12</v>
      </c>
      <c r="E390">
        <f>'Unformatted Trip Summary'!E388</f>
        <v>20</v>
      </c>
      <c r="F390" s="1">
        <f>'Unformatted Trip Summary'!F388</f>
        <v>0.30624986780000002</v>
      </c>
      <c r="G390" s="1">
        <f>'Unformatted Trip Summary'!G388</f>
        <v>22.180711374000001</v>
      </c>
      <c r="H390" s="1">
        <f>'Unformatted Trip Summary'!H388</f>
        <v>0.63993223870000004</v>
      </c>
    </row>
    <row r="391" spans="1:8" x14ac:dyDescent="0.2">
      <c r="A391" t="str">
        <f>'Unformatted Trip Summary'!A389</f>
        <v>05 GISBORNE</v>
      </c>
      <c r="B391" t="str">
        <f>'Unformatted Trip Summary'!J389</f>
        <v>2022/23</v>
      </c>
      <c r="C391" t="str">
        <f>'Unformatted Trip Summary'!I389</f>
        <v>Air/Non-Local PT</v>
      </c>
      <c r="D391">
        <f>'Unformatted Trip Summary'!D389</f>
        <v>12</v>
      </c>
      <c r="E391">
        <f>'Unformatted Trip Summary'!E389</f>
        <v>20</v>
      </c>
      <c r="F391" s="1">
        <f>'Unformatted Trip Summary'!F389</f>
        <v>0.30098139190000001</v>
      </c>
      <c r="G391" s="1">
        <f>'Unformatted Trip Summary'!G389</f>
        <v>21.587036612999999</v>
      </c>
      <c r="H391" s="1">
        <f>'Unformatted Trip Summary'!H389</f>
        <v>0.62253032519999996</v>
      </c>
    </row>
    <row r="392" spans="1:8" x14ac:dyDescent="0.2">
      <c r="A392" t="str">
        <f>'Unformatted Trip Summary'!A390</f>
        <v>05 GISBORNE</v>
      </c>
      <c r="B392" t="str">
        <f>'Unformatted Trip Summary'!J390</f>
        <v>2027/28</v>
      </c>
      <c r="C392" t="str">
        <f>'Unformatted Trip Summary'!I390</f>
        <v>Air/Non-Local PT</v>
      </c>
      <c r="D392">
        <f>'Unformatted Trip Summary'!D390</f>
        <v>12</v>
      </c>
      <c r="E392">
        <f>'Unformatted Trip Summary'!E390</f>
        <v>20</v>
      </c>
      <c r="F392" s="1">
        <f>'Unformatted Trip Summary'!F390</f>
        <v>0.30356849009999998</v>
      </c>
      <c r="G392" s="1">
        <f>'Unformatted Trip Summary'!G390</f>
        <v>21.302769654999999</v>
      </c>
      <c r="H392" s="1">
        <f>'Unformatted Trip Summary'!H390</f>
        <v>0.62026477879999997</v>
      </c>
    </row>
    <row r="393" spans="1:8" x14ac:dyDescent="0.2">
      <c r="A393" t="str">
        <f>'Unformatted Trip Summary'!A391</f>
        <v>05 GISBORNE</v>
      </c>
      <c r="B393" t="str">
        <f>'Unformatted Trip Summary'!J391</f>
        <v>2032/33</v>
      </c>
      <c r="C393" t="str">
        <f>'Unformatted Trip Summary'!I391</f>
        <v>Air/Non-Local PT</v>
      </c>
      <c r="D393">
        <f>'Unformatted Trip Summary'!D391</f>
        <v>12</v>
      </c>
      <c r="E393">
        <f>'Unformatted Trip Summary'!E391</f>
        <v>20</v>
      </c>
      <c r="F393" s="1">
        <f>'Unformatted Trip Summary'!F391</f>
        <v>0.3042879376</v>
      </c>
      <c r="G393" s="1">
        <f>'Unformatted Trip Summary'!G391</f>
        <v>20.904018323999999</v>
      </c>
      <c r="H393" s="1">
        <f>'Unformatted Trip Summary'!H391</f>
        <v>0.61516427100000004</v>
      </c>
    </row>
    <row r="394" spans="1:8" x14ac:dyDescent="0.2">
      <c r="A394" t="str">
        <f>'Unformatted Trip Summary'!A392</f>
        <v>05 GISBORNE</v>
      </c>
      <c r="B394" t="str">
        <f>'Unformatted Trip Summary'!J392</f>
        <v>2037/38</v>
      </c>
      <c r="C394" t="str">
        <f>'Unformatted Trip Summary'!I392</f>
        <v>Air/Non-Local PT</v>
      </c>
      <c r="D394">
        <f>'Unformatted Trip Summary'!D392</f>
        <v>12</v>
      </c>
      <c r="E394">
        <f>'Unformatted Trip Summary'!E392</f>
        <v>20</v>
      </c>
      <c r="F394" s="1">
        <f>'Unformatted Trip Summary'!F392</f>
        <v>0.29851726620000002</v>
      </c>
      <c r="G394" s="1">
        <f>'Unformatted Trip Summary'!G392</f>
        <v>20.670671984999998</v>
      </c>
      <c r="H394" s="1">
        <f>'Unformatted Trip Summary'!H392</f>
        <v>0.59793763</v>
      </c>
    </row>
    <row r="395" spans="1:8" x14ac:dyDescent="0.2">
      <c r="A395" t="str">
        <f>'Unformatted Trip Summary'!A393</f>
        <v>05 GISBORNE</v>
      </c>
      <c r="B395" t="str">
        <f>'Unformatted Trip Summary'!J393</f>
        <v>2042/43</v>
      </c>
      <c r="C395" t="str">
        <f>'Unformatted Trip Summary'!I393</f>
        <v>Air/Non-Local PT</v>
      </c>
      <c r="D395">
        <f>'Unformatted Trip Summary'!D393</f>
        <v>12</v>
      </c>
      <c r="E395">
        <f>'Unformatted Trip Summary'!E393</f>
        <v>20</v>
      </c>
      <c r="F395" s="1">
        <f>'Unformatted Trip Summary'!F393</f>
        <v>0.29345476250000002</v>
      </c>
      <c r="G395" s="1">
        <f>'Unformatted Trip Summary'!G393</f>
        <v>20.452283833999999</v>
      </c>
      <c r="H395" s="1">
        <f>'Unformatted Trip Summary'!H393</f>
        <v>0.58169369289999995</v>
      </c>
    </row>
    <row r="396" spans="1:8" x14ac:dyDescent="0.2">
      <c r="A396" t="str">
        <f>'Unformatted Trip Summary'!A394</f>
        <v>05 GISBORNE</v>
      </c>
      <c r="B396" t="str">
        <f>'Unformatted Trip Summary'!J394</f>
        <v>2012/13</v>
      </c>
      <c r="C396" t="str">
        <f>'Unformatted Trip Summary'!I394</f>
        <v>Non-Household Travel</v>
      </c>
      <c r="D396">
        <f>'Unformatted Trip Summary'!D394</f>
        <v>8</v>
      </c>
      <c r="E396">
        <f>'Unformatted Trip Summary'!E394</f>
        <v>22</v>
      </c>
      <c r="F396" s="1">
        <f>'Unformatted Trip Summary'!F394</f>
        <v>0.24434687620000001</v>
      </c>
      <c r="G396" s="1">
        <f>'Unformatted Trip Summary'!G394</f>
        <v>9.0032605469</v>
      </c>
      <c r="H396" s="1">
        <f>'Unformatted Trip Summary'!H394</f>
        <v>0.1991820503</v>
      </c>
    </row>
    <row r="397" spans="1:8" x14ac:dyDescent="0.2">
      <c r="A397" t="str">
        <f>'Unformatted Trip Summary'!A395</f>
        <v>05 GISBORNE</v>
      </c>
      <c r="B397" t="str">
        <f>'Unformatted Trip Summary'!J395</f>
        <v>2017/18</v>
      </c>
      <c r="C397" t="str">
        <f>'Unformatted Trip Summary'!I395</f>
        <v>Non-Household Travel</v>
      </c>
      <c r="D397">
        <f>'Unformatted Trip Summary'!D395</f>
        <v>8</v>
      </c>
      <c r="E397">
        <f>'Unformatted Trip Summary'!E395</f>
        <v>22</v>
      </c>
      <c r="F397" s="1">
        <f>'Unformatted Trip Summary'!F395</f>
        <v>0.26622711770000002</v>
      </c>
      <c r="G397" s="1">
        <f>'Unformatted Trip Summary'!G395</f>
        <v>9.6704949631999995</v>
      </c>
      <c r="H397" s="1">
        <f>'Unformatted Trip Summary'!H395</f>
        <v>0.21330047860000001</v>
      </c>
    </row>
    <row r="398" spans="1:8" x14ac:dyDescent="0.2">
      <c r="A398" t="str">
        <f>'Unformatted Trip Summary'!A396</f>
        <v>05 GISBORNE</v>
      </c>
      <c r="B398" t="str">
        <f>'Unformatted Trip Summary'!J396</f>
        <v>2022/23</v>
      </c>
      <c r="C398" t="str">
        <f>'Unformatted Trip Summary'!I396</f>
        <v>Non-Household Travel</v>
      </c>
      <c r="D398">
        <f>'Unformatted Trip Summary'!D396</f>
        <v>8</v>
      </c>
      <c r="E398">
        <f>'Unformatted Trip Summary'!E396</f>
        <v>22</v>
      </c>
      <c r="F398" s="1">
        <f>'Unformatted Trip Summary'!F396</f>
        <v>0.2732988549</v>
      </c>
      <c r="G398" s="1">
        <f>'Unformatted Trip Summary'!G396</f>
        <v>9.7599453277000006</v>
      </c>
      <c r="H398" s="1">
        <f>'Unformatted Trip Summary'!H396</f>
        <v>0.21493011510000001</v>
      </c>
    </row>
    <row r="399" spans="1:8" x14ac:dyDescent="0.2">
      <c r="A399" t="str">
        <f>'Unformatted Trip Summary'!A397</f>
        <v>05 GISBORNE</v>
      </c>
      <c r="B399" t="str">
        <f>'Unformatted Trip Summary'!J397</f>
        <v>2027/28</v>
      </c>
      <c r="C399" t="str">
        <f>'Unformatted Trip Summary'!I397</f>
        <v>Non-Household Travel</v>
      </c>
      <c r="D399">
        <f>'Unformatted Trip Summary'!D397</f>
        <v>8</v>
      </c>
      <c r="E399">
        <f>'Unformatted Trip Summary'!E397</f>
        <v>22</v>
      </c>
      <c r="F399" s="1">
        <f>'Unformatted Trip Summary'!F397</f>
        <v>0.26927771389999999</v>
      </c>
      <c r="G399" s="1">
        <f>'Unformatted Trip Summary'!G397</f>
        <v>9.3766032620999997</v>
      </c>
      <c r="H399" s="1">
        <f>'Unformatted Trip Summary'!H397</f>
        <v>0.2070337374</v>
      </c>
    </row>
    <row r="400" spans="1:8" x14ac:dyDescent="0.2">
      <c r="A400" t="str">
        <f>'Unformatted Trip Summary'!A398</f>
        <v>05 GISBORNE</v>
      </c>
      <c r="B400" t="str">
        <f>'Unformatted Trip Summary'!J398</f>
        <v>2032/33</v>
      </c>
      <c r="C400" t="str">
        <f>'Unformatted Trip Summary'!I398</f>
        <v>Non-Household Travel</v>
      </c>
      <c r="D400">
        <f>'Unformatted Trip Summary'!D398</f>
        <v>8</v>
      </c>
      <c r="E400">
        <f>'Unformatted Trip Summary'!E398</f>
        <v>22</v>
      </c>
      <c r="F400" s="1">
        <f>'Unformatted Trip Summary'!F398</f>
        <v>0.26242514230000002</v>
      </c>
      <c r="G400" s="1">
        <f>'Unformatted Trip Summary'!G398</f>
        <v>8.5991507024999994</v>
      </c>
      <c r="H400" s="1">
        <f>'Unformatted Trip Summary'!H398</f>
        <v>0.19328185480000001</v>
      </c>
    </row>
    <row r="401" spans="1:8" x14ac:dyDescent="0.2">
      <c r="A401" t="str">
        <f>'Unformatted Trip Summary'!A399</f>
        <v>05 GISBORNE</v>
      </c>
      <c r="B401" t="str">
        <f>'Unformatted Trip Summary'!J399</f>
        <v>2037/38</v>
      </c>
      <c r="C401" t="str">
        <f>'Unformatted Trip Summary'!I399</f>
        <v>Non-Household Travel</v>
      </c>
      <c r="D401">
        <f>'Unformatted Trip Summary'!D399</f>
        <v>8</v>
      </c>
      <c r="E401">
        <f>'Unformatted Trip Summary'!E399</f>
        <v>22</v>
      </c>
      <c r="F401" s="1">
        <f>'Unformatted Trip Summary'!F399</f>
        <v>0.25848331730000002</v>
      </c>
      <c r="G401" s="1">
        <f>'Unformatted Trip Summary'!G399</f>
        <v>7.7160282578999997</v>
      </c>
      <c r="H401" s="1">
        <f>'Unformatted Trip Summary'!H399</f>
        <v>0.17931824909999999</v>
      </c>
    </row>
    <row r="402" spans="1:8" x14ac:dyDescent="0.2">
      <c r="A402" t="str">
        <f>'Unformatted Trip Summary'!A400</f>
        <v>05 GISBORNE</v>
      </c>
      <c r="B402" t="str">
        <f>'Unformatted Trip Summary'!J400</f>
        <v>2042/43</v>
      </c>
      <c r="C402" t="str">
        <f>'Unformatted Trip Summary'!I400</f>
        <v>Non-Household Travel</v>
      </c>
      <c r="D402">
        <f>'Unformatted Trip Summary'!D400</f>
        <v>8</v>
      </c>
      <c r="E402">
        <f>'Unformatted Trip Summary'!E400</f>
        <v>22</v>
      </c>
      <c r="F402" s="1">
        <f>'Unformatted Trip Summary'!F400</f>
        <v>0.25616404529999998</v>
      </c>
      <c r="G402" s="1">
        <f>'Unformatted Trip Summary'!G400</f>
        <v>6.8818334649999997</v>
      </c>
      <c r="H402" s="1">
        <f>'Unformatted Trip Summary'!H400</f>
        <v>0.16648711899999999</v>
      </c>
    </row>
    <row r="403" spans="1:8" x14ac:dyDescent="0.2">
      <c r="A403" t="str">
        <f>'Unformatted Trip Summary'!A401</f>
        <v>06 HAWKE`S BAY</v>
      </c>
      <c r="B403" t="str">
        <f>'Unformatted Trip Summary'!J401</f>
        <v>2012/13</v>
      </c>
      <c r="C403" t="str">
        <f>'Unformatted Trip Summary'!I401</f>
        <v>Pedestrian</v>
      </c>
      <c r="D403">
        <f>'Unformatted Trip Summary'!D401</f>
        <v>221</v>
      </c>
      <c r="E403">
        <f>'Unformatted Trip Summary'!E401</f>
        <v>754</v>
      </c>
      <c r="F403" s="1">
        <f>'Unformatted Trip Summary'!F401</f>
        <v>26.538300281000001</v>
      </c>
      <c r="G403" s="1">
        <f>'Unformatted Trip Summary'!G401</f>
        <v>22.691613215</v>
      </c>
      <c r="H403" s="1">
        <f>'Unformatted Trip Summary'!H401</f>
        <v>5.9462513095</v>
      </c>
    </row>
    <row r="404" spans="1:8" x14ac:dyDescent="0.2">
      <c r="A404" t="str">
        <f>'Unformatted Trip Summary'!A402</f>
        <v>06 HAWKE`S BAY</v>
      </c>
      <c r="B404" t="str">
        <f>'Unformatted Trip Summary'!J402</f>
        <v>2017/18</v>
      </c>
      <c r="C404" t="str">
        <f>'Unformatted Trip Summary'!I402</f>
        <v>Pedestrian</v>
      </c>
      <c r="D404">
        <f>'Unformatted Trip Summary'!D402</f>
        <v>221</v>
      </c>
      <c r="E404">
        <f>'Unformatted Trip Summary'!E402</f>
        <v>754</v>
      </c>
      <c r="F404" s="1">
        <f>'Unformatted Trip Summary'!F402</f>
        <v>27.679859898</v>
      </c>
      <c r="G404" s="1">
        <f>'Unformatted Trip Summary'!G402</f>
        <v>23.418206013999999</v>
      </c>
      <c r="H404" s="1">
        <f>'Unformatted Trip Summary'!H402</f>
        <v>6.16575205</v>
      </c>
    </row>
    <row r="405" spans="1:8" x14ac:dyDescent="0.2">
      <c r="A405" t="str">
        <f>'Unformatted Trip Summary'!A403</f>
        <v>06 HAWKE`S BAY</v>
      </c>
      <c r="B405" t="str">
        <f>'Unformatted Trip Summary'!J403</f>
        <v>2022/23</v>
      </c>
      <c r="C405" t="str">
        <f>'Unformatted Trip Summary'!I403</f>
        <v>Pedestrian</v>
      </c>
      <c r="D405">
        <f>'Unformatted Trip Summary'!D403</f>
        <v>221</v>
      </c>
      <c r="E405">
        <f>'Unformatted Trip Summary'!E403</f>
        <v>754</v>
      </c>
      <c r="F405" s="1">
        <f>'Unformatted Trip Summary'!F403</f>
        <v>28.610759256000001</v>
      </c>
      <c r="G405" s="1">
        <f>'Unformatted Trip Summary'!G403</f>
        <v>23.946917025000001</v>
      </c>
      <c r="H405" s="1">
        <f>'Unformatted Trip Summary'!H403</f>
        <v>6.3609058855000002</v>
      </c>
    </row>
    <row r="406" spans="1:8" x14ac:dyDescent="0.2">
      <c r="A406" t="str">
        <f>'Unformatted Trip Summary'!A404</f>
        <v>06 HAWKE`S BAY</v>
      </c>
      <c r="B406" t="str">
        <f>'Unformatted Trip Summary'!J404</f>
        <v>2027/28</v>
      </c>
      <c r="C406" t="str">
        <f>'Unformatted Trip Summary'!I404</f>
        <v>Pedestrian</v>
      </c>
      <c r="D406">
        <f>'Unformatted Trip Summary'!D404</f>
        <v>221</v>
      </c>
      <c r="E406">
        <f>'Unformatted Trip Summary'!E404</f>
        <v>754</v>
      </c>
      <c r="F406" s="1">
        <f>'Unformatted Trip Summary'!F404</f>
        <v>29.104459340999998</v>
      </c>
      <c r="G406" s="1">
        <f>'Unformatted Trip Summary'!G404</f>
        <v>24.127110074000001</v>
      </c>
      <c r="H406" s="1">
        <f>'Unformatted Trip Summary'!H404</f>
        <v>6.4545455935999998</v>
      </c>
    </row>
    <row r="407" spans="1:8" x14ac:dyDescent="0.2">
      <c r="A407" t="str">
        <f>'Unformatted Trip Summary'!A405</f>
        <v>06 HAWKE`S BAY</v>
      </c>
      <c r="B407" t="str">
        <f>'Unformatted Trip Summary'!J405</f>
        <v>2032/33</v>
      </c>
      <c r="C407" t="str">
        <f>'Unformatted Trip Summary'!I405</f>
        <v>Pedestrian</v>
      </c>
      <c r="D407">
        <f>'Unformatted Trip Summary'!D405</f>
        <v>221</v>
      </c>
      <c r="E407">
        <f>'Unformatted Trip Summary'!E405</f>
        <v>754</v>
      </c>
      <c r="F407" s="1">
        <f>'Unformatted Trip Summary'!F405</f>
        <v>29.067048437</v>
      </c>
      <c r="G407" s="1">
        <f>'Unformatted Trip Summary'!G405</f>
        <v>24.069405184000001</v>
      </c>
      <c r="H407" s="1">
        <f>'Unformatted Trip Summary'!H405</f>
        <v>6.4610936483000003</v>
      </c>
    </row>
    <row r="408" spans="1:8" x14ac:dyDescent="0.2">
      <c r="A408" t="str">
        <f>'Unformatted Trip Summary'!A406</f>
        <v>06 HAWKE`S BAY</v>
      </c>
      <c r="B408" t="str">
        <f>'Unformatted Trip Summary'!J406</f>
        <v>2037/38</v>
      </c>
      <c r="C408" t="str">
        <f>'Unformatted Trip Summary'!I406</f>
        <v>Pedestrian</v>
      </c>
      <c r="D408">
        <f>'Unformatted Trip Summary'!D406</f>
        <v>221</v>
      </c>
      <c r="E408">
        <f>'Unformatted Trip Summary'!E406</f>
        <v>754</v>
      </c>
      <c r="F408" s="1">
        <f>'Unformatted Trip Summary'!F406</f>
        <v>28.995177586000001</v>
      </c>
      <c r="G408" s="1">
        <f>'Unformatted Trip Summary'!G406</f>
        <v>24.129550263999999</v>
      </c>
      <c r="H408" s="1">
        <f>'Unformatted Trip Summary'!H406</f>
        <v>6.4817361396999997</v>
      </c>
    </row>
    <row r="409" spans="1:8" x14ac:dyDescent="0.2">
      <c r="A409" t="str">
        <f>'Unformatted Trip Summary'!A407</f>
        <v>06 HAWKE`S BAY</v>
      </c>
      <c r="B409" t="str">
        <f>'Unformatted Trip Summary'!J407</f>
        <v>2042/43</v>
      </c>
      <c r="C409" t="str">
        <f>'Unformatted Trip Summary'!I407</f>
        <v>Pedestrian</v>
      </c>
      <c r="D409">
        <f>'Unformatted Trip Summary'!D407</f>
        <v>221</v>
      </c>
      <c r="E409">
        <f>'Unformatted Trip Summary'!E407</f>
        <v>754</v>
      </c>
      <c r="F409" s="1">
        <f>'Unformatted Trip Summary'!F407</f>
        <v>28.758693649000001</v>
      </c>
      <c r="G409" s="1">
        <f>'Unformatted Trip Summary'!G407</f>
        <v>24.054112357000001</v>
      </c>
      <c r="H409" s="1">
        <f>'Unformatted Trip Summary'!H407</f>
        <v>6.4639851063</v>
      </c>
    </row>
    <row r="410" spans="1:8" x14ac:dyDescent="0.2">
      <c r="A410" t="str">
        <f>'Unformatted Trip Summary'!A408</f>
        <v>06 HAWKE`S BAY</v>
      </c>
      <c r="B410" t="str">
        <f>'Unformatted Trip Summary'!J408</f>
        <v>2012/13</v>
      </c>
      <c r="C410" t="str">
        <f>'Unformatted Trip Summary'!I408</f>
        <v>Cyclist</v>
      </c>
      <c r="D410">
        <f>'Unformatted Trip Summary'!D408</f>
        <v>30</v>
      </c>
      <c r="E410">
        <f>'Unformatted Trip Summary'!E408</f>
        <v>93</v>
      </c>
      <c r="F410" s="1">
        <f>'Unformatted Trip Summary'!F408</f>
        <v>3.1819840940000002</v>
      </c>
      <c r="G410" s="1">
        <f>'Unformatted Trip Summary'!G408</f>
        <v>9.5482363540000001</v>
      </c>
      <c r="H410" s="1">
        <f>'Unformatted Trip Summary'!H408</f>
        <v>0.88401106659999995</v>
      </c>
    </row>
    <row r="411" spans="1:8" x14ac:dyDescent="0.2">
      <c r="A411" t="str">
        <f>'Unformatted Trip Summary'!A409</f>
        <v>06 HAWKE`S BAY</v>
      </c>
      <c r="B411" t="str">
        <f>'Unformatted Trip Summary'!J409</f>
        <v>2017/18</v>
      </c>
      <c r="C411" t="str">
        <f>'Unformatted Trip Summary'!I409</f>
        <v>Cyclist</v>
      </c>
      <c r="D411">
        <f>'Unformatted Trip Summary'!D409</f>
        <v>30</v>
      </c>
      <c r="E411">
        <f>'Unformatted Trip Summary'!E409</f>
        <v>93</v>
      </c>
      <c r="F411" s="1">
        <f>'Unformatted Trip Summary'!F409</f>
        <v>3.2781754430999999</v>
      </c>
      <c r="G411" s="1">
        <f>'Unformatted Trip Summary'!G409</f>
        <v>10.138616153999999</v>
      </c>
      <c r="H411" s="1">
        <f>'Unformatted Trip Summary'!H409</f>
        <v>0.93602627090000001</v>
      </c>
    </row>
    <row r="412" spans="1:8" x14ac:dyDescent="0.2">
      <c r="A412" t="str">
        <f>'Unformatted Trip Summary'!A410</f>
        <v>06 HAWKE`S BAY</v>
      </c>
      <c r="B412" t="str">
        <f>'Unformatted Trip Summary'!J410</f>
        <v>2022/23</v>
      </c>
      <c r="C412" t="str">
        <f>'Unformatted Trip Summary'!I410</f>
        <v>Cyclist</v>
      </c>
      <c r="D412">
        <f>'Unformatted Trip Summary'!D410</f>
        <v>30</v>
      </c>
      <c r="E412">
        <f>'Unformatted Trip Summary'!E410</f>
        <v>93</v>
      </c>
      <c r="F412" s="1">
        <f>'Unformatted Trip Summary'!F410</f>
        <v>3.3921256815</v>
      </c>
      <c r="G412" s="1">
        <f>'Unformatted Trip Summary'!G410</f>
        <v>10.485251509999999</v>
      </c>
      <c r="H412" s="1">
        <f>'Unformatted Trip Summary'!H410</f>
        <v>0.96093119309999997</v>
      </c>
    </row>
    <row r="413" spans="1:8" x14ac:dyDescent="0.2">
      <c r="A413" t="str">
        <f>'Unformatted Trip Summary'!A411</f>
        <v>06 HAWKE`S BAY</v>
      </c>
      <c r="B413" t="str">
        <f>'Unformatted Trip Summary'!J411</f>
        <v>2027/28</v>
      </c>
      <c r="C413" t="str">
        <f>'Unformatted Trip Summary'!I411</f>
        <v>Cyclist</v>
      </c>
      <c r="D413">
        <f>'Unformatted Trip Summary'!D411</f>
        <v>30</v>
      </c>
      <c r="E413">
        <f>'Unformatted Trip Summary'!E411</f>
        <v>93</v>
      </c>
      <c r="F413" s="1">
        <f>'Unformatted Trip Summary'!F411</f>
        <v>3.5141834976999999</v>
      </c>
      <c r="G413" s="1">
        <f>'Unformatted Trip Summary'!G411</f>
        <v>10.829339596000001</v>
      </c>
      <c r="H413" s="1">
        <f>'Unformatted Trip Summary'!H411</f>
        <v>0.99061673400000005</v>
      </c>
    </row>
    <row r="414" spans="1:8" x14ac:dyDescent="0.2">
      <c r="A414" t="str">
        <f>'Unformatted Trip Summary'!A412</f>
        <v>06 HAWKE`S BAY</v>
      </c>
      <c r="B414" t="str">
        <f>'Unformatted Trip Summary'!J412</f>
        <v>2032/33</v>
      </c>
      <c r="C414" t="str">
        <f>'Unformatted Trip Summary'!I412</f>
        <v>Cyclist</v>
      </c>
      <c r="D414">
        <f>'Unformatted Trip Summary'!D412</f>
        <v>30</v>
      </c>
      <c r="E414">
        <f>'Unformatted Trip Summary'!E412</f>
        <v>93</v>
      </c>
      <c r="F414" s="1">
        <f>'Unformatted Trip Summary'!F412</f>
        <v>3.5387594181000002</v>
      </c>
      <c r="G414" s="1">
        <f>'Unformatted Trip Summary'!G412</f>
        <v>11.138281901999999</v>
      </c>
      <c r="H414" s="1">
        <f>'Unformatted Trip Summary'!H412</f>
        <v>1.0087119254000001</v>
      </c>
    </row>
    <row r="415" spans="1:8" x14ac:dyDescent="0.2">
      <c r="A415" t="str">
        <f>'Unformatted Trip Summary'!A413</f>
        <v>06 HAWKE`S BAY</v>
      </c>
      <c r="B415" t="str">
        <f>'Unformatted Trip Summary'!J413</f>
        <v>2037/38</v>
      </c>
      <c r="C415" t="str">
        <f>'Unformatted Trip Summary'!I413</f>
        <v>Cyclist</v>
      </c>
      <c r="D415">
        <f>'Unformatted Trip Summary'!D413</f>
        <v>30</v>
      </c>
      <c r="E415">
        <f>'Unformatted Trip Summary'!E413</f>
        <v>93</v>
      </c>
      <c r="F415" s="1">
        <f>'Unformatted Trip Summary'!F413</f>
        <v>3.5701556992999999</v>
      </c>
      <c r="G415" s="1">
        <f>'Unformatted Trip Summary'!G413</f>
        <v>11.151492352</v>
      </c>
      <c r="H415" s="1">
        <f>'Unformatted Trip Summary'!H413</f>
        <v>1.0105265283</v>
      </c>
    </row>
    <row r="416" spans="1:8" x14ac:dyDescent="0.2">
      <c r="A416" t="str">
        <f>'Unformatted Trip Summary'!A414</f>
        <v>06 HAWKE`S BAY</v>
      </c>
      <c r="B416" t="str">
        <f>'Unformatted Trip Summary'!J414</f>
        <v>2042/43</v>
      </c>
      <c r="C416" t="str">
        <f>'Unformatted Trip Summary'!I414</f>
        <v>Cyclist</v>
      </c>
      <c r="D416">
        <f>'Unformatted Trip Summary'!D414</f>
        <v>30</v>
      </c>
      <c r="E416">
        <f>'Unformatted Trip Summary'!E414</f>
        <v>93</v>
      </c>
      <c r="F416" s="1">
        <f>'Unformatted Trip Summary'!F414</f>
        <v>3.5823975057999999</v>
      </c>
      <c r="G416" s="1">
        <f>'Unformatted Trip Summary'!G414</f>
        <v>11.104819279000001</v>
      </c>
      <c r="H416" s="1">
        <f>'Unformatted Trip Summary'!H414</f>
        <v>1.0078962438000001</v>
      </c>
    </row>
    <row r="417" spans="1:8" x14ac:dyDescent="0.2">
      <c r="A417" t="str">
        <f>'Unformatted Trip Summary'!A415</f>
        <v>06 HAWKE`S BAY</v>
      </c>
      <c r="B417" t="str">
        <f>'Unformatted Trip Summary'!J415</f>
        <v>2012/13</v>
      </c>
      <c r="C417" t="str">
        <f>'Unformatted Trip Summary'!I415</f>
        <v>Light Vehicle Driver</v>
      </c>
      <c r="D417">
        <f>'Unformatted Trip Summary'!D415</f>
        <v>446</v>
      </c>
      <c r="E417">
        <f>'Unformatted Trip Summary'!E415</f>
        <v>3171</v>
      </c>
      <c r="F417" s="1">
        <f>'Unformatted Trip Summary'!F415</f>
        <v>111.16933473</v>
      </c>
      <c r="G417" s="1">
        <f>'Unformatted Trip Summary'!G415</f>
        <v>1001.7566771</v>
      </c>
      <c r="H417" s="1">
        <f>'Unformatted Trip Summary'!H415</f>
        <v>25.377986313000001</v>
      </c>
    </row>
    <row r="418" spans="1:8" x14ac:dyDescent="0.2">
      <c r="A418" t="str">
        <f>'Unformatted Trip Summary'!A416</f>
        <v>06 HAWKE`S BAY</v>
      </c>
      <c r="B418" t="str">
        <f>'Unformatted Trip Summary'!J416</f>
        <v>2017/18</v>
      </c>
      <c r="C418" t="str">
        <f>'Unformatted Trip Summary'!I416</f>
        <v>Light Vehicle Driver</v>
      </c>
      <c r="D418">
        <f>'Unformatted Trip Summary'!D416</f>
        <v>446</v>
      </c>
      <c r="E418">
        <f>'Unformatted Trip Summary'!E416</f>
        <v>3171</v>
      </c>
      <c r="F418" s="1">
        <f>'Unformatted Trip Summary'!F416</f>
        <v>118.48084473</v>
      </c>
      <c r="G418" s="1">
        <f>'Unformatted Trip Summary'!G416</f>
        <v>1074.0285553000001</v>
      </c>
      <c r="H418" s="1">
        <f>'Unformatted Trip Summary'!H416</f>
        <v>27.136158859999998</v>
      </c>
    </row>
    <row r="419" spans="1:8" x14ac:dyDescent="0.2">
      <c r="A419" t="str">
        <f>'Unformatted Trip Summary'!A417</f>
        <v>06 HAWKE`S BAY</v>
      </c>
      <c r="B419" t="str">
        <f>'Unformatted Trip Summary'!J417</f>
        <v>2022/23</v>
      </c>
      <c r="C419" t="str">
        <f>'Unformatted Trip Summary'!I417</f>
        <v>Light Vehicle Driver</v>
      </c>
      <c r="D419">
        <f>'Unformatted Trip Summary'!D417</f>
        <v>446</v>
      </c>
      <c r="E419">
        <f>'Unformatted Trip Summary'!E417</f>
        <v>3171</v>
      </c>
      <c r="F419" s="1">
        <f>'Unformatted Trip Summary'!F417</f>
        <v>123.72067284000001</v>
      </c>
      <c r="G419" s="1">
        <f>'Unformatted Trip Summary'!G417</f>
        <v>1118.7781339999999</v>
      </c>
      <c r="H419" s="1">
        <f>'Unformatted Trip Summary'!H417</f>
        <v>28.337640106999999</v>
      </c>
    </row>
    <row r="420" spans="1:8" x14ac:dyDescent="0.2">
      <c r="A420" t="str">
        <f>'Unformatted Trip Summary'!A418</f>
        <v>06 HAWKE`S BAY</v>
      </c>
      <c r="B420" t="str">
        <f>'Unformatted Trip Summary'!J418</f>
        <v>2027/28</v>
      </c>
      <c r="C420" t="str">
        <f>'Unformatted Trip Summary'!I418</f>
        <v>Light Vehicle Driver</v>
      </c>
      <c r="D420">
        <f>'Unformatted Trip Summary'!D418</f>
        <v>446</v>
      </c>
      <c r="E420">
        <f>'Unformatted Trip Summary'!E418</f>
        <v>3171</v>
      </c>
      <c r="F420" s="1">
        <f>'Unformatted Trip Summary'!F418</f>
        <v>126.95338227000001</v>
      </c>
      <c r="G420" s="1">
        <f>'Unformatted Trip Summary'!G418</f>
        <v>1148.0499122000001</v>
      </c>
      <c r="H420" s="1">
        <f>'Unformatted Trip Summary'!H418</f>
        <v>29.156994981</v>
      </c>
    </row>
    <row r="421" spans="1:8" x14ac:dyDescent="0.2">
      <c r="A421" t="str">
        <f>'Unformatted Trip Summary'!A419</f>
        <v>06 HAWKE`S BAY</v>
      </c>
      <c r="B421" t="str">
        <f>'Unformatted Trip Summary'!J419</f>
        <v>2032/33</v>
      </c>
      <c r="C421" t="str">
        <f>'Unformatted Trip Summary'!I419</f>
        <v>Light Vehicle Driver</v>
      </c>
      <c r="D421">
        <f>'Unformatted Trip Summary'!D419</f>
        <v>446</v>
      </c>
      <c r="E421">
        <f>'Unformatted Trip Summary'!E419</f>
        <v>3171</v>
      </c>
      <c r="F421" s="1">
        <f>'Unformatted Trip Summary'!F419</f>
        <v>128.90328147</v>
      </c>
      <c r="G421" s="1">
        <f>'Unformatted Trip Summary'!G419</f>
        <v>1167.1010573999999</v>
      </c>
      <c r="H421" s="1">
        <f>'Unformatted Trip Summary'!H419</f>
        <v>29.695405756</v>
      </c>
    </row>
    <row r="422" spans="1:8" x14ac:dyDescent="0.2">
      <c r="A422" t="str">
        <f>'Unformatted Trip Summary'!A420</f>
        <v>06 HAWKE`S BAY</v>
      </c>
      <c r="B422" t="str">
        <f>'Unformatted Trip Summary'!J420</f>
        <v>2037/38</v>
      </c>
      <c r="C422" t="str">
        <f>'Unformatted Trip Summary'!I420</f>
        <v>Light Vehicle Driver</v>
      </c>
      <c r="D422">
        <f>'Unformatted Trip Summary'!D420</f>
        <v>446</v>
      </c>
      <c r="E422">
        <f>'Unformatted Trip Summary'!E420</f>
        <v>3171</v>
      </c>
      <c r="F422" s="1">
        <f>'Unformatted Trip Summary'!F420</f>
        <v>128.92571924999999</v>
      </c>
      <c r="G422" s="1">
        <f>'Unformatted Trip Summary'!G420</f>
        <v>1166.6433945000001</v>
      </c>
      <c r="H422" s="1">
        <f>'Unformatted Trip Summary'!H420</f>
        <v>29.761570368000001</v>
      </c>
    </row>
    <row r="423" spans="1:8" x14ac:dyDescent="0.2">
      <c r="A423" t="str">
        <f>'Unformatted Trip Summary'!A421</f>
        <v>06 HAWKE`S BAY</v>
      </c>
      <c r="B423" t="str">
        <f>'Unformatted Trip Summary'!J421</f>
        <v>2042/43</v>
      </c>
      <c r="C423" t="str">
        <f>'Unformatted Trip Summary'!I421</f>
        <v>Light Vehicle Driver</v>
      </c>
      <c r="D423">
        <f>'Unformatted Trip Summary'!D421</f>
        <v>446</v>
      </c>
      <c r="E423">
        <f>'Unformatted Trip Summary'!E421</f>
        <v>3171</v>
      </c>
      <c r="F423" s="1">
        <f>'Unformatted Trip Summary'!F421</f>
        <v>128.36119982</v>
      </c>
      <c r="G423" s="1">
        <f>'Unformatted Trip Summary'!G421</f>
        <v>1160.6864674000001</v>
      </c>
      <c r="H423" s="1">
        <f>'Unformatted Trip Summary'!H421</f>
        <v>29.686618302999999</v>
      </c>
    </row>
    <row r="424" spans="1:8" x14ac:dyDescent="0.2">
      <c r="A424" t="str">
        <f>'Unformatted Trip Summary'!A422</f>
        <v>06 HAWKE`S BAY</v>
      </c>
      <c r="B424" t="str">
        <f>'Unformatted Trip Summary'!J422</f>
        <v>2012/13</v>
      </c>
      <c r="C424" t="str">
        <f>'Unformatted Trip Summary'!I422</f>
        <v>Light Vehicle Passenger</v>
      </c>
      <c r="D424">
        <f>'Unformatted Trip Summary'!D422</f>
        <v>300</v>
      </c>
      <c r="E424">
        <f>'Unformatted Trip Summary'!E422</f>
        <v>1579</v>
      </c>
      <c r="F424" s="1">
        <f>'Unformatted Trip Summary'!F422</f>
        <v>58.497679761999997</v>
      </c>
      <c r="G424" s="1">
        <f>'Unformatted Trip Summary'!G422</f>
        <v>607.82570181000006</v>
      </c>
      <c r="H424" s="1">
        <f>'Unformatted Trip Summary'!H422</f>
        <v>15.230731736999999</v>
      </c>
    </row>
    <row r="425" spans="1:8" x14ac:dyDescent="0.2">
      <c r="A425" t="str">
        <f>'Unformatted Trip Summary'!A423</f>
        <v>06 HAWKE`S BAY</v>
      </c>
      <c r="B425" t="str">
        <f>'Unformatted Trip Summary'!J423</f>
        <v>2017/18</v>
      </c>
      <c r="C425" t="str">
        <f>'Unformatted Trip Summary'!I423</f>
        <v>Light Vehicle Passenger</v>
      </c>
      <c r="D425">
        <f>'Unformatted Trip Summary'!D423</f>
        <v>300</v>
      </c>
      <c r="E425">
        <f>'Unformatted Trip Summary'!E423</f>
        <v>1579</v>
      </c>
      <c r="F425" s="1">
        <f>'Unformatted Trip Summary'!F423</f>
        <v>59.436725383999999</v>
      </c>
      <c r="G425" s="1">
        <f>'Unformatted Trip Summary'!G423</f>
        <v>633.52389414000004</v>
      </c>
      <c r="H425" s="1">
        <f>'Unformatted Trip Summary'!H423</f>
        <v>15.741503323</v>
      </c>
    </row>
    <row r="426" spans="1:8" x14ac:dyDescent="0.2">
      <c r="A426" t="str">
        <f>'Unformatted Trip Summary'!A424</f>
        <v>06 HAWKE`S BAY</v>
      </c>
      <c r="B426" t="str">
        <f>'Unformatted Trip Summary'!J424</f>
        <v>2022/23</v>
      </c>
      <c r="C426" t="str">
        <f>'Unformatted Trip Summary'!I424</f>
        <v>Light Vehicle Passenger</v>
      </c>
      <c r="D426">
        <f>'Unformatted Trip Summary'!D424</f>
        <v>300</v>
      </c>
      <c r="E426">
        <f>'Unformatted Trip Summary'!E424</f>
        <v>1579</v>
      </c>
      <c r="F426" s="1">
        <f>'Unformatted Trip Summary'!F424</f>
        <v>59.730429733000001</v>
      </c>
      <c r="G426" s="1">
        <f>'Unformatted Trip Summary'!G424</f>
        <v>649.72763724000004</v>
      </c>
      <c r="H426" s="1">
        <f>'Unformatted Trip Summary'!H424</f>
        <v>16.060158362999999</v>
      </c>
    </row>
    <row r="427" spans="1:8" x14ac:dyDescent="0.2">
      <c r="A427" t="str">
        <f>'Unformatted Trip Summary'!A425</f>
        <v>06 HAWKE`S BAY</v>
      </c>
      <c r="B427" t="str">
        <f>'Unformatted Trip Summary'!J425</f>
        <v>2027/28</v>
      </c>
      <c r="C427" t="str">
        <f>'Unformatted Trip Summary'!I425</f>
        <v>Light Vehicle Passenger</v>
      </c>
      <c r="D427">
        <f>'Unformatted Trip Summary'!D425</f>
        <v>300</v>
      </c>
      <c r="E427">
        <f>'Unformatted Trip Summary'!E425</f>
        <v>1579</v>
      </c>
      <c r="F427" s="1">
        <f>'Unformatted Trip Summary'!F425</f>
        <v>59.462578329999999</v>
      </c>
      <c r="G427" s="1">
        <f>'Unformatted Trip Summary'!G425</f>
        <v>651.97721736000005</v>
      </c>
      <c r="H427" s="1">
        <f>'Unformatted Trip Summary'!H425</f>
        <v>16.102388857000001</v>
      </c>
    </row>
    <row r="428" spans="1:8" x14ac:dyDescent="0.2">
      <c r="A428" t="str">
        <f>'Unformatted Trip Summary'!A426</f>
        <v>06 HAWKE`S BAY</v>
      </c>
      <c r="B428" t="str">
        <f>'Unformatted Trip Summary'!J426</f>
        <v>2032/33</v>
      </c>
      <c r="C428" t="str">
        <f>'Unformatted Trip Summary'!I426</f>
        <v>Light Vehicle Passenger</v>
      </c>
      <c r="D428">
        <f>'Unformatted Trip Summary'!D426</f>
        <v>300</v>
      </c>
      <c r="E428">
        <f>'Unformatted Trip Summary'!E426</f>
        <v>1579</v>
      </c>
      <c r="F428" s="1">
        <f>'Unformatted Trip Summary'!F426</f>
        <v>58.437571093000003</v>
      </c>
      <c r="G428" s="1">
        <f>'Unformatted Trip Summary'!G426</f>
        <v>641.75951333</v>
      </c>
      <c r="H428" s="1">
        <f>'Unformatted Trip Summary'!H426</f>
        <v>15.854169954</v>
      </c>
    </row>
    <row r="429" spans="1:8" x14ac:dyDescent="0.2">
      <c r="A429" t="str">
        <f>'Unformatted Trip Summary'!A427</f>
        <v>06 HAWKE`S BAY</v>
      </c>
      <c r="B429" t="str">
        <f>'Unformatted Trip Summary'!J427</f>
        <v>2037/38</v>
      </c>
      <c r="C429" t="str">
        <f>'Unformatted Trip Summary'!I427</f>
        <v>Light Vehicle Passenger</v>
      </c>
      <c r="D429">
        <f>'Unformatted Trip Summary'!D427</f>
        <v>300</v>
      </c>
      <c r="E429">
        <f>'Unformatted Trip Summary'!E427</f>
        <v>1579</v>
      </c>
      <c r="F429" s="1">
        <f>'Unformatted Trip Summary'!F427</f>
        <v>57.541627235</v>
      </c>
      <c r="G429" s="1">
        <f>'Unformatted Trip Summary'!G427</f>
        <v>627.44158480999999</v>
      </c>
      <c r="H429" s="1">
        <f>'Unformatted Trip Summary'!H427</f>
        <v>15.504624084</v>
      </c>
    </row>
    <row r="430" spans="1:8" x14ac:dyDescent="0.2">
      <c r="A430" t="str">
        <f>'Unformatted Trip Summary'!A428</f>
        <v>06 HAWKE`S BAY</v>
      </c>
      <c r="B430" t="str">
        <f>'Unformatted Trip Summary'!J428</f>
        <v>2042/43</v>
      </c>
      <c r="C430" t="str">
        <f>'Unformatted Trip Summary'!I428</f>
        <v>Light Vehicle Passenger</v>
      </c>
      <c r="D430">
        <f>'Unformatted Trip Summary'!D428</f>
        <v>300</v>
      </c>
      <c r="E430">
        <f>'Unformatted Trip Summary'!E428</f>
        <v>1579</v>
      </c>
      <c r="F430" s="1">
        <f>'Unformatted Trip Summary'!F428</f>
        <v>56.343318451000002</v>
      </c>
      <c r="G430" s="1">
        <f>'Unformatted Trip Summary'!G428</f>
        <v>609.97157515000004</v>
      </c>
      <c r="H430" s="1">
        <f>'Unformatted Trip Summary'!H428</f>
        <v>15.084283410999999</v>
      </c>
    </row>
    <row r="431" spans="1:8" x14ac:dyDescent="0.2">
      <c r="A431" t="str">
        <f>'Unformatted Trip Summary'!A429</f>
        <v>06 HAWKE`S BAY</v>
      </c>
      <c r="B431" t="str">
        <f>'Unformatted Trip Summary'!J429</f>
        <v>2012/13</v>
      </c>
      <c r="C431" t="str">
        <f>'Unformatted Trip Summary'!I429</f>
        <v>Taxi/Vehicle Share</v>
      </c>
      <c r="D431">
        <f>'Unformatted Trip Summary'!D429</f>
        <v>4</v>
      </c>
      <c r="E431">
        <f>'Unformatted Trip Summary'!E429</f>
        <v>8</v>
      </c>
      <c r="F431" s="1">
        <f>'Unformatted Trip Summary'!F429</f>
        <v>0.32519619989999998</v>
      </c>
      <c r="G431" s="1">
        <f>'Unformatted Trip Summary'!G429</f>
        <v>1.7589425135000001</v>
      </c>
      <c r="H431" s="1">
        <f>'Unformatted Trip Summary'!H429</f>
        <v>4.5837477299999999E-2</v>
      </c>
    </row>
    <row r="432" spans="1:8" x14ac:dyDescent="0.2">
      <c r="A432" t="str">
        <f>'Unformatted Trip Summary'!A430</f>
        <v>06 HAWKE`S BAY</v>
      </c>
      <c r="B432" t="str">
        <f>'Unformatted Trip Summary'!J430</f>
        <v>2017/18</v>
      </c>
      <c r="C432" t="str">
        <f>'Unformatted Trip Summary'!I430</f>
        <v>Taxi/Vehicle Share</v>
      </c>
      <c r="D432">
        <f>'Unformatted Trip Summary'!D430</f>
        <v>4</v>
      </c>
      <c r="E432">
        <f>'Unformatted Trip Summary'!E430</f>
        <v>8</v>
      </c>
      <c r="F432" s="1">
        <f>'Unformatted Trip Summary'!F430</f>
        <v>0.33335792860000002</v>
      </c>
      <c r="G432" s="1">
        <f>'Unformatted Trip Summary'!G430</f>
        <v>1.7173685516999999</v>
      </c>
      <c r="H432" s="1">
        <f>'Unformatted Trip Summary'!H430</f>
        <v>4.7536448000000002E-2</v>
      </c>
    </row>
    <row r="433" spans="1:8" x14ac:dyDescent="0.2">
      <c r="A433" t="str">
        <f>'Unformatted Trip Summary'!A431</f>
        <v>06 HAWKE`S BAY</v>
      </c>
      <c r="B433" t="str">
        <f>'Unformatted Trip Summary'!J431</f>
        <v>2022/23</v>
      </c>
      <c r="C433" t="str">
        <f>'Unformatted Trip Summary'!I431</f>
        <v>Taxi/Vehicle Share</v>
      </c>
      <c r="D433">
        <f>'Unformatted Trip Summary'!D431</f>
        <v>4</v>
      </c>
      <c r="E433">
        <f>'Unformatted Trip Summary'!E431</f>
        <v>8</v>
      </c>
      <c r="F433" s="1">
        <f>'Unformatted Trip Summary'!F431</f>
        <v>0.34725274080000001</v>
      </c>
      <c r="G433" s="1">
        <f>'Unformatted Trip Summary'!G431</f>
        <v>1.7012103219000001</v>
      </c>
      <c r="H433" s="1">
        <f>'Unformatted Trip Summary'!H431</f>
        <v>4.9769015100000001E-2</v>
      </c>
    </row>
    <row r="434" spans="1:8" x14ac:dyDescent="0.2">
      <c r="A434" t="str">
        <f>'Unformatted Trip Summary'!A432</f>
        <v>06 HAWKE`S BAY</v>
      </c>
      <c r="B434" t="str">
        <f>'Unformatted Trip Summary'!J432</f>
        <v>2027/28</v>
      </c>
      <c r="C434" t="str">
        <f>'Unformatted Trip Summary'!I432</f>
        <v>Taxi/Vehicle Share</v>
      </c>
      <c r="D434">
        <f>'Unformatted Trip Summary'!D432</f>
        <v>4</v>
      </c>
      <c r="E434">
        <f>'Unformatted Trip Summary'!E432</f>
        <v>8</v>
      </c>
      <c r="F434" s="1">
        <f>'Unformatted Trip Summary'!F432</f>
        <v>0.37936030970000001</v>
      </c>
      <c r="G434" s="1">
        <f>'Unformatted Trip Summary'!G432</f>
        <v>1.7247248821000001</v>
      </c>
      <c r="H434" s="1">
        <f>'Unformatted Trip Summary'!H432</f>
        <v>5.5236669400000001E-2</v>
      </c>
    </row>
    <row r="435" spans="1:8" x14ac:dyDescent="0.2">
      <c r="A435" t="str">
        <f>'Unformatted Trip Summary'!A433</f>
        <v>06 HAWKE`S BAY</v>
      </c>
      <c r="B435" t="str">
        <f>'Unformatted Trip Summary'!J433</f>
        <v>2032/33</v>
      </c>
      <c r="C435" t="str">
        <f>'Unformatted Trip Summary'!I433</f>
        <v>Taxi/Vehicle Share</v>
      </c>
      <c r="D435">
        <f>'Unformatted Trip Summary'!D433</f>
        <v>4</v>
      </c>
      <c r="E435">
        <f>'Unformatted Trip Summary'!E433</f>
        <v>8</v>
      </c>
      <c r="F435" s="1">
        <f>'Unformatted Trip Summary'!F433</f>
        <v>0.42477284279999999</v>
      </c>
      <c r="G435" s="1">
        <f>'Unformatted Trip Summary'!G433</f>
        <v>1.7962449283999999</v>
      </c>
      <c r="H435" s="1">
        <f>'Unformatted Trip Summary'!H433</f>
        <v>6.3653579399999993E-2</v>
      </c>
    </row>
    <row r="436" spans="1:8" x14ac:dyDescent="0.2">
      <c r="A436" t="str">
        <f>'Unformatted Trip Summary'!A434</f>
        <v>06 HAWKE`S BAY</v>
      </c>
      <c r="B436" t="str">
        <f>'Unformatted Trip Summary'!J434</f>
        <v>2037/38</v>
      </c>
      <c r="C436" t="str">
        <f>'Unformatted Trip Summary'!I434</f>
        <v>Taxi/Vehicle Share</v>
      </c>
      <c r="D436">
        <f>'Unformatted Trip Summary'!D434</f>
        <v>4</v>
      </c>
      <c r="E436">
        <f>'Unformatted Trip Summary'!E434</f>
        <v>8</v>
      </c>
      <c r="F436" s="1">
        <f>'Unformatted Trip Summary'!F434</f>
        <v>0.45356712719999998</v>
      </c>
      <c r="G436" s="1">
        <f>'Unformatted Trip Summary'!G434</f>
        <v>1.8102472839999999</v>
      </c>
      <c r="H436" s="1">
        <f>'Unformatted Trip Summary'!H434</f>
        <v>7.0193516799999994E-2</v>
      </c>
    </row>
    <row r="437" spans="1:8" x14ac:dyDescent="0.2">
      <c r="A437" t="str">
        <f>'Unformatted Trip Summary'!A435</f>
        <v>06 HAWKE`S BAY</v>
      </c>
      <c r="B437" t="str">
        <f>'Unformatted Trip Summary'!J435</f>
        <v>2042/43</v>
      </c>
      <c r="C437" t="str">
        <f>'Unformatted Trip Summary'!I435</f>
        <v>Taxi/Vehicle Share</v>
      </c>
      <c r="D437">
        <f>'Unformatted Trip Summary'!D435</f>
        <v>4</v>
      </c>
      <c r="E437">
        <f>'Unformatted Trip Summary'!E435</f>
        <v>8</v>
      </c>
      <c r="F437" s="1">
        <f>'Unformatted Trip Summary'!F435</f>
        <v>0.48085714280000003</v>
      </c>
      <c r="G437" s="1">
        <f>'Unformatted Trip Summary'!G435</f>
        <v>1.8223769205</v>
      </c>
      <c r="H437" s="1">
        <f>'Unformatted Trip Summary'!H435</f>
        <v>7.6434761200000007E-2</v>
      </c>
    </row>
    <row r="438" spans="1:8" x14ac:dyDescent="0.2">
      <c r="A438" t="str">
        <f>'Unformatted Trip Summary'!A436</f>
        <v>06 HAWKE`S BAY</v>
      </c>
      <c r="B438" t="str">
        <f>'Unformatted Trip Summary'!J436</f>
        <v>2012/13</v>
      </c>
      <c r="C438" t="str">
        <f>'Unformatted Trip Summary'!I436</f>
        <v>Motorcyclist</v>
      </c>
      <c r="D438">
        <f>'Unformatted Trip Summary'!D436</f>
        <v>6</v>
      </c>
      <c r="E438">
        <f>'Unformatted Trip Summary'!E436</f>
        <v>19</v>
      </c>
      <c r="F438" s="1">
        <f>'Unformatted Trip Summary'!F436</f>
        <v>0.65061969099999994</v>
      </c>
      <c r="G438" s="1">
        <f>'Unformatted Trip Summary'!G436</f>
        <v>3.0321841239</v>
      </c>
      <c r="H438" s="1">
        <f>'Unformatted Trip Summary'!H436</f>
        <v>0.11763194120000001</v>
      </c>
    </row>
    <row r="439" spans="1:8" x14ac:dyDescent="0.2">
      <c r="A439" t="str">
        <f>'Unformatted Trip Summary'!A437</f>
        <v>06 HAWKE`S BAY</v>
      </c>
      <c r="B439" t="str">
        <f>'Unformatted Trip Summary'!J437</f>
        <v>2017/18</v>
      </c>
      <c r="C439" t="str">
        <f>'Unformatted Trip Summary'!I437</f>
        <v>Motorcyclist</v>
      </c>
      <c r="D439">
        <f>'Unformatted Trip Summary'!D437</f>
        <v>6</v>
      </c>
      <c r="E439">
        <f>'Unformatted Trip Summary'!E437</f>
        <v>19</v>
      </c>
      <c r="F439" s="1">
        <f>'Unformatted Trip Summary'!F437</f>
        <v>0.62378405049999996</v>
      </c>
      <c r="G439" s="1">
        <f>'Unformatted Trip Summary'!G437</f>
        <v>3.1914722688000001</v>
      </c>
      <c r="H439" s="1">
        <f>'Unformatted Trip Summary'!H437</f>
        <v>0.1138802044</v>
      </c>
    </row>
    <row r="440" spans="1:8" x14ac:dyDescent="0.2">
      <c r="A440" t="str">
        <f>'Unformatted Trip Summary'!A438</f>
        <v>06 HAWKE`S BAY</v>
      </c>
      <c r="B440" t="str">
        <f>'Unformatted Trip Summary'!J438</f>
        <v>2022/23</v>
      </c>
      <c r="C440" t="str">
        <f>'Unformatted Trip Summary'!I438</f>
        <v>Motorcyclist</v>
      </c>
      <c r="D440">
        <f>'Unformatted Trip Summary'!D438</f>
        <v>6</v>
      </c>
      <c r="E440">
        <f>'Unformatted Trip Summary'!E438</f>
        <v>19</v>
      </c>
      <c r="F440" s="1">
        <f>'Unformatted Trip Summary'!F438</f>
        <v>0.59207820440000003</v>
      </c>
      <c r="G440" s="1">
        <f>'Unformatted Trip Summary'!G438</f>
        <v>3.2802338867</v>
      </c>
      <c r="H440" s="1">
        <f>'Unformatted Trip Summary'!H438</f>
        <v>0.1104504695</v>
      </c>
    </row>
    <row r="441" spans="1:8" x14ac:dyDescent="0.2">
      <c r="A441" t="str">
        <f>'Unformatted Trip Summary'!A439</f>
        <v>06 HAWKE`S BAY</v>
      </c>
      <c r="B441" t="str">
        <f>'Unformatted Trip Summary'!J439</f>
        <v>2027/28</v>
      </c>
      <c r="C441" t="str">
        <f>'Unformatted Trip Summary'!I439</f>
        <v>Motorcyclist</v>
      </c>
      <c r="D441">
        <f>'Unformatted Trip Summary'!D439</f>
        <v>6</v>
      </c>
      <c r="E441">
        <f>'Unformatted Trip Summary'!E439</f>
        <v>19</v>
      </c>
      <c r="F441" s="1">
        <f>'Unformatted Trip Summary'!F439</f>
        <v>0.5681072103</v>
      </c>
      <c r="G441" s="1">
        <f>'Unformatted Trip Summary'!G439</f>
        <v>3.1331678662</v>
      </c>
      <c r="H441" s="1">
        <f>'Unformatted Trip Summary'!H439</f>
        <v>0.10644659920000001</v>
      </c>
    </row>
    <row r="442" spans="1:8" x14ac:dyDescent="0.2">
      <c r="A442" t="str">
        <f>'Unformatted Trip Summary'!A440</f>
        <v>06 HAWKE`S BAY</v>
      </c>
      <c r="B442" t="str">
        <f>'Unformatted Trip Summary'!J440</f>
        <v>2032/33</v>
      </c>
      <c r="C442" t="str">
        <f>'Unformatted Trip Summary'!I440</f>
        <v>Motorcyclist</v>
      </c>
      <c r="D442">
        <f>'Unformatted Trip Summary'!D440</f>
        <v>6</v>
      </c>
      <c r="E442">
        <f>'Unformatted Trip Summary'!E440</f>
        <v>19</v>
      </c>
      <c r="F442" s="1">
        <f>'Unformatted Trip Summary'!F440</f>
        <v>0.53126534400000003</v>
      </c>
      <c r="G442" s="1">
        <f>'Unformatted Trip Summary'!G440</f>
        <v>2.9334277147000001</v>
      </c>
      <c r="H442" s="1">
        <f>'Unformatted Trip Summary'!H440</f>
        <v>9.8074537599999997E-2</v>
      </c>
    </row>
    <row r="443" spans="1:8" x14ac:dyDescent="0.2">
      <c r="A443" t="str">
        <f>'Unformatted Trip Summary'!A441</f>
        <v>06 HAWKE`S BAY</v>
      </c>
      <c r="B443" t="str">
        <f>'Unformatted Trip Summary'!J441</f>
        <v>2037/38</v>
      </c>
      <c r="C443" t="str">
        <f>'Unformatted Trip Summary'!I441</f>
        <v>Motorcyclist</v>
      </c>
      <c r="D443">
        <f>'Unformatted Trip Summary'!D441</f>
        <v>6</v>
      </c>
      <c r="E443">
        <f>'Unformatted Trip Summary'!E441</f>
        <v>19</v>
      </c>
      <c r="F443" s="1">
        <f>'Unformatted Trip Summary'!F441</f>
        <v>0.49177647120000001</v>
      </c>
      <c r="G443" s="1">
        <f>'Unformatted Trip Summary'!G441</f>
        <v>2.8018503563000001</v>
      </c>
      <c r="H443" s="1">
        <f>'Unformatted Trip Summary'!H441</f>
        <v>9.24482108E-2</v>
      </c>
    </row>
    <row r="444" spans="1:8" x14ac:dyDescent="0.2">
      <c r="A444" t="str">
        <f>'Unformatted Trip Summary'!A442</f>
        <v>06 HAWKE`S BAY</v>
      </c>
      <c r="B444" t="str">
        <f>'Unformatted Trip Summary'!J442</f>
        <v>2042/43</v>
      </c>
      <c r="C444" t="str">
        <f>'Unformatted Trip Summary'!I442</f>
        <v>Motorcyclist</v>
      </c>
      <c r="D444">
        <f>'Unformatted Trip Summary'!D442</f>
        <v>6</v>
      </c>
      <c r="E444">
        <f>'Unformatted Trip Summary'!E442</f>
        <v>19</v>
      </c>
      <c r="F444" s="1">
        <f>'Unformatted Trip Summary'!F442</f>
        <v>0.452160809</v>
      </c>
      <c r="G444" s="1">
        <f>'Unformatted Trip Summary'!G442</f>
        <v>2.6798811333999999</v>
      </c>
      <c r="H444" s="1">
        <f>'Unformatted Trip Summary'!H442</f>
        <v>8.6826869500000001E-2</v>
      </c>
    </row>
    <row r="445" spans="1:8" x14ac:dyDescent="0.2">
      <c r="A445" t="str">
        <f>'Unformatted Trip Summary'!A443</f>
        <v>06 HAWKE`S BAY</v>
      </c>
      <c r="B445" t="str">
        <f>'Unformatted Trip Summary'!J443</f>
        <v>2012/13</v>
      </c>
      <c r="C445" t="str">
        <f>'Unformatted Trip Summary'!I443</f>
        <v>Local Bus</v>
      </c>
      <c r="D445">
        <f>'Unformatted Trip Summary'!D443</f>
        <v>50</v>
      </c>
      <c r="E445">
        <f>'Unformatted Trip Summary'!E443</f>
        <v>142</v>
      </c>
      <c r="F445" s="1">
        <f>'Unformatted Trip Summary'!F443</f>
        <v>4.5218645043999999</v>
      </c>
      <c r="G445" s="1">
        <f>'Unformatted Trip Summary'!G443</f>
        <v>39.591997026999998</v>
      </c>
      <c r="H445" s="1">
        <f>'Unformatted Trip Summary'!H443</f>
        <v>1.3660147812000001</v>
      </c>
    </row>
    <row r="446" spans="1:8" x14ac:dyDescent="0.2">
      <c r="A446" t="str">
        <f>'Unformatted Trip Summary'!A444</f>
        <v>06 HAWKE`S BAY</v>
      </c>
      <c r="B446" t="str">
        <f>'Unformatted Trip Summary'!J444</f>
        <v>2017/18</v>
      </c>
      <c r="C446" t="str">
        <f>'Unformatted Trip Summary'!I444</f>
        <v>Local Bus</v>
      </c>
      <c r="D446">
        <f>'Unformatted Trip Summary'!D444</f>
        <v>50</v>
      </c>
      <c r="E446">
        <f>'Unformatted Trip Summary'!E444</f>
        <v>142</v>
      </c>
      <c r="F446" s="1">
        <f>'Unformatted Trip Summary'!F444</f>
        <v>4.4994219165000002</v>
      </c>
      <c r="G446" s="1">
        <f>'Unformatted Trip Summary'!G444</f>
        <v>38.361259404000002</v>
      </c>
      <c r="H446" s="1">
        <f>'Unformatted Trip Summary'!H444</f>
        <v>1.3665915040000001</v>
      </c>
    </row>
    <row r="447" spans="1:8" x14ac:dyDescent="0.2">
      <c r="A447" t="str">
        <f>'Unformatted Trip Summary'!A445</f>
        <v>06 HAWKE`S BAY</v>
      </c>
      <c r="B447" t="str">
        <f>'Unformatted Trip Summary'!J445</f>
        <v>2022/23</v>
      </c>
      <c r="C447" t="str">
        <f>'Unformatted Trip Summary'!I445</f>
        <v>Local Bus</v>
      </c>
      <c r="D447">
        <f>'Unformatted Trip Summary'!D445</f>
        <v>50</v>
      </c>
      <c r="E447">
        <f>'Unformatted Trip Summary'!E445</f>
        <v>142</v>
      </c>
      <c r="F447" s="1">
        <f>'Unformatted Trip Summary'!F445</f>
        <v>4.4918476599000003</v>
      </c>
      <c r="G447" s="1">
        <f>'Unformatted Trip Summary'!G445</f>
        <v>37.386645309999999</v>
      </c>
      <c r="H447" s="1">
        <f>'Unformatted Trip Summary'!H445</f>
        <v>1.3706771651</v>
      </c>
    </row>
    <row r="448" spans="1:8" x14ac:dyDescent="0.2">
      <c r="A448" t="str">
        <f>'Unformatted Trip Summary'!A446</f>
        <v>06 HAWKE`S BAY</v>
      </c>
      <c r="B448" t="str">
        <f>'Unformatted Trip Summary'!J446</f>
        <v>2027/28</v>
      </c>
      <c r="C448" t="str">
        <f>'Unformatted Trip Summary'!I446</f>
        <v>Local Bus</v>
      </c>
      <c r="D448">
        <f>'Unformatted Trip Summary'!D446</f>
        <v>50</v>
      </c>
      <c r="E448">
        <f>'Unformatted Trip Summary'!E446</f>
        <v>142</v>
      </c>
      <c r="F448" s="1">
        <f>'Unformatted Trip Summary'!F446</f>
        <v>4.4988621173999999</v>
      </c>
      <c r="G448" s="1">
        <f>'Unformatted Trip Summary'!G446</f>
        <v>36.841733109000003</v>
      </c>
      <c r="H448" s="1">
        <f>'Unformatted Trip Summary'!H446</f>
        <v>1.3754637256</v>
      </c>
    </row>
    <row r="449" spans="1:8" x14ac:dyDescent="0.2">
      <c r="A449" t="str">
        <f>'Unformatted Trip Summary'!A447</f>
        <v>06 HAWKE`S BAY</v>
      </c>
      <c r="B449" t="str">
        <f>'Unformatted Trip Summary'!J447</f>
        <v>2032/33</v>
      </c>
      <c r="C449" t="str">
        <f>'Unformatted Trip Summary'!I447</f>
        <v>Local Bus</v>
      </c>
      <c r="D449">
        <f>'Unformatted Trip Summary'!D447</f>
        <v>50</v>
      </c>
      <c r="E449">
        <f>'Unformatted Trip Summary'!E447</f>
        <v>142</v>
      </c>
      <c r="F449" s="1">
        <f>'Unformatted Trip Summary'!F447</f>
        <v>4.3612924271000004</v>
      </c>
      <c r="G449" s="1">
        <f>'Unformatted Trip Summary'!G447</f>
        <v>35.118572356000001</v>
      </c>
      <c r="H449" s="1">
        <f>'Unformatted Trip Summary'!H447</f>
        <v>1.332158231</v>
      </c>
    </row>
    <row r="450" spans="1:8" x14ac:dyDescent="0.2">
      <c r="A450" t="str">
        <f>'Unformatted Trip Summary'!A448</f>
        <v>06 HAWKE`S BAY</v>
      </c>
      <c r="B450" t="str">
        <f>'Unformatted Trip Summary'!J448</f>
        <v>2037/38</v>
      </c>
      <c r="C450" t="str">
        <f>'Unformatted Trip Summary'!I448</f>
        <v>Local Bus</v>
      </c>
      <c r="D450">
        <f>'Unformatted Trip Summary'!D448</f>
        <v>50</v>
      </c>
      <c r="E450">
        <f>'Unformatted Trip Summary'!E448</f>
        <v>142</v>
      </c>
      <c r="F450" s="1">
        <f>'Unformatted Trip Summary'!F448</f>
        <v>4.3277477956999997</v>
      </c>
      <c r="G450" s="1">
        <f>'Unformatted Trip Summary'!G448</f>
        <v>34.300981016000001</v>
      </c>
      <c r="H450" s="1">
        <f>'Unformatted Trip Summary'!H448</f>
        <v>1.3249188895999999</v>
      </c>
    </row>
    <row r="451" spans="1:8" x14ac:dyDescent="0.2">
      <c r="A451" t="str">
        <f>'Unformatted Trip Summary'!A449</f>
        <v>06 HAWKE`S BAY</v>
      </c>
      <c r="B451" t="str">
        <f>'Unformatted Trip Summary'!J449</f>
        <v>2042/43</v>
      </c>
      <c r="C451" t="str">
        <f>'Unformatted Trip Summary'!I449</f>
        <v>Local Bus</v>
      </c>
      <c r="D451">
        <f>'Unformatted Trip Summary'!D449</f>
        <v>50</v>
      </c>
      <c r="E451">
        <f>'Unformatted Trip Summary'!E449</f>
        <v>142</v>
      </c>
      <c r="F451" s="1">
        <f>'Unformatted Trip Summary'!F449</f>
        <v>4.2737948616999999</v>
      </c>
      <c r="G451" s="1">
        <f>'Unformatted Trip Summary'!G449</f>
        <v>33.339615952000003</v>
      </c>
      <c r="H451" s="1">
        <f>'Unformatted Trip Summary'!H449</f>
        <v>1.3115310784</v>
      </c>
    </row>
    <row r="452" spans="1:8" x14ac:dyDescent="0.2">
      <c r="A452" t="str">
        <f>'Unformatted Trip Summary'!A450</f>
        <v>06 HAWKE`S BAY</v>
      </c>
      <c r="B452" t="str">
        <f>'Unformatted Trip Summary'!J450</f>
        <v>2012/13</v>
      </c>
      <c r="C452" t="str">
        <f>'Unformatted Trip Summary'!I450</f>
        <v>Other Household Travel</v>
      </c>
      <c r="D452">
        <f>'Unformatted Trip Summary'!D450</f>
        <v>3</v>
      </c>
      <c r="E452">
        <f>'Unformatted Trip Summary'!E450</f>
        <v>10</v>
      </c>
      <c r="F452" s="1">
        <f>'Unformatted Trip Summary'!F450</f>
        <v>0.49138149730000003</v>
      </c>
      <c r="G452" s="1">
        <f>'Unformatted Trip Summary'!G450</f>
        <v>0</v>
      </c>
      <c r="H452" s="1">
        <f>'Unformatted Trip Summary'!H450</f>
        <v>0.15778150060000001</v>
      </c>
    </row>
    <row r="453" spans="1:8" x14ac:dyDescent="0.2">
      <c r="A453" t="str">
        <f>'Unformatted Trip Summary'!A451</f>
        <v>06 HAWKE`S BAY</v>
      </c>
      <c r="B453" t="str">
        <f>'Unformatted Trip Summary'!J451</f>
        <v>2017/18</v>
      </c>
      <c r="C453" t="str">
        <f>'Unformatted Trip Summary'!I451</f>
        <v>Other Household Travel</v>
      </c>
      <c r="D453">
        <f>'Unformatted Trip Summary'!D451</f>
        <v>3</v>
      </c>
      <c r="E453">
        <f>'Unformatted Trip Summary'!E451</f>
        <v>10</v>
      </c>
      <c r="F453" s="1">
        <f>'Unformatted Trip Summary'!F451</f>
        <v>0.53110834730000001</v>
      </c>
      <c r="G453" s="1">
        <f>'Unformatted Trip Summary'!G451</f>
        <v>0</v>
      </c>
      <c r="H453" s="1">
        <f>'Unformatted Trip Summary'!H451</f>
        <v>0.16691459289999999</v>
      </c>
    </row>
    <row r="454" spans="1:8" x14ac:dyDescent="0.2">
      <c r="A454" t="str">
        <f>'Unformatted Trip Summary'!A452</f>
        <v>06 HAWKE`S BAY</v>
      </c>
      <c r="B454" t="str">
        <f>'Unformatted Trip Summary'!J452</f>
        <v>2022/23</v>
      </c>
      <c r="C454" t="str">
        <f>'Unformatted Trip Summary'!I452</f>
        <v>Other Household Travel</v>
      </c>
      <c r="D454">
        <f>'Unformatted Trip Summary'!D452</f>
        <v>3</v>
      </c>
      <c r="E454">
        <f>'Unformatted Trip Summary'!E452</f>
        <v>10</v>
      </c>
      <c r="F454" s="1">
        <f>'Unformatted Trip Summary'!F452</f>
        <v>0.61975372139999996</v>
      </c>
      <c r="G454" s="1">
        <f>'Unformatted Trip Summary'!G452</f>
        <v>0</v>
      </c>
      <c r="H454" s="1">
        <f>'Unformatted Trip Summary'!H452</f>
        <v>0.19066931770000001</v>
      </c>
    </row>
    <row r="455" spans="1:8" x14ac:dyDescent="0.2">
      <c r="A455" t="str">
        <f>'Unformatted Trip Summary'!A453</f>
        <v>06 HAWKE`S BAY</v>
      </c>
      <c r="B455" t="str">
        <f>'Unformatted Trip Summary'!J453</f>
        <v>2027/28</v>
      </c>
      <c r="C455" t="str">
        <f>'Unformatted Trip Summary'!I453</f>
        <v>Other Household Travel</v>
      </c>
      <c r="D455">
        <f>'Unformatted Trip Summary'!D453</f>
        <v>3</v>
      </c>
      <c r="E455">
        <f>'Unformatted Trip Summary'!E453</f>
        <v>10</v>
      </c>
      <c r="F455" s="1">
        <f>'Unformatted Trip Summary'!F453</f>
        <v>0.70721419919999995</v>
      </c>
      <c r="G455" s="1">
        <f>'Unformatted Trip Summary'!G453</f>
        <v>0</v>
      </c>
      <c r="H455" s="1">
        <f>'Unformatted Trip Summary'!H453</f>
        <v>0.21453051479999999</v>
      </c>
    </row>
    <row r="456" spans="1:8" x14ac:dyDescent="0.2">
      <c r="A456" t="str">
        <f>'Unformatted Trip Summary'!A454</f>
        <v>06 HAWKE`S BAY</v>
      </c>
      <c r="B456" t="str">
        <f>'Unformatted Trip Summary'!J454</f>
        <v>2032/33</v>
      </c>
      <c r="C456" t="str">
        <f>'Unformatted Trip Summary'!I454</f>
        <v>Other Household Travel</v>
      </c>
      <c r="D456">
        <f>'Unformatted Trip Summary'!D454</f>
        <v>3</v>
      </c>
      <c r="E456">
        <f>'Unformatted Trip Summary'!E454</f>
        <v>10</v>
      </c>
      <c r="F456" s="1">
        <f>'Unformatted Trip Summary'!F454</f>
        <v>0.76754483949999996</v>
      </c>
      <c r="G456" s="1">
        <f>'Unformatted Trip Summary'!G454</f>
        <v>0</v>
      </c>
      <c r="H456" s="1">
        <f>'Unformatted Trip Summary'!H454</f>
        <v>0.2288374175</v>
      </c>
    </row>
    <row r="457" spans="1:8" x14ac:dyDescent="0.2">
      <c r="A457" t="str">
        <f>'Unformatted Trip Summary'!A455</f>
        <v>06 HAWKE`S BAY</v>
      </c>
      <c r="B457" t="str">
        <f>'Unformatted Trip Summary'!J455</f>
        <v>2037/38</v>
      </c>
      <c r="C457" t="str">
        <f>'Unformatted Trip Summary'!I455</f>
        <v>Other Household Travel</v>
      </c>
      <c r="D457">
        <f>'Unformatted Trip Summary'!D455</f>
        <v>3</v>
      </c>
      <c r="E457">
        <f>'Unformatted Trip Summary'!E455</f>
        <v>10</v>
      </c>
      <c r="F457" s="1">
        <f>'Unformatted Trip Summary'!F455</f>
        <v>0.83529125140000005</v>
      </c>
      <c r="G457" s="1">
        <f>'Unformatted Trip Summary'!G455</f>
        <v>0</v>
      </c>
      <c r="H457" s="1">
        <f>'Unformatted Trip Summary'!H455</f>
        <v>0.2473337477</v>
      </c>
    </row>
    <row r="458" spans="1:8" x14ac:dyDescent="0.2">
      <c r="A458" t="str">
        <f>'Unformatted Trip Summary'!A456</f>
        <v>06 HAWKE`S BAY</v>
      </c>
      <c r="B458" t="str">
        <f>'Unformatted Trip Summary'!J456</f>
        <v>2042/43</v>
      </c>
      <c r="C458" t="str">
        <f>'Unformatted Trip Summary'!I456</f>
        <v>Other Household Travel</v>
      </c>
      <c r="D458">
        <f>'Unformatted Trip Summary'!D456</f>
        <v>3</v>
      </c>
      <c r="E458">
        <f>'Unformatted Trip Summary'!E456</f>
        <v>10</v>
      </c>
      <c r="F458" s="1">
        <f>'Unformatted Trip Summary'!F456</f>
        <v>0.89961476399999996</v>
      </c>
      <c r="G458" s="1">
        <f>'Unformatted Trip Summary'!G456</f>
        <v>0</v>
      </c>
      <c r="H458" s="1">
        <f>'Unformatted Trip Summary'!H456</f>
        <v>0.26474625070000002</v>
      </c>
    </row>
    <row r="459" spans="1:8" x14ac:dyDescent="0.2">
      <c r="A459" t="str">
        <f>'Unformatted Trip Summary'!A457</f>
        <v>06 HAWKE`S BAY</v>
      </c>
      <c r="B459" t="str">
        <f>'Unformatted Trip Summary'!J457</f>
        <v>2012/13</v>
      </c>
      <c r="C459" t="str">
        <f>'Unformatted Trip Summary'!I457</f>
        <v>Air/Non-Local PT</v>
      </c>
      <c r="D459">
        <f>'Unformatted Trip Summary'!D457</f>
        <v>3</v>
      </c>
      <c r="E459">
        <f>'Unformatted Trip Summary'!E457</f>
        <v>5</v>
      </c>
      <c r="F459" s="1">
        <f>'Unformatted Trip Summary'!F457</f>
        <v>0.36260942909999999</v>
      </c>
      <c r="G459" s="1">
        <f>'Unformatted Trip Summary'!G457</f>
        <v>56.865163273</v>
      </c>
      <c r="H459" s="1">
        <f>'Unformatted Trip Summary'!H457</f>
        <v>0.96259589999999995</v>
      </c>
    </row>
    <row r="460" spans="1:8" x14ac:dyDescent="0.2">
      <c r="A460" t="str">
        <f>'Unformatted Trip Summary'!A458</f>
        <v>06 HAWKE`S BAY</v>
      </c>
      <c r="B460" t="str">
        <f>'Unformatted Trip Summary'!J458</f>
        <v>2017/18</v>
      </c>
      <c r="C460" t="str">
        <f>'Unformatted Trip Summary'!I458</f>
        <v>Air/Non-Local PT</v>
      </c>
      <c r="D460">
        <f>'Unformatted Trip Summary'!D458</f>
        <v>3</v>
      </c>
      <c r="E460">
        <f>'Unformatted Trip Summary'!E458</f>
        <v>5</v>
      </c>
      <c r="F460" s="1">
        <f>'Unformatted Trip Summary'!F458</f>
        <v>0.40724406400000002</v>
      </c>
      <c r="G460" s="1">
        <f>'Unformatted Trip Summary'!G458</f>
        <v>63.508635699999999</v>
      </c>
      <c r="H460" s="1">
        <f>'Unformatted Trip Summary'!H458</f>
        <v>1.0774162499</v>
      </c>
    </row>
    <row r="461" spans="1:8" x14ac:dyDescent="0.2">
      <c r="A461" t="str">
        <f>'Unformatted Trip Summary'!A459</f>
        <v>06 HAWKE`S BAY</v>
      </c>
      <c r="B461" t="str">
        <f>'Unformatted Trip Summary'!J459</f>
        <v>2022/23</v>
      </c>
      <c r="C461" t="str">
        <f>'Unformatted Trip Summary'!I459</f>
        <v>Air/Non-Local PT</v>
      </c>
      <c r="D461">
        <f>'Unformatted Trip Summary'!D459</f>
        <v>3</v>
      </c>
      <c r="E461">
        <f>'Unformatted Trip Summary'!E459</f>
        <v>5</v>
      </c>
      <c r="F461" s="1">
        <f>'Unformatted Trip Summary'!F459</f>
        <v>0.4270829692</v>
      </c>
      <c r="G461" s="1">
        <f>'Unformatted Trip Summary'!G459</f>
        <v>65.819938144000005</v>
      </c>
      <c r="H461" s="1">
        <f>'Unformatted Trip Summary'!H459</f>
        <v>1.1213505067</v>
      </c>
    </row>
    <row r="462" spans="1:8" x14ac:dyDescent="0.2">
      <c r="A462" t="str">
        <f>'Unformatted Trip Summary'!A460</f>
        <v>06 HAWKE`S BAY</v>
      </c>
      <c r="B462" t="str">
        <f>'Unformatted Trip Summary'!J460</f>
        <v>2027/28</v>
      </c>
      <c r="C462" t="str">
        <f>'Unformatted Trip Summary'!I460</f>
        <v>Air/Non-Local PT</v>
      </c>
      <c r="D462">
        <f>'Unformatted Trip Summary'!D460</f>
        <v>3</v>
      </c>
      <c r="E462">
        <f>'Unformatted Trip Summary'!E460</f>
        <v>5</v>
      </c>
      <c r="F462" s="1">
        <f>'Unformatted Trip Summary'!F460</f>
        <v>0.4152039871</v>
      </c>
      <c r="G462" s="1">
        <f>'Unformatted Trip Summary'!G460</f>
        <v>62.72099712</v>
      </c>
      <c r="H462" s="1">
        <f>'Unformatted Trip Summary'!H460</f>
        <v>1.0759082550000001</v>
      </c>
    </row>
    <row r="463" spans="1:8" x14ac:dyDescent="0.2">
      <c r="A463" t="str">
        <f>'Unformatted Trip Summary'!A461</f>
        <v>06 HAWKE`S BAY</v>
      </c>
      <c r="B463" t="str">
        <f>'Unformatted Trip Summary'!J461</f>
        <v>2032/33</v>
      </c>
      <c r="C463" t="str">
        <f>'Unformatted Trip Summary'!I461</f>
        <v>Air/Non-Local PT</v>
      </c>
      <c r="D463">
        <f>'Unformatted Trip Summary'!D461</f>
        <v>3</v>
      </c>
      <c r="E463">
        <f>'Unformatted Trip Summary'!E461</f>
        <v>5</v>
      </c>
      <c r="F463" s="1">
        <f>'Unformatted Trip Summary'!F461</f>
        <v>0.4032592022</v>
      </c>
      <c r="G463" s="1">
        <f>'Unformatted Trip Summary'!G461</f>
        <v>59.175429669000003</v>
      </c>
      <c r="H463" s="1">
        <f>'Unformatted Trip Summary'!H461</f>
        <v>1.0265110421000001</v>
      </c>
    </row>
    <row r="464" spans="1:8" x14ac:dyDescent="0.2">
      <c r="A464" t="str">
        <f>'Unformatted Trip Summary'!A462</f>
        <v>06 HAWKE`S BAY</v>
      </c>
      <c r="B464" t="str">
        <f>'Unformatted Trip Summary'!J462</f>
        <v>2037/38</v>
      </c>
      <c r="C464" t="str">
        <f>'Unformatted Trip Summary'!I462</f>
        <v>Air/Non-Local PT</v>
      </c>
      <c r="D464">
        <f>'Unformatted Trip Summary'!D462</f>
        <v>3</v>
      </c>
      <c r="E464">
        <f>'Unformatted Trip Summary'!E462</f>
        <v>5</v>
      </c>
      <c r="F464" s="1">
        <f>'Unformatted Trip Summary'!F462</f>
        <v>0.39836075669999998</v>
      </c>
      <c r="G464" s="1">
        <f>'Unformatted Trip Summary'!G462</f>
        <v>58.712158320999997</v>
      </c>
      <c r="H464" s="1">
        <f>'Unformatted Trip Summary'!H462</f>
        <v>1.0161925516000001</v>
      </c>
    </row>
    <row r="465" spans="1:8" x14ac:dyDescent="0.2">
      <c r="A465" t="str">
        <f>'Unformatted Trip Summary'!A463</f>
        <v>06 HAWKE`S BAY</v>
      </c>
      <c r="B465" t="str">
        <f>'Unformatted Trip Summary'!J463</f>
        <v>2042/43</v>
      </c>
      <c r="C465" t="str">
        <f>'Unformatted Trip Summary'!I463</f>
        <v>Air/Non-Local PT</v>
      </c>
      <c r="D465">
        <f>'Unformatted Trip Summary'!D463</f>
        <v>3</v>
      </c>
      <c r="E465">
        <f>'Unformatted Trip Summary'!E463</f>
        <v>5</v>
      </c>
      <c r="F465" s="1">
        <f>'Unformatted Trip Summary'!F463</f>
        <v>0.39058307419999999</v>
      </c>
      <c r="G465" s="1">
        <f>'Unformatted Trip Summary'!G463</f>
        <v>57.769298941000002</v>
      </c>
      <c r="H465" s="1">
        <f>'Unformatted Trip Summary'!H463</f>
        <v>0.99795236789999997</v>
      </c>
    </row>
    <row r="466" spans="1:8" x14ac:dyDescent="0.2">
      <c r="A466" t="str">
        <f>'Unformatted Trip Summary'!A464</f>
        <v>06 HAWKE`S BAY</v>
      </c>
      <c r="B466" t="str">
        <f>'Unformatted Trip Summary'!J464</f>
        <v>2012/13</v>
      </c>
      <c r="C466" t="str">
        <f>'Unformatted Trip Summary'!I464</f>
        <v>Non-Household Travel</v>
      </c>
      <c r="D466">
        <f>'Unformatted Trip Summary'!D464</f>
        <v>8</v>
      </c>
      <c r="E466">
        <f>'Unformatted Trip Summary'!E464</f>
        <v>27</v>
      </c>
      <c r="F466" s="1">
        <f>'Unformatted Trip Summary'!F464</f>
        <v>0.84253347339999995</v>
      </c>
      <c r="G466" s="1">
        <f>'Unformatted Trip Summary'!G464</f>
        <v>31.621733808999998</v>
      </c>
      <c r="H466" s="1">
        <f>'Unformatted Trip Summary'!H464</f>
        <v>0.62196297879999995</v>
      </c>
    </row>
    <row r="467" spans="1:8" x14ac:dyDescent="0.2">
      <c r="A467" t="str">
        <f>'Unformatted Trip Summary'!A465</f>
        <v>06 HAWKE`S BAY</v>
      </c>
      <c r="B467" t="str">
        <f>'Unformatted Trip Summary'!J465</f>
        <v>2017/18</v>
      </c>
      <c r="C467" t="str">
        <f>'Unformatted Trip Summary'!I465</f>
        <v>Non-Household Travel</v>
      </c>
      <c r="D467">
        <f>'Unformatted Trip Summary'!D465</f>
        <v>8</v>
      </c>
      <c r="E467">
        <f>'Unformatted Trip Summary'!E465</f>
        <v>27</v>
      </c>
      <c r="F467" s="1">
        <f>'Unformatted Trip Summary'!F465</f>
        <v>0.9532945746</v>
      </c>
      <c r="G467" s="1">
        <f>'Unformatted Trip Summary'!G465</f>
        <v>36.919926830999998</v>
      </c>
      <c r="H467" s="1">
        <f>'Unformatted Trip Summary'!H465</f>
        <v>0.72287574229999996</v>
      </c>
    </row>
    <row r="468" spans="1:8" x14ac:dyDescent="0.2">
      <c r="A468" t="str">
        <f>'Unformatted Trip Summary'!A466</f>
        <v>06 HAWKE`S BAY</v>
      </c>
      <c r="B468" t="str">
        <f>'Unformatted Trip Summary'!J466</f>
        <v>2022/23</v>
      </c>
      <c r="C468" t="str">
        <f>'Unformatted Trip Summary'!I466</f>
        <v>Non-Household Travel</v>
      </c>
      <c r="D468">
        <f>'Unformatted Trip Summary'!D466</f>
        <v>8</v>
      </c>
      <c r="E468">
        <f>'Unformatted Trip Summary'!E466</f>
        <v>27</v>
      </c>
      <c r="F468" s="1">
        <f>'Unformatted Trip Summary'!F466</f>
        <v>1.0359565143</v>
      </c>
      <c r="G468" s="1">
        <f>'Unformatted Trip Summary'!G466</f>
        <v>39.901408740000001</v>
      </c>
      <c r="H468" s="1">
        <f>'Unformatted Trip Summary'!H466</f>
        <v>0.7868554311</v>
      </c>
    </row>
    <row r="469" spans="1:8" x14ac:dyDescent="0.2">
      <c r="A469" t="str">
        <f>'Unformatted Trip Summary'!A467</f>
        <v>06 HAWKE`S BAY</v>
      </c>
      <c r="B469" t="str">
        <f>'Unformatted Trip Summary'!J467</f>
        <v>2027/28</v>
      </c>
      <c r="C469" t="str">
        <f>'Unformatted Trip Summary'!I467</f>
        <v>Non-Household Travel</v>
      </c>
      <c r="D469">
        <f>'Unformatted Trip Summary'!D467</f>
        <v>8</v>
      </c>
      <c r="E469">
        <f>'Unformatted Trip Summary'!E467</f>
        <v>27</v>
      </c>
      <c r="F469" s="1">
        <f>'Unformatted Trip Summary'!F467</f>
        <v>1.0549465431</v>
      </c>
      <c r="G469" s="1">
        <f>'Unformatted Trip Summary'!G467</f>
        <v>39.241486137000003</v>
      </c>
      <c r="H469" s="1">
        <f>'Unformatted Trip Summary'!H467</f>
        <v>0.78625564550000004</v>
      </c>
    </row>
    <row r="470" spans="1:8" x14ac:dyDescent="0.2">
      <c r="A470" t="str">
        <f>'Unformatted Trip Summary'!A468</f>
        <v>06 HAWKE`S BAY</v>
      </c>
      <c r="B470" t="str">
        <f>'Unformatted Trip Summary'!J468</f>
        <v>2032/33</v>
      </c>
      <c r="C470" t="str">
        <f>'Unformatted Trip Summary'!I468</f>
        <v>Non-Household Travel</v>
      </c>
      <c r="D470">
        <f>'Unformatted Trip Summary'!D468</f>
        <v>8</v>
      </c>
      <c r="E470">
        <f>'Unformatted Trip Summary'!E468</f>
        <v>27</v>
      </c>
      <c r="F470" s="1">
        <f>'Unformatted Trip Summary'!F468</f>
        <v>1.052413007</v>
      </c>
      <c r="G470" s="1">
        <f>'Unformatted Trip Summary'!G468</f>
        <v>38.857774927999998</v>
      </c>
      <c r="H470" s="1">
        <f>'Unformatted Trip Summary'!H468</f>
        <v>0.78493185539999999</v>
      </c>
    </row>
    <row r="471" spans="1:8" x14ac:dyDescent="0.2">
      <c r="A471" t="str">
        <f>'Unformatted Trip Summary'!A469</f>
        <v>06 HAWKE`S BAY</v>
      </c>
      <c r="B471" t="str">
        <f>'Unformatted Trip Summary'!J469</f>
        <v>2037/38</v>
      </c>
      <c r="C471" t="str">
        <f>'Unformatted Trip Summary'!I469</f>
        <v>Non-Household Travel</v>
      </c>
      <c r="D471">
        <f>'Unformatted Trip Summary'!D469</f>
        <v>8</v>
      </c>
      <c r="E471">
        <f>'Unformatted Trip Summary'!E469</f>
        <v>27</v>
      </c>
      <c r="F471" s="1">
        <f>'Unformatted Trip Summary'!F469</f>
        <v>1.0582786904999999</v>
      </c>
      <c r="G471" s="1">
        <f>'Unformatted Trip Summary'!G469</f>
        <v>39.240942146999998</v>
      </c>
      <c r="H471" s="1">
        <f>'Unformatted Trip Summary'!H469</f>
        <v>0.79643836509999999</v>
      </c>
    </row>
    <row r="472" spans="1:8" x14ac:dyDescent="0.2">
      <c r="A472" t="str">
        <f>'Unformatted Trip Summary'!A470</f>
        <v>06 HAWKE`S BAY</v>
      </c>
      <c r="B472" t="str">
        <f>'Unformatted Trip Summary'!J470</f>
        <v>2042/43</v>
      </c>
      <c r="C472" t="str">
        <f>'Unformatted Trip Summary'!I470</f>
        <v>Non-Household Travel</v>
      </c>
      <c r="D472">
        <f>'Unformatted Trip Summary'!D470</f>
        <v>8</v>
      </c>
      <c r="E472">
        <f>'Unformatted Trip Summary'!E470</f>
        <v>27</v>
      </c>
      <c r="F472" s="1">
        <f>'Unformatted Trip Summary'!F470</f>
        <v>1.0587341873</v>
      </c>
      <c r="G472" s="1">
        <f>'Unformatted Trip Summary'!G470</f>
        <v>39.533119311</v>
      </c>
      <c r="H472" s="1">
        <f>'Unformatted Trip Summary'!H470</f>
        <v>0.80532963130000002</v>
      </c>
    </row>
    <row r="473" spans="1:8" x14ac:dyDescent="0.2">
      <c r="A473" t="str">
        <f>'Unformatted Trip Summary'!A471</f>
        <v>07 TARANAKI</v>
      </c>
      <c r="B473" t="str">
        <f>'Unformatted Trip Summary'!J471</f>
        <v>2012/13</v>
      </c>
      <c r="C473" t="str">
        <f>'Unformatted Trip Summary'!I471</f>
        <v>Pedestrian</v>
      </c>
      <c r="D473">
        <f>'Unformatted Trip Summary'!D471</f>
        <v>314</v>
      </c>
      <c r="E473">
        <f>'Unformatted Trip Summary'!E471</f>
        <v>1091</v>
      </c>
      <c r="F473" s="1">
        <f>'Unformatted Trip Summary'!F471</f>
        <v>23.308571313000002</v>
      </c>
      <c r="G473" s="1">
        <f>'Unformatted Trip Summary'!G471</f>
        <v>16.820589198</v>
      </c>
      <c r="H473" s="1">
        <f>'Unformatted Trip Summary'!H471</f>
        <v>4.7547330373000003</v>
      </c>
    </row>
    <row r="474" spans="1:8" x14ac:dyDescent="0.2">
      <c r="A474" t="str">
        <f>'Unformatted Trip Summary'!A472</f>
        <v>07 TARANAKI</v>
      </c>
      <c r="B474" t="str">
        <f>'Unformatted Trip Summary'!J472</f>
        <v>2017/18</v>
      </c>
      <c r="C474" t="str">
        <f>'Unformatted Trip Summary'!I472</f>
        <v>Pedestrian</v>
      </c>
      <c r="D474">
        <f>'Unformatted Trip Summary'!D472</f>
        <v>314</v>
      </c>
      <c r="E474">
        <f>'Unformatted Trip Summary'!E472</f>
        <v>1091</v>
      </c>
      <c r="F474" s="1">
        <f>'Unformatted Trip Summary'!F472</f>
        <v>24.428552687</v>
      </c>
      <c r="G474" s="1">
        <f>'Unformatted Trip Summary'!G472</f>
        <v>17.692860114999998</v>
      </c>
      <c r="H474" s="1">
        <f>'Unformatted Trip Summary'!H472</f>
        <v>4.8448275164999997</v>
      </c>
    </row>
    <row r="475" spans="1:8" x14ac:dyDescent="0.2">
      <c r="A475" t="str">
        <f>'Unformatted Trip Summary'!A473</f>
        <v>07 TARANAKI</v>
      </c>
      <c r="B475" t="str">
        <f>'Unformatted Trip Summary'!J473</f>
        <v>2022/23</v>
      </c>
      <c r="C475" t="str">
        <f>'Unformatted Trip Summary'!I473</f>
        <v>Pedestrian</v>
      </c>
      <c r="D475">
        <f>'Unformatted Trip Summary'!D473</f>
        <v>314</v>
      </c>
      <c r="E475">
        <f>'Unformatted Trip Summary'!E473</f>
        <v>1091</v>
      </c>
      <c r="F475" s="1">
        <f>'Unformatted Trip Summary'!F473</f>
        <v>24.96163851</v>
      </c>
      <c r="G475" s="1">
        <f>'Unformatted Trip Summary'!G473</f>
        <v>18.161813358</v>
      </c>
      <c r="H475" s="1">
        <f>'Unformatted Trip Summary'!H473</f>
        <v>4.8476241167999996</v>
      </c>
    </row>
    <row r="476" spans="1:8" x14ac:dyDescent="0.2">
      <c r="A476" t="str">
        <f>'Unformatted Trip Summary'!A474</f>
        <v>07 TARANAKI</v>
      </c>
      <c r="B476" t="str">
        <f>'Unformatted Trip Summary'!J474</f>
        <v>2027/28</v>
      </c>
      <c r="C476" t="str">
        <f>'Unformatted Trip Summary'!I474</f>
        <v>Pedestrian</v>
      </c>
      <c r="D476">
        <f>'Unformatted Trip Summary'!D474</f>
        <v>314</v>
      </c>
      <c r="E476">
        <f>'Unformatted Trip Summary'!E474</f>
        <v>1091</v>
      </c>
      <c r="F476" s="1">
        <f>'Unformatted Trip Summary'!F474</f>
        <v>25.145805365000001</v>
      </c>
      <c r="G476" s="1">
        <f>'Unformatted Trip Summary'!G474</f>
        <v>18.460673945</v>
      </c>
      <c r="H476" s="1">
        <f>'Unformatted Trip Summary'!H474</f>
        <v>4.8141978637999996</v>
      </c>
    </row>
    <row r="477" spans="1:8" x14ac:dyDescent="0.2">
      <c r="A477" t="str">
        <f>'Unformatted Trip Summary'!A475</f>
        <v>07 TARANAKI</v>
      </c>
      <c r="B477" t="str">
        <f>'Unformatted Trip Summary'!J475</f>
        <v>2032/33</v>
      </c>
      <c r="C477" t="str">
        <f>'Unformatted Trip Summary'!I475</f>
        <v>Pedestrian</v>
      </c>
      <c r="D477">
        <f>'Unformatted Trip Summary'!D475</f>
        <v>314</v>
      </c>
      <c r="E477">
        <f>'Unformatted Trip Summary'!E475</f>
        <v>1091</v>
      </c>
      <c r="F477" s="1">
        <f>'Unformatted Trip Summary'!F475</f>
        <v>25.137351346999999</v>
      </c>
      <c r="G477" s="1">
        <f>'Unformatted Trip Summary'!G475</f>
        <v>18.583565827000001</v>
      </c>
      <c r="H477" s="1">
        <f>'Unformatted Trip Summary'!H475</f>
        <v>4.7676002443999996</v>
      </c>
    </row>
    <row r="478" spans="1:8" x14ac:dyDescent="0.2">
      <c r="A478" t="str">
        <f>'Unformatted Trip Summary'!A476</f>
        <v>07 TARANAKI</v>
      </c>
      <c r="B478" t="str">
        <f>'Unformatted Trip Summary'!J476</f>
        <v>2037/38</v>
      </c>
      <c r="C478" t="str">
        <f>'Unformatted Trip Summary'!I476</f>
        <v>Pedestrian</v>
      </c>
      <c r="D478">
        <f>'Unformatted Trip Summary'!D476</f>
        <v>314</v>
      </c>
      <c r="E478">
        <f>'Unformatted Trip Summary'!E476</f>
        <v>1091</v>
      </c>
      <c r="F478" s="1">
        <f>'Unformatted Trip Summary'!F476</f>
        <v>25.024126322000001</v>
      </c>
      <c r="G478" s="1">
        <f>'Unformatted Trip Summary'!G476</f>
        <v>18.685750297999999</v>
      </c>
      <c r="H478" s="1">
        <f>'Unformatted Trip Summary'!H476</f>
        <v>4.7251269005000003</v>
      </c>
    </row>
    <row r="479" spans="1:8" x14ac:dyDescent="0.2">
      <c r="A479" t="str">
        <f>'Unformatted Trip Summary'!A477</f>
        <v>07 TARANAKI</v>
      </c>
      <c r="B479" t="str">
        <f>'Unformatted Trip Summary'!J477</f>
        <v>2042/43</v>
      </c>
      <c r="C479" t="str">
        <f>'Unformatted Trip Summary'!I477</f>
        <v>Pedestrian</v>
      </c>
      <c r="D479">
        <f>'Unformatted Trip Summary'!D477</f>
        <v>314</v>
      </c>
      <c r="E479">
        <f>'Unformatted Trip Summary'!E477</f>
        <v>1091</v>
      </c>
      <c r="F479" s="1">
        <f>'Unformatted Trip Summary'!F477</f>
        <v>24.805968183000001</v>
      </c>
      <c r="G479" s="1">
        <f>'Unformatted Trip Summary'!G477</f>
        <v>18.718498239999999</v>
      </c>
      <c r="H479" s="1">
        <f>'Unformatted Trip Summary'!H477</f>
        <v>4.6699556394000004</v>
      </c>
    </row>
    <row r="480" spans="1:8" x14ac:dyDescent="0.2">
      <c r="A480" t="str">
        <f>'Unformatted Trip Summary'!A478</f>
        <v>07 TARANAKI</v>
      </c>
      <c r="B480" t="str">
        <f>'Unformatted Trip Summary'!J478</f>
        <v>2012/13</v>
      </c>
      <c r="C480" t="str">
        <f>'Unformatted Trip Summary'!I478</f>
        <v>Cyclist</v>
      </c>
      <c r="D480">
        <f>'Unformatted Trip Summary'!D478</f>
        <v>45</v>
      </c>
      <c r="E480">
        <f>'Unformatted Trip Summary'!E478</f>
        <v>133</v>
      </c>
      <c r="F480" s="1">
        <f>'Unformatted Trip Summary'!F478</f>
        <v>2.1611397319000001</v>
      </c>
      <c r="G480" s="1">
        <f>'Unformatted Trip Summary'!G478</f>
        <v>5.5737915155</v>
      </c>
      <c r="H480" s="1">
        <f>'Unformatted Trip Summary'!H478</f>
        <v>0.51341482110000003</v>
      </c>
    </row>
    <row r="481" spans="1:8" x14ac:dyDescent="0.2">
      <c r="A481" t="str">
        <f>'Unformatted Trip Summary'!A479</f>
        <v>07 TARANAKI</v>
      </c>
      <c r="B481" t="str">
        <f>'Unformatted Trip Summary'!J479</f>
        <v>2017/18</v>
      </c>
      <c r="C481" t="str">
        <f>'Unformatted Trip Summary'!I479</f>
        <v>Cyclist</v>
      </c>
      <c r="D481">
        <f>'Unformatted Trip Summary'!D479</f>
        <v>45</v>
      </c>
      <c r="E481">
        <f>'Unformatted Trip Summary'!E479</f>
        <v>133</v>
      </c>
      <c r="F481" s="1">
        <f>'Unformatted Trip Summary'!F479</f>
        <v>2.1913231084999998</v>
      </c>
      <c r="G481" s="1">
        <f>'Unformatted Trip Summary'!G479</f>
        <v>5.7568896104</v>
      </c>
      <c r="H481" s="1">
        <f>'Unformatted Trip Summary'!H479</f>
        <v>0.53588330939999995</v>
      </c>
    </row>
    <row r="482" spans="1:8" x14ac:dyDescent="0.2">
      <c r="A482" t="str">
        <f>'Unformatted Trip Summary'!A480</f>
        <v>07 TARANAKI</v>
      </c>
      <c r="B482" t="str">
        <f>'Unformatted Trip Summary'!J480</f>
        <v>2022/23</v>
      </c>
      <c r="C482" t="str">
        <f>'Unformatted Trip Summary'!I480</f>
        <v>Cyclist</v>
      </c>
      <c r="D482">
        <f>'Unformatted Trip Summary'!D480</f>
        <v>45</v>
      </c>
      <c r="E482">
        <f>'Unformatted Trip Summary'!E480</f>
        <v>133</v>
      </c>
      <c r="F482" s="1">
        <f>'Unformatted Trip Summary'!F480</f>
        <v>2.1918669836000002</v>
      </c>
      <c r="G482" s="1">
        <f>'Unformatted Trip Summary'!G480</f>
        <v>5.8132661280000004</v>
      </c>
      <c r="H482" s="1">
        <f>'Unformatted Trip Summary'!H480</f>
        <v>0.54417950569999995</v>
      </c>
    </row>
    <row r="483" spans="1:8" x14ac:dyDescent="0.2">
      <c r="A483" t="str">
        <f>'Unformatted Trip Summary'!A481</f>
        <v>07 TARANAKI</v>
      </c>
      <c r="B483" t="str">
        <f>'Unformatted Trip Summary'!J481</f>
        <v>2027/28</v>
      </c>
      <c r="C483" t="str">
        <f>'Unformatted Trip Summary'!I481</f>
        <v>Cyclist</v>
      </c>
      <c r="D483">
        <f>'Unformatted Trip Summary'!D481</f>
        <v>45</v>
      </c>
      <c r="E483">
        <f>'Unformatted Trip Summary'!E481</f>
        <v>133</v>
      </c>
      <c r="F483" s="1">
        <f>'Unformatted Trip Summary'!F481</f>
        <v>2.1811750935999998</v>
      </c>
      <c r="G483" s="1">
        <f>'Unformatted Trip Summary'!G481</f>
        <v>5.6996068239</v>
      </c>
      <c r="H483" s="1">
        <f>'Unformatted Trip Summary'!H481</f>
        <v>0.53918220480000001</v>
      </c>
    </row>
    <row r="484" spans="1:8" x14ac:dyDescent="0.2">
      <c r="A484" t="str">
        <f>'Unformatted Trip Summary'!A482</f>
        <v>07 TARANAKI</v>
      </c>
      <c r="B484" t="str">
        <f>'Unformatted Trip Summary'!J482</f>
        <v>2032/33</v>
      </c>
      <c r="C484" t="str">
        <f>'Unformatted Trip Summary'!I482</f>
        <v>Cyclist</v>
      </c>
      <c r="D484">
        <f>'Unformatted Trip Summary'!D482</f>
        <v>45</v>
      </c>
      <c r="E484">
        <f>'Unformatted Trip Summary'!E482</f>
        <v>133</v>
      </c>
      <c r="F484" s="1">
        <f>'Unformatted Trip Summary'!F482</f>
        <v>2.1765782403</v>
      </c>
      <c r="G484" s="1">
        <f>'Unformatted Trip Summary'!G482</f>
        <v>5.7519651597000001</v>
      </c>
      <c r="H484" s="1">
        <f>'Unformatted Trip Summary'!H482</f>
        <v>0.54710030129999998</v>
      </c>
    </row>
    <row r="485" spans="1:8" x14ac:dyDescent="0.2">
      <c r="A485" t="str">
        <f>'Unformatted Trip Summary'!A483</f>
        <v>07 TARANAKI</v>
      </c>
      <c r="B485" t="str">
        <f>'Unformatted Trip Summary'!J483</f>
        <v>2037/38</v>
      </c>
      <c r="C485" t="str">
        <f>'Unformatted Trip Summary'!I483</f>
        <v>Cyclist</v>
      </c>
      <c r="D485">
        <f>'Unformatted Trip Summary'!D483</f>
        <v>45</v>
      </c>
      <c r="E485">
        <f>'Unformatted Trip Summary'!E483</f>
        <v>133</v>
      </c>
      <c r="F485" s="1">
        <f>'Unformatted Trip Summary'!F483</f>
        <v>2.1376069092000001</v>
      </c>
      <c r="G485" s="1">
        <f>'Unformatted Trip Summary'!G483</f>
        <v>5.9056402023999999</v>
      </c>
      <c r="H485" s="1">
        <f>'Unformatted Trip Summary'!H483</f>
        <v>0.55999709220000005</v>
      </c>
    </row>
    <row r="486" spans="1:8" x14ac:dyDescent="0.2">
      <c r="A486" t="str">
        <f>'Unformatted Trip Summary'!A484</f>
        <v>07 TARANAKI</v>
      </c>
      <c r="B486" t="str">
        <f>'Unformatted Trip Summary'!J484</f>
        <v>2042/43</v>
      </c>
      <c r="C486" t="str">
        <f>'Unformatted Trip Summary'!I484</f>
        <v>Cyclist</v>
      </c>
      <c r="D486">
        <f>'Unformatted Trip Summary'!D484</f>
        <v>45</v>
      </c>
      <c r="E486">
        <f>'Unformatted Trip Summary'!E484</f>
        <v>133</v>
      </c>
      <c r="F486" s="1">
        <f>'Unformatted Trip Summary'!F484</f>
        <v>2.0943327346</v>
      </c>
      <c r="G486" s="1">
        <f>'Unformatted Trip Summary'!G484</f>
        <v>6.0717625328000002</v>
      </c>
      <c r="H486" s="1">
        <f>'Unformatted Trip Summary'!H484</f>
        <v>0.57333967190000001</v>
      </c>
    </row>
    <row r="487" spans="1:8" x14ac:dyDescent="0.2">
      <c r="A487" t="str">
        <f>'Unformatted Trip Summary'!A485</f>
        <v>07 TARANAKI</v>
      </c>
      <c r="B487" t="str">
        <f>'Unformatted Trip Summary'!J485</f>
        <v>2012/13</v>
      </c>
      <c r="C487" t="str">
        <f>'Unformatted Trip Summary'!I485</f>
        <v>Light Vehicle Driver</v>
      </c>
      <c r="D487">
        <f>'Unformatted Trip Summary'!D485</f>
        <v>575</v>
      </c>
      <c r="E487">
        <f>'Unformatted Trip Summary'!E485</f>
        <v>4143</v>
      </c>
      <c r="F487" s="1">
        <f>'Unformatted Trip Summary'!F485</f>
        <v>90.801950900999998</v>
      </c>
      <c r="G487" s="1">
        <f>'Unformatted Trip Summary'!G485</f>
        <v>933.36875414999997</v>
      </c>
      <c r="H487" s="1">
        <f>'Unformatted Trip Summary'!H485</f>
        <v>21.205429401</v>
      </c>
    </row>
    <row r="488" spans="1:8" x14ac:dyDescent="0.2">
      <c r="A488" t="str">
        <f>'Unformatted Trip Summary'!A486</f>
        <v>07 TARANAKI</v>
      </c>
      <c r="B488" t="str">
        <f>'Unformatted Trip Summary'!J486</f>
        <v>2017/18</v>
      </c>
      <c r="C488" t="str">
        <f>'Unformatted Trip Summary'!I486</f>
        <v>Light Vehicle Driver</v>
      </c>
      <c r="D488">
        <f>'Unformatted Trip Summary'!D486</f>
        <v>575</v>
      </c>
      <c r="E488">
        <f>'Unformatted Trip Summary'!E486</f>
        <v>4143</v>
      </c>
      <c r="F488" s="1">
        <f>'Unformatted Trip Summary'!F486</f>
        <v>97.579419178999999</v>
      </c>
      <c r="G488" s="1">
        <f>'Unformatted Trip Summary'!G486</f>
        <v>1016.0998587</v>
      </c>
      <c r="H488" s="1">
        <f>'Unformatted Trip Summary'!H486</f>
        <v>22.978617472</v>
      </c>
    </row>
    <row r="489" spans="1:8" x14ac:dyDescent="0.2">
      <c r="A489" t="str">
        <f>'Unformatted Trip Summary'!A487</f>
        <v>07 TARANAKI</v>
      </c>
      <c r="B489" t="str">
        <f>'Unformatted Trip Summary'!J487</f>
        <v>2022/23</v>
      </c>
      <c r="C489" t="str">
        <f>'Unformatted Trip Summary'!I487</f>
        <v>Light Vehicle Driver</v>
      </c>
      <c r="D489">
        <f>'Unformatted Trip Summary'!D487</f>
        <v>575</v>
      </c>
      <c r="E489">
        <f>'Unformatted Trip Summary'!E487</f>
        <v>4143</v>
      </c>
      <c r="F489" s="1">
        <f>'Unformatted Trip Summary'!F487</f>
        <v>102.58171752</v>
      </c>
      <c r="G489" s="1">
        <f>'Unformatted Trip Summary'!G487</f>
        <v>1075.0754944</v>
      </c>
      <c r="H489" s="1">
        <f>'Unformatted Trip Summary'!H487</f>
        <v>24.269862109999998</v>
      </c>
    </row>
    <row r="490" spans="1:8" x14ac:dyDescent="0.2">
      <c r="A490" t="str">
        <f>'Unformatted Trip Summary'!A488</f>
        <v>07 TARANAKI</v>
      </c>
      <c r="B490" t="str">
        <f>'Unformatted Trip Summary'!J488</f>
        <v>2027/28</v>
      </c>
      <c r="C490" t="str">
        <f>'Unformatted Trip Summary'!I488</f>
        <v>Light Vehicle Driver</v>
      </c>
      <c r="D490">
        <f>'Unformatted Trip Summary'!D488</f>
        <v>575</v>
      </c>
      <c r="E490">
        <f>'Unformatted Trip Summary'!E488</f>
        <v>4143</v>
      </c>
      <c r="F490" s="1">
        <f>'Unformatted Trip Summary'!F488</f>
        <v>105.43772668</v>
      </c>
      <c r="G490" s="1">
        <f>'Unformatted Trip Summary'!G488</f>
        <v>1097.911617</v>
      </c>
      <c r="H490" s="1">
        <f>'Unformatted Trip Summary'!H488</f>
        <v>24.896221031</v>
      </c>
    </row>
    <row r="491" spans="1:8" x14ac:dyDescent="0.2">
      <c r="A491" t="str">
        <f>'Unformatted Trip Summary'!A489</f>
        <v>07 TARANAKI</v>
      </c>
      <c r="B491" t="str">
        <f>'Unformatted Trip Summary'!J489</f>
        <v>2032/33</v>
      </c>
      <c r="C491" t="str">
        <f>'Unformatted Trip Summary'!I489</f>
        <v>Light Vehicle Driver</v>
      </c>
      <c r="D491">
        <f>'Unformatted Trip Summary'!D489</f>
        <v>575</v>
      </c>
      <c r="E491">
        <f>'Unformatted Trip Summary'!E489</f>
        <v>4143</v>
      </c>
      <c r="F491" s="1">
        <f>'Unformatted Trip Summary'!F489</f>
        <v>106.48039591</v>
      </c>
      <c r="G491" s="1">
        <f>'Unformatted Trip Summary'!G489</f>
        <v>1102.4804220999999</v>
      </c>
      <c r="H491" s="1">
        <f>'Unformatted Trip Summary'!H489</f>
        <v>25.116881281000001</v>
      </c>
    </row>
    <row r="492" spans="1:8" x14ac:dyDescent="0.2">
      <c r="A492" t="str">
        <f>'Unformatted Trip Summary'!A490</f>
        <v>07 TARANAKI</v>
      </c>
      <c r="B492" t="str">
        <f>'Unformatted Trip Summary'!J490</f>
        <v>2037/38</v>
      </c>
      <c r="C492" t="str">
        <f>'Unformatted Trip Summary'!I490</f>
        <v>Light Vehicle Driver</v>
      </c>
      <c r="D492">
        <f>'Unformatted Trip Summary'!D490</f>
        <v>575</v>
      </c>
      <c r="E492">
        <f>'Unformatted Trip Summary'!E490</f>
        <v>4143</v>
      </c>
      <c r="F492" s="1">
        <f>'Unformatted Trip Summary'!F490</f>
        <v>107.54551639</v>
      </c>
      <c r="G492" s="1">
        <f>'Unformatted Trip Summary'!G490</f>
        <v>1119.7332316</v>
      </c>
      <c r="H492" s="1">
        <f>'Unformatted Trip Summary'!H490</f>
        <v>25.485904085000001</v>
      </c>
    </row>
    <row r="493" spans="1:8" x14ac:dyDescent="0.2">
      <c r="A493" t="str">
        <f>'Unformatted Trip Summary'!A491</f>
        <v>07 TARANAKI</v>
      </c>
      <c r="B493" t="str">
        <f>'Unformatted Trip Summary'!J491</f>
        <v>2042/43</v>
      </c>
      <c r="C493" t="str">
        <f>'Unformatted Trip Summary'!I491</f>
        <v>Light Vehicle Driver</v>
      </c>
      <c r="D493">
        <f>'Unformatted Trip Summary'!D491</f>
        <v>575</v>
      </c>
      <c r="E493">
        <f>'Unformatted Trip Summary'!E491</f>
        <v>4143</v>
      </c>
      <c r="F493" s="1">
        <f>'Unformatted Trip Summary'!F491</f>
        <v>108.179361</v>
      </c>
      <c r="G493" s="1">
        <f>'Unformatted Trip Summary'!G491</f>
        <v>1133.2985885999999</v>
      </c>
      <c r="H493" s="1">
        <f>'Unformatted Trip Summary'!H491</f>
        <v>25.762159809</v>
      </c>
    </row>
    <row r="494" spans="1:8" x14ac:dyDescent="0.2">
      <c r="A494" t="str">
        <f>'Unformatted Trip Summary'!A492</f>
        <v>07 TARANAKI</v>
      </c>
      <c r="B494" t="str">
        <f>'Unformatted Trip Summary'!J492</f>
        <v>2012/13</v>
      </c>
      <c r="C494" t="str">
        <f>'Unformatted Trip Summary'!I492</f>
        <v>Light Vehicle Passenger</v>
      </c>
      <c r="D494">
        <f>'Unformatted Trip Summary'!D492</f>
        <v>446</v>
      </c>
      <c r="E494">
        <f>'Unformatted Trip Summary'!E492</f>
        <v>2212</v>
      </c>
      <c r="F494" s="1">
        <f>'Unformatted Trip Summary'!F492</f>
        <v>45.48406773</v>
      </c>
      <c r="G494" s="1">
        <f>'Unformatted Trip Summary'!G492</f>
        <v>656.25872372000003</v>
      </c>
      <c r="H494" s="1">
        <f>'Unformatted Trip Summary'!H492</f>
        <v>13.125178352000001</v>
      </c>
    </row>
    <row r="495" spans="1:8" x14ac:dyDescent="0.2">
      <c r="A495" t="str">
        <f>'Unformatted Trip Summary'!A493</f>
        <v>07 TARANAKI</v>
      </c>
      <c r="B495" t="str">
        <f>'Unformatted Trip Summary'!J493</f>
        <v>2017/18</v>
      </c>
      <c r="C495" t="str">
        <f>'Unformatted Trip Summary'!I493</f>
        <v>Light Vehicle Passenger</v>
      </c>
      <c r="D495">
        <f>'Unformatted Trip Summary'!D493</f>
        <v>446</v>
      </c>
      <c r="E495">
        <f>'Unformatted Trip Summary'!E493</f>
        <v>2212</v>
      </c>
      <c r="F495" s="1">
        <f>'Unformatted Trip Summary'!F493</f>
        <v>46.032677818000003</v>
      </c>
      <c r="G495" s="1">
        <f>'Unformatted Trip Summary'!G493</f>
        <v>659.98628889999998</v>
      </c>
      <c r="H495" s="1">
        <f>'Unformatted Trip Summary'!H493</f>
        <v>13.224899907999999</v>
      </c>
    </row>
    <row r="496" spans="1:8" x14ac:dyDescent="0.2">
      <c r="A496" t="str">
        <f>'Unformatted Trip Summary'!A494</f>
        <v>07 TARANAKI</v>
      </c>
      <c r="B496" t="str">
        <f>'Unformatted Trip Summary'!J494</f>
        <v>2022/23</v>
      </c>
      <c r="C496" t="str">
        <f>'Unformatted Trip Summary'!I494</f>
        <v>Light Vehicle Passenger</v>
      </c>
      <c r="D496">
        <f>'Unformatted Trip Summary'!D494</f>
        <v>446</v>
      </c>
      <c r="E496">
        <f>'Unformatted Trip Summary'!E494</f>
        <v>2212</v>
      </c>
      <c r="F496" s="1">
        <f>'Unformatted Trip Summary'!F494</f>
        <v>45.911958089000002</v>
      </c>
      <c r="G496" s="1">
        <f>'Unformatted Trip Summary'!G494</f>
        <v>652.95767995000006</v>
      </c>
      <c r="H496" s="1">
        <f>'Unformatted Trip Summary'!H494</f>
        <v>13.125696669</v>
      </c>
    </row>
    <row r="497" spans="1:8" x14ac:dyDescent="0.2">
      <c r="A497" t="str">
        <f>'Unformatted Trip Summary'!A495</f>
        <v>07 TARANAKI</v>
      </c>
      <c r="B497" t="str">
        <f>'Unformatted Trip Summary'!J495</f>
        <v>2027/28</v>
      </c>
      <c r="C497" t="str">
        <f>'Unformatted Trip Summary'!I495</f>
        <v>Light Vehicle Passenger</v>
      </c>
      <c r="D497">
        <f>'Unformatted Trip Summary'!D495</f>
        <v>446</v>
      </c>
      <c r="E497">
        <f>'Unformatted Trip Summary'!E495</f>
        <v>2212</v>
      </c>
      <c r="F497" s="1">
        <f>'Unformatted Trip Summary'!F495</f>
        <v>45.614941270999999</v>
      </c>
      <c r="G497" s="1">
        <f>'Unformatted Trip Summary'!G495</f>
        <v>644.54715467000005</v>
      </c>
      <c r="H497" s="1">
        <f>'Unformatted Trip Summary'!H495</f>
        <v>13.003220754999999</v>
      </c>
    </row>
    <row r="498" spans="1:8" x14ac:dyDescent="0.2">
      <c r="A498" t="str">
        <f>'Unformatted Trip Summary'!A496</f>
        <v>07 TARANAKI</v>
      </c>
      <c r="B498" t="str">
        <f>'Unformatted Trip Summary'!J496</f>
        <v>2032/33</v>
      </c>
      <c r="C498" t="str">
        <f>'Unformatted Trip Summary'!I496</f>
        <v>Light Vehicle Passenger</v>
      </c>
      <c r="D498">
        <f>'Unformatted Trip Summary'!D496</f>
        <v>446</v>
      </c>
      <c r="E498">
        <f>'Unformatted Trip Summary'!E496</f>
        <v>2212</v>
      </c>
      <c r="F498" s="1">
        <f>'Unformatted Trip Summary'!F496</f>
        <v>45.424986099000002</v>
      </c>
      <c r="G498" s="1">
        <f>'Unformatted Trip Summary'!G496</f>
        <v>639.51516071000003</v>
      </c>
      <c r="H498" s="1">
        <f>'Unformatted Trip Summary'!H496</f>
        <v>12.923563667</v>
      </c>
    </row>
    <row r="499" spans="1:8" x14ac:dyDescent="0.2">
      <c r="A499" t="str">
        <f>'Unformatted Trip Summary'!A497</f>
        <v>07 TARANAKI</v>
      </c>
      <c r="B499" t="str">
        <f>'Unformatted Trip Summary'!J497</f>
        <v>2037/38</v>
      </c>
      <c r="C499" t="str">
        <f>'Unformatted Trip Summary'!I497</f>
        <v>Light Vehicle Passenger</v>
      </c>
      <c r="D499">
        <f>'Unformatted Trip Summary'!D497</f>
        <v>446</v>
      </c>
      <c r="E499">
        <f>'Unformatted Trip Summary'!E497</f>
        <v>2212</v>
      </c>
      <c r="F499" s="1">
        <f>'Unformatted Trip Summary'!F497</f>
        <v>45.101060617999998</v>
      </c>
      <c r="G499" s="1">
        <f>'Unformatted Trip Summary'!G497</f>
        <v>629.40956846999995</v>
      </c>
      <c r="H499" s="1">
        <f>'Unformatted Trip Summary'!H497</f>
        <v>12.756094574</v>
      </c>
    </row>
    <row r="500" spans="1:8" x14ac:dyDescent="0.2">
      <c r="A500" t="str">
        <f>'Unformatted Trip Summary'!A498</f>
        <v>07 TARANAKI</v>
      </c>
      <c r="B500" t="str">
        <f>'Unformatted Trip Summary'!J498</f>
        <v>2042/43</v>
      </c>
      <c r="C500" t="str">
        <f>'Unformatted Trip Summary'!I498</f>
        <v>Light Vehicle Passenger</v>
      </c>
      <c r="D500">
        <f>'Unformatted Trip Summary'!D498</f>
        <v>446</v>
      </c>
      <c r="E500">
        <f>'Unformatted Trip Summary'!E498</f>
        <v>2212</v>
      </c>
      <c r="F500" s="1">
        <f>'Unformatted Trip Summary'!F498</f>
        <v>44.563696704000002</v>
      </c>
      <c r="G500" s="1">
        <f>'Unformatted Trip Summary'!G498</f>
        <v>616.93854875</v>
      </c>
      <c r="H500" s="1">
        <f>'Unformatted Trip Summary'!H498</f>
        <v>12.534678293000001</v>
      </c>
    </row>
    <row r="501" spans="1:8" x14ac:dyDescent="0.2">
      <c r="A501" t="str">
        <f>'Unformatted Trip Summary'!A499</f>
        <v>07 TARANAKI</v>
      </c>
      <c r="B501" t="str">
        <f>'Unformatted Trip Summary'!J499</f>
        <v>2012/13</v>
      </c>
      <c r="C501" t="str">
        <f>'Unformatted Trip Summary'!I499</f>
        <v>Taxi/Vehicle Share</v>
      </c>
      <c r="D501">
        <f>'Unformatted Trip Summary'!D499</f>
        <v>10</v>
      </c>
      <c r="E501">
        <f>'Unformatted Trip Summary'!E499</f>
        <v>18</v>
      </c>
      <c r="F501" s="1">
        <f>'Unformatted Trip Summary'!F499</f>
        <v>0.56194422089999996</v>
      </c>
      <c r="G501" s="1">
        <f>'Unformatted Trip Summary'!G499</f>
        <v>1.1335038904000001</v>
      </c>
      <c r="H501" s="1">
        <f>'Unformatted Trip Summary'!H499</f>
        <v>0.10005985589999999</v>
      </c>
    </row>
    <row r="502" spans="1:8" x14ac:dyDescent="0.2">
      <c r="A502" t="str">
        <f>'Unformatted Trip Summary'!A500</f>
        <v>07 TARANAKI</v>
      </c>
      <c r="B502" t="str">
        <f>'Unformatted Trip Summary'!J500</f>
        <v>2017/18</v>
      </c>
      <c r="C502" t="str">
        <f>'Unformatted Trip Summary'!I500</f>
        <v>Taxi/Vehicle Share</v>
      </c>
      <c r="D502">
        <f>'Unformatted Trip Summary'!D500</f>
        <v>10</v>
      </c>
      <c r="E502">
        <f>'Unformatted Trip Summary'!E500</f>
        <v>18</v>
      </c>
      <c r="F502" s="1">
        <f>'Unformatted Trip Summary'!F500</f>
        <v>0.68077201769999995</v>
      </c>
      <c r="G502" s="1">
        <f>'Unformatted Trip Summary'!G500</f>
        <v>1.3774725749000001</v>
      </c>
      <c r="H502" s="1">
        <f>'Unformatted Trip Summary'!H500</f>
        <v>0.1220870419</v>
      </c>
    </row>
    <row r="503" spans="1:8" x14ac:dyDescent="0.2">
      <c r="A503" t="str">
        <f>'Unformatted Trip Summary'!A501</f>
        <v>07 TARANAKI</v>
      </c>
      <c r="B503" t="str">
        <f>'Unformatted Trip Summary'!J501</f>
        <v>2022/23</v>
      </c>
      <c r="C503" t="str">
        <f>'Unformatted Trip Summary'!I501</f>
        <v>Taxi/Vehicle Share</v>
      </c>
      <c r="D503">
        <f>'Unformatted Trip Summary'!D501</f>
        <v>10</v>
      </c>
      <c r="E503">
        <f>'Unformatted Trip Summary'!E501</f>
        <v>18</v>
      </c>
      <c r="F503" s="1">
        <f>'Unformatted Trip Summary'!F501</f>
        <v>0.74640816600000004</v>
      </c>
      <c r="G503" s="1">
        <f>'Unformatted Trip Summary'!G501</f>
        <v>1.5229465226000001</v>
      </c>
      <c r="H503" s="1">
        <f>'Unformatted Trip Summary'!H501</f>
        <v>0.134237786</v>
      </c>
    </row>
    <row r="504" spans="1:8" x14ac:dyDescent="0.2">
      <c r="A504" t="str">
        <f>'Unformatted Trip Summary'!A502</f>
        <v>07 TARANAKI</v>
      </c>
      <c r="B504" t="str">
        <f>'Unformatted Trip Summary'!J502</f>
        <v>2027/28</v>
      </c>
      <c r="C504" t="str">
        <f>'Unformatted Trip Summary'!I502</f>
        <v>Taxi/Vehicle Share</v>
      </c>
      <c r="D504">
        <f>'Unformatted Trip Summary'!D502</f>
        <v>10</v>
      </c>
      <c r="E504">
        <f>'Unformatted Trip Summary'!E502</f>
        <v>18</v>
      </c>
      <c r="F504" s="1">
        <f>'Unformatted Trip Summary'!F502</f>
        <v>0.80749891750000002</v>
      </c>
      <c r="G504" s="1">
        <f>'Unformatted Trip Summary'!G502</f>
        <v>1.6576578834</v>
      </c>
      <c r="H504" s="1">
        <f>'Unformatted Trip Summary'!H502</f>
        <v>0.14559617459999999</v>
      </c>
    </row>
    <row r="505" spans="1:8" x14ac:dyDescent="0.2">
      <c r="A505" t="str">
        <f>'Unformatted Trip Summary'!A503</f>
        <v>07 TARANAKI</v>
      </c>
      <c r="B505" t="str">
        <f>'Unformatted Trip Summary'!J503</f>
        <v>2032/33</v>
      </c>
      <c r="C505" t="str">
        <f>'Unformatted Trip Summary'!I503</f>
        <v>Taxi/Vehicle Share</v>
      </c>
      <c r="D505">
        <f>'Unformatted Trip Summary'!D503</f>
        <v>10</v>
      </c>
      <c r="E505">
        <f>'Unformatted Trip Summary'!E503</f>
        <v>18</v>
      </c>
      <c r="F505" s="1">
        <f>'Unformatted Trip Summary'!F503</f>
        <v>0.82242841519999998</v>
      </c>
      <c r="G505" s="1">
        <f>'Unformatted Trip Summary'!G503</f>
        <v>1.6994461579</v>
      </c>
      <c r="H505" s="1">
        <f>'Unformatted Trip Summary'!H503</f>
        <v>0.14927107070000001</v>
      </c>
    </row>
    <row r="506" spans="1:8" x14ac:dyDescent="0.2">
      <c r="A506" t="str">
        <f>'Unformatted Trip Summary'!A504</f>
        <v>07 TARANAKI</v>
      </c>
      <c r="B506" t="str">
        <f>'Unformatted Trip Summary'!J504</f>
        <v>2037/38</v>
      </c>
      <c r="C506" t="str">
        <f>'Unformatted Trip Summary'!I504</f>
        <v>Taxi/Vehicle Share</v>
      </c>
      <c r="D506">
        <f>'Unformatted Trip Summary'!D504</f>
        <v>10</v>
      </c>
      <c r="E506">
        <f>'Unformatted Trip Summary'!E504</f>
        <v>18</v>
      </c>
      <c r="F506" s="1">
        <f>'Unformatted Trip Summary'!F504</f>
        <v>0.82829720579999999</v>
      </c>
      <c r="G506" s="1">
        <f>'Unformatted Trip Summary'!G504</f>
        <v>1.7276466235000001</v>
      </c>
      <c r="H506" s="1">
        <f>'Unformatted Trip Summary'!H504</f>
        <v>0.15031044330000001</v>
      </c>
    </row>
    <row r="507" spans="1:8" x14ac:dyDescent="0.2">
      <c r="A507" t="str">
        <f>'Unformatted Trip Summary'!A505</f>
        <v>07 TARANAKI</v>
      </c>
      <c r="B507" t="str">
        <f>'Unformatted Trip Summary'!J505</f>
        <v>2042/43</v>
      </c>
      <c r="C507" t="str">
        <f>'Unformatted Trip Summary'!I505</f>
        <v>Taxi/Vehicle Share</v>
      </c>
      <c r="D507">
        <f>'Unformatted Trip Summary'!D505</f>
        <v>10</v>
      </c>
      <c r="E507">
        <f>'Unformatted Trip Summary'!E505</f>
        <v>18</v>
      </c>
      <c r="F507" s="1">
        <f>'Unformatted Trip Summary'!F505</f>
        <v>0.82641757390000004</v>
      </c>
      <c r="G507" s="1">
        <f>'Unformatted Trip Summary'!G505</f>
        <v>1.7404999216999999</v>
      </c>
      <c r="H507" s="1">
        <f>'Unformatted Trip Summary'!H505</f>
        <v>0.1499562931</v>
      </c>
    </row>
    <row r="508" spans="1:8" x14ac:dyDescent="0.2">
      <c r="A508" t="str">
        <f>'Unformatted Trip Summary'!A506</f>
        <v>07 TARANAKI</v>
      </c>
      <c r="B508" t="str">
        <f>'Unformatted Trip Summary'!J506</f>
        <v>2012/13</v>
      </c>
      <c r="C508" t="str">
        <f>'Unformatted Trip Summary'!I506</f>
        <v>Motorcyclist</v>
      </c>
      <c r="D508">
        <f>'Unformatted Trip Summary'!D506</f>
        <v>14</v>
      </c>
      <c r="E508">
        <f>'Unformatted Trip Summary'!E506</f>
        <v>51</v>
      </c>
      <c r="F508" s="1">
        <f>'Unformatted Trip Summary'!F506</f>
        <v>1.091812341</v>
      </c>
      <c r="G508" s="1">
        <f>'Unformatted Trip Summary'!G506</f>
        <v>7.0100687938000004</v>
      </c>
      <c r="H508" s="1">
        <f>'Unformatted Trip Summary'!H506</f>
        <v>0.25001806910000002</v>
      </c>
    </row>
    <row r="509" spans="1:8" x14ac:dyDescent="0.2">
      <c r="A509" t="str">
        <f>'Unformatted Trip Summary'!A507</f>
        <v>07 TARANAKI</v>
      </c>
      <c r="B509" t="str">
        <f>'Unformatted Trip Summary'!J507</f>
        <v>2017/18</v>
      </c>
      <c r="C509" t="str">
        <f>'Unformatted Trip Summary'!I507</f>
        <v>Motorcyclist</v>
      </c>
      <c r="D509">
        <f>'Unformatted Trip Summary'!D507</f>
        <v>14</v>
      </c>
      <c r="E509">
        <f>'Unformatted Trip Summary'!E507</f>
        <v>51</v>
      </c>
      <c r="F509" s="1">
        <f>'Unformatted Trip Summary'!F507</f>
        <v>1.1613104882</v>
      </c>
      <c r="G509" s="1">
        <f>'Unformatted Trip Summary'!G507</f>
        <v>7.3616165814999999</v>
      </c>
      <c r="H509" s="1">
        <f>'Unformatted Trip Summary'!H507</f>
        <v>0.26235057969999998</v>
      </c>
    </row>
    <row r="510" spans="1:8" x14ac:dyDescent="0.2">
      <c r="A510" t="str">
        <f>'Unformatted Trip Summary'!A508</f>
        <v>07 TARANAKI</v>
      </c>
      <c r="B510" t="str">
        <f>'Unformatted Trip Summary'!J508</f>
        <v>2022/23</v>
      </c>
      <c r="C510" t="str">
        <f>'Unformatted Trip Summary'!I508</f>
        <v>Motorcyclist</v>
      </c>
      <c r="D510">
        <f>'Unformatted Trip Summary'!D508</f>
        <v>14</v>
      </c>
      <c r="E510">
        <f>'Unformatted Trip Summary'!E508</f>
        <v>51</v>
      </c>
      <c r="F510" s="1">
        <f>'Unformatted Trip Summary'!F508</f>
        <v>1.1650970164000001</v>
      </c>
      <c r="G510" s="1">
        <f>'Unformatted Trip Summary'!G508</f>
        <v>7.5482259983000004</v>
      </c>
      <c r="H510" s="1">
        <f>'Unformatted Trip Summary'!H508</f>
        <v>0.26896151899999998</v>
      </c>
    </row>
    <row r="511" spans="1:8" x14ac:dyDescent="0.2">
      <c r="A511" t="str">
        <f>'Unformatted Trip Summary'!A509</f>
        <v>07 TARANAKI</v>
      </c>
      <c r="B511" t="str">
        <f>'Unformatted Trip Summary'!J509</f>
        <v>2027/28</v>
      </c>
      <c r="C511" t="str">
        <f>'Unformatted Trip Summary'!I509</f>
        <v>Motorcyclist</v>
      </c>
      <c r="D511">
        <f>'Unformatted Trip Summary'!D509</f>
        <v>14</v>
      </c>
      <c r="E511">
        <f>'Unformatted Trip Summary'!E509</f>
        <v>51</v>
      </c>
      <c r="F511" s="1">
        <f>'Unformatted Trip Summary'!F509</f>
        <v>1.0978777792000001</v>
      </c>
      <c r="G511" s="1">
        <f>'Unformatted Trip Summary'!G509</f>
        <v>7.5912994403000003</v>
      </c>
      <c r="H511" s="1">
        <f>'Unformatted Trip Summary'!H509</f>
        <v>0.26732330100000001</v>
      </c>
    </row>
    <row r="512" spans="1:8" x14ac:dyDescent="0.2">
      <c r="A512" t="str">
        <f>'Unformatted Trip Summary'!A510</f>
        <v>07 TARANAKI</v>
      </c>
      <c r="B512" t="str">
        <f>'Unformatted Trip Summary'!J510</f>
        <v>2032/33</v>
      </c>
      <c r="C512" t="str">
        <f>'Unformatted Trip Summary'!I510</f>
        <v>Motorcyclist</v>
      </c>
      <c r="D512">
        <f>'Unformatted Trip Summary'!D510</f>
        <v>14</v>
      </c>
      <c r="E512">
        <f>'Unformatted Trip Summary'!E510</f>
        <v>51</v>
      </c>
      <c r="F512" s="1">
        <f>'Unformatted Trip Summary'!F510</f>
        <v>1.0427687430999999</v>
      </c>
      <c r="G512" s="1">
        <f>'Unformatted Trip Summary'!G510</f>
        <v>7.3651743781999999</v>
      </c>
      <c r="H512" s="1">
        <f>'Unformatted Trip Summary'!H510</f>
        <v>0.26230508330000002</v>
      </c>
    </row>
    <row r="513" spans="1:8" x14ac:dyDescent="0.2">
      <c r="A513" t="str">
        <f>'Unformatted Trip Summary'!A511</f>
        <v>07 TARANAKI</v>
      </c>
      <c r="B513" t="str">
        <f>'Unformatted Trip Summary'!J511</f>
        <v>2037/38</v>
      </c>
      <c r="C513" t="str">
        <f>'Unformatted Trip Summary'!I511</f>
        <v>Motorcyclist</v>
      </c>
      <c r="D513">
        <f>'Unformatted Trip Summary'!D511</f>
        <v>14</v>
      </c>
      <c r="E513">
        <f>'Unformatted Trip Summary'!E511</f>
        <v>51</v>
      </c>
      <c r="F513" s="1">
        <f>'Unformatted Trip Summary'!F511</f>
        <v>1.0278800849</v>
      </c>
      <c r="G513" s="1">
        <f>'Unformatted Trip Summary'!G511</f>
        <v>7.1202191655</v>
      </c>
      <c r="H513" s="1">
        <f>'Unformatted Trip Summary'!H511</f>
        <v>0.25890436659999999</v>
      </c>
    </row>
    <row r="514" spans="1:8" x14ac:dyDescent="0.2">
      <c r="A514" t="str">
        <f>'Unformatted Trip Summary'!A512</f>
        <v>07 TARANAKI</v>
      </c>
      <c r="B514" t="str">
        <f>'Unformatted Trip Summary'!J512</f>
        <v>2042/43</v>
      </c>
      <c r="C514" t="str">
        <f>'Unformatted Trip Summary'!I512</f>
        <v>Motorcyclist</v>
      </c>
      <c r="D514">
        <f>'Unformatted Trip Summary'!D512</f>
        <v>14</v>
      </c>
      <c r="E514">
        <f>'Unformatted Trip Summary'!E512</f>
        <v>51</v>
      </c>
      <c r="F514" s="1">
        <f>'Unformatted Trip Summary'!F512</f>
        <v>1.0076347406999999</v>
      </c>
      <c r="G514" s="1">
        <f>'Unformatted Trip Summary'!G512</f>
        <v>6.8540262323999999</v>
      </c>
      <c r="H514" s="1">
        <f>'Unformatted Trip Summary'!H512</f>
        <v>0.25501917489999998</v>
      </c>
    </row>
    <row r="515" spans="1:8" x14ac:dyDescent="0.2">
      <c r="A515" t="str">
        <f>'Unformatted Trip Summary'!A513</f>
        <v>07 TARANAKI</v>
      </c>
      <c r="B515" t="str">
        <f>'Unformatted Trip Summary'!J513</f>
        <v>2012/13</v>
      </c>
      <c r="C515" t="str">
        <f>'Unformatted Trip Summary'!I513</f>
        <v>Local Train</v>
      </c>
      <c r="D515">
        <f>'Unformatted Trip Summary'!D513</f>
        <v>1</v>
      </c>
      <c r="E515">
        <f>'Unformatted Trip Summary'!E513</f>
        <v>2</v>
      </c>
      <c r="F515" s="1">
        <f>'Unformatted Trip Summary'!F513</f>
        <v>5.3266318100000001E-2</v>
      </c>
      <c r="G515" s="1">
        <f>'Unformatted Trip Summary'!G513</f>
        <v>0.36455468079999997</v>
      </c>
      <c r="H515" s="1">
        <f>'Unformatted Trip Summary'!H513</f>
        <v>8.8777196999999999E-3</v>
      </c>
    </row>
    <row r="516" spans="1:8" x14ac:dyDescent="0.2">
      <c r="A516" t="str">
        <f>'Unformatted Trip Summary'!A514</f>
        <v>07 TARANAKI</v>
      </c>
      <c r="B516" t="str">
        <f>'Unformatted Trip Summary'!J514</f>
        <v>2017/18</v>
      </c>
      <c r="C516" t="str">
        <f>'Unformatted Trip Summary'!I514</f>
        <v>Local Train</v>
      </c>
      <c r="D516">
        <f>'Unformatted Trip Summary'!D514</f>
        <v>1</v>
      </c>
      <c r="E516">
        <f>'Unformatted Trip Summary'!E514</f>
        <v>2</v>
      </c>
      <c r="F516" s="1">
        <f>'Unformatted Trip Summary'!F514</f>
        <v>5.1742098600000001E-2</v>
      </c>
      <c r="G516" s="1">
        <f>'Unformatted Trip Summary'!G514</f>
        <v>0.35412292249999999</v>
      </c>
      <c r="H516" s="1">
        <f>'Unformatted Trip Summary'!H514</f>
        <v>8.6236830999999996E-3</v>
      </c>
    </row>
    <row r="517" spans="1:8" x14ac:dyDescent="0.2">
      <c r="A517" t="str">
        <f>'Unformatted Trip Summary'!A515</f>
        <v>07 TARANAKI</v>
      </c>
      <c r="B517" t="str">
        <f>'Unformatted Trip Summary'!J515</f>
        <v>2022/23</v>
      </c>
      <c r="C517" t="str">
        <f>'Unformatted Trip Summary'!I515</f>
        <v>Local Train</v>
      </c>
      <c r="D517">
        <f>'Unformatted Trip Summary'!D515</f>
        <v>1</v>
      </c>
      <c r="E517">
        <f>'Unformatted Trip Summary'!E515</f>
        <v>2</v>
      </c>
      <c r="F517" s="1">
        <f>'Unformatted Trip Summary'!F515</f>
        <v>4.6649097700000003E-2</v>
      </c>
      <c r="G517" s="1">
        <f>'Unformatted Trip Summary'!G515</f>
        <v>0.31926642459999999</v>
      </c>
      <c r="H517" s="1">
        <f>'Unformatted Trip Summary'!H515</f>
        <v>7.7748495999999997E-3</v>
      </c>
    </row>
    <row r="518" spans="1:8" x14ac:dyDescent="0.2">
      <c r="A518" t="str">
        <f>'Unformatted Trip Summary'!A516</f>
        <v>07 TARANAKI</v>
      </c>
      <c r="B518" t="str">
        <f>'Unformatted Trip Summary'!J516</f>
        <v>2027/28</v>
      </c>
      <c r="C518" t="str">
        <f>'Unformatted Trip Summary'!I516</f>
        <v>Local Train</v>
      </c>
      <c r="D518">
        <f>'Unformatted Trip Summary'!D516</f>
        <v>1</v>
      </c>
      <c r="E518">
        <f>'Unformatted Trip Summary'!E516</f>
        <v>2</v>
      </c>
      <c r="F518" s="1">
        <f>'Unformatted Trip Summary'!F516</f>
        <v>4.3200567699999998E-2</v>
      </c>
      <c r="G518" s="1">
        <f>'Unformatted Trip Summary'!G516</f>
        <v>0.2956646852</v>
      </c>
      <c r="H518" s="1">
        <f>'Unformatted Trip Summary'!H516</f>
        <v>7.2000946E-3</v>
      </c>
    </row>
    <row r="519" spans="1:8" x14ac:dyDescent="0.2">
      <c r="A519" t="str">
        <f>'Unformatted Trip Summary'!A517</f>
        <v>07 TARANAKI</v>
      </c>
      <c r="B519" t="str">
        <f>'Unformatted Trip Summary'!J517</f>
        <v>2032/33</v>
      </c>
      <c r="C519" t="str">
        <f>'Unformatted Trip Summary'!I517</f>
        <v>Local Train</v>
      </c>
      <c r="D519">
        <f>'Unformatted Trip Summary'!D517</f>
        <v>1</v>
      </c>
      <c r="E519">
        <f>'Unformatted Trip Summary'!E517</f>
        <v>2</v>
      </c>
      <c r="F519" s="1">
        <f>'Unformatted Trip Summary'!F517</f>
        <v>4.5008697E-2</v>
      </c>
      <c r="G519" s="1">
        <f>'Unformatted Trip Summary'!G517</f>
        <v>0.30803952200000001</v>
      </c>
      <c r="H519" s="1">
        <f>'Unformatted Trip Summary'!H517</f>
        <v>7.5014495E-3</v>
      </c>
    </row>
    <row r="520" spans="1:8" x14ac:dyDescent="0.2">
      <c r="A520" t="str">
        <f>'Unformatted Trip Summary'!A518</f>
        <v>07 TARANAKI</v>
      </c>
      <c r="B520" t="str">
        <f>'Unformatted Trip Summary'!J518</f>
        <v>2037/38</v>
      </c>
      <c r="C520" t="str">
        <f>'Unformatted Trip Summary'!I518</f>
        <v>Local Train</v>
      </c>
      <c r="D520">
        <f>'Unformatted Trip Summary'!D518</f>
        <v>1</v>
      </c>
      <c r="E520">
        <f>'Unformatted Trip Summary'!E518</f>
        <v>2</v>
      </c>
      <c r="F520" s="1">
        <f>'Unformatted Trip Summary'!F518</f>
        <v>5.0112339499999999E-2</v>
      </c>
      <c r="G520" s="1">
        <f>'Unformatted Trip Summary'!G518</f>
        <v>0.34296885119999998</v>
      </c>
      <c r="H520" s="1">
        <f>'Unformatted Trip Summary'!H518</f>
        <v>8.3520565999999994E-3</v>
      </c>
    </row>
    <row r="521" spans="1:8" x14ac:dyDescent="0.2">
      <c r="A521" t="str">
        <f>'Unformatted Trip Summary'!A519</f>
        <v>07 TARANAKI</v>
      </c>
      <c r="B521" t="str">
        <f>'Unformatted Trip Summary'!J519</f>
        <v>2042/43</v>
      </c>
      <c r="C521" t="str">
        <f>'Unformatted Trip Summary'!I519</f>
        <v>Local Train</v>
      </c>
      <c r="D521">
        <f>'Unformatted Trip Summary'!D519</f>
        <v>1</v>
      </c>
      <c r="E521">
        <f>'Unformatted Trip Summary'!E519</f>
        <v>2</v>
      </c>
      <c r="F521" s="1">
        <f>'Unformatted Trip Summary'!F519</f>
        <v>5.4499178799999999E-2</v>
      </c>
      <c r="G521" s="1">
        <f>'Unformatted Trip Summary'!G519</f>
        <v>0.3729923798</v>
      </c>
      <c r="H521" s="1">
        <f>'Unformatted Trip Summary'!H519</f>
        <v>9.0831964999999997E-3</v>
      </c>
    </row>
    <row r="522" spans="1:8" x14ac:dyDescent="0.2">
      <c r="A522" t="str">
        <f>'Unformatted Trip Summary'!A520</f>
        <v>07 TARANAKI</v>
      </c>
      <c r="B522" t="str">
        <f>'Unformatted Trip Summary'!J520</f>
        <v>2012/13</v>
      </c>
      <c r="C522" t="str">
        <f>'Unformatted Trip Summary'!I520</f>
        <v>Local Bus</v>
      </c>
      <c r="D522">
        <f>'Unformatted Trip Summary'!D520</f>
        <v>22</v>
      </c>
      <c r="E522">
        <f>'Unformatted Trip Summary'!E520</f>
        <v>54</v>
      </c>
      <c r="F522" s="1">
        <f>'Unformatted Trip Summary'!F520</f>
        <v>1.2787514622</v>
      </c>
      <c r="G522" s="1">
        <f>'Unformatted Trip Summary'!G520</f>
        <v>14.084735078</v>
      </c>
      <c r="H522" s="1">
        <f>'Unformatted Trip Summary'!H520</f>
        <v>0.4632962336</v>
      </c>
    </row>
    <row r="523" spans="1:8" x14ac:dyDescent="0.2">
      <c r="A523" t="str">
        <f>'Unformatted Trip Summary'!A521</f>
        <v>07 TARANAKI</v>
      </c>
      <c r="B523" t="str">
        <f>'Unformatted Trip Summary'!J521</f>
        <v>2017/18</v>
      </c>
      <c r="C523" t="str">
        <f>'Unformatted Trip Summary'!I521</f>
        <v>Local Bus</v>
      </c>
      <c r="D523">
        <f>'Unformatted Trip Summary'!D521</f>
        <v>22</v>
      </c>
      <c r="E523">
        <f>'Unformatted Trip Summary'!E521</f>
        <v>54</v>
      </c>
      <c r="F523" s="1">
        <f>'Unformatted Trip Summary'!F521</f>
        <v>1.3193405162</v>
      </c>
      <c r="G523" s="1">
        <f>'Unformatted Trip Summary'!G521</f>
        <v>15.253779988</v>
      </c>
      <c r="H523" s="1">
        <f>'Unformatted Trip Summary'!H521</f>
        <v>0.47511396519999999</v>
      </c>
    </row>
    <row r="524" spans="1:8" x14ac:dyDescent="0.2">
      <c r="A524" t="str">
        <f>'Unformatted Trip Summary'!A522</f>
        <v>07 TARANAKI</v>
      </c>
      <c r="B524" t="str">
        <f>'Unformatted Trip Summary'!J522</f>
        <v>2022/23</v>
      </c>
      <c r="C524" t="str">
        <f>'Unformatted Trip Summary'!I522</f>
        <v>Local Bus</v>
      </c>
      <c r="D524">
        <f>'Unformatted Trip Summary'!D522</f>
        <v>22</v>
      </c>
      <c r="E524">
        <f>'Unformatted Trip Summary'!E522</f>
        <v>54</v>
      </c>
      <c r="F524" s="1">
        <f>'Unformatted Trip Summary'!F522</f>
        <v>1.3350223726999999</v>
      </c>
      <c r="G524" s="1">
        <f>'Unformatted Trip Summary'!G522</f>
        <v>16.078152168999999</v>
      </c>
      <c r="H524" s="1">
        <f>'Unformatted Trip Summary'!H522</f>
        <v>0.48012833739999999</v>
      </c>
    </row>
    <row r="525" spans="1:8" x14ac:dyDescent="0.2">
      <c r="A525" t="str">
        <f>'Unformatted Trip Summary'!A523</f>
        <v>07 TARANAKI</v>
      </c>
      <c r="B525" t="str">
        <f>'Unformatted Trip Summary'!J523</f>
        <v>2027/28</v>
      </c>
      <c r="C525" t="str">
        <f>'Unformatted Trip Summary'!I523</f>
        <v>Local Bus</v>
      </c>
      <c r="D525">
        <f>'Unformatted Trip Summary'!D523</f>
        <v>22</v>
      </c>
      <c r="E525">
        <f>'Unformatted Trip Summary'!E523</f>
        <v>54</v>
      </c>
      <c r="F525" s="1">
        <f>'Unformatted Trip Summary'!F523</f>
        <v>1.30795017</v>
      </c>
      <c r="G525" s="1">
        <f>'Unformatted Trip Summary'!G523</f>
        <v>15.948698133000001</v>
      </c>
      <c r="H525" s="1">
        <f>'Unformatted Trip Summary'!H523</f>
        <v>0.46893181540000001</v>
      </c>
    </row>
    <row r="526" spans="1:8" x14ac:dyDescent="0.2">
      <c r="A526" t="str">
        <f>'Unformatted Trip Summary'!A524</f>
        <v>07 TARANAKI</v>
      </c>
      <c r="B526" t="str">
        <f>'Unformatted Trip Summary'!J524</f>
        <v>2032/33</v>
      </c>
      <c r="C526" t="str">
        <f>'Unformatted Trip Summary'!I524</f>
        <v>Local Bus</v>
      </c>
      <c r="D526">
        <f>'Unformatted Trip Summary'!D524</f>
        <v>22</v>
      </c>
      <c r="E526">
        <f>'Unformatted Trip Summary'!E524</f>
        <v>54</v>
      </c>
      <c r="F526" s="1">
        <f>'Unformatted Trip Summary'!F524</f>
        <v>1.2622677299</v>
      </c>
      <c r="G526" s="1">
        <f>'Unformatted Trip Summary'!G524</f>
        <v>15.591665045999999</v>
      </c>
      <c r="H526" s="1">
        <f>'Unformatted Trip Summary'!H524</f>
        <v>0.4522052439</v>
      </c>
    </row>
    <row r="527" spans="1:8" x14ac:dyDescent="0.2">
      <c r="A527" t="str">
        <f>'Unformatted Trip Summary'!A525</f>
        <v>07 TARANAKI</v>
      </c>
      <c r="B527" t="str">
        <f>'Unformatted Trip Summary'!J525</f>
        <v>2037/38</v>
      </c>
      <c r="C527" t="str">
        <f>'Unformatted Trip Summary'!I525</f>
        <v>Local Bus</v>
      </c>
      <c r="D527">
        <f>'Unformatted Trip Summary'!D525</f>
        <v>22</v>
      </c>
      <c r="E527">
        <f>'Unformatted Trip Summary'!E525</f>
        <v>54</v>
      </c>
      <c r="F527" s="1">
        <f>'Unformatted Trip Summary'!F525</f>
        <v>1.2700775642</v>
      </c>
      <c r="G527" s="1">
        <f>'Unformatted Trip Summary'!G525</f>
        <v>16.466354347999999</v>
      </c>
      <c r="H527" s="1">
        <f>'Unformatted Trip Summary'!H525</f>
        <v>0.46010152160000001</v>
      </c>
    </row>
    <row r="528" spans="1:8" x14ac:dyDescent="0.2">
      <c r="A528" t="str">
        <f>'Unformatted Trip Summary'!A526</f>
        <v>07 TARANAKI</v>
      </c>
      <c r="B528" t="str">
        <f>'Unformatted Trip Summary'!J526</f>
        <v>2042/43</v>
      </c>
      <c r="C528" t="str">
        <f>'Unformatted Trip Summary'!I526</f>
        <v>Local Bus</v>
      </c>
      <c r="D528">
        <f>'Unformatted Trip Summary'!D526</f>
        <v>22</v>
      </c>
      <c r="E528">
        <f>'Unformatted Trip Summary'!E526</f>
        <v>54</v>
      </c>
      <c r="F528" s="1">
        <f>'Unformatted Trip Summary'!F526</f>
        <v>1.2750341216000001</v>
      </c>
      <c r="G528" s="1">
        <f>'Unformatted Trip Summary'!G526</f>
        <v>17.371395704000001</v>
      </c>
      <c r="H528" s="1">
        <f>'Unformatted Trip Summary'!H526</f>
        <v>0.4677306188</v>
      </c>
    </row>
    <row r="529" spans="1:8" x14ac:dyDescent="0.2">
      <c r="A529" t="str">
        <f>'Unformatted Trip Summary'!A527</f>
        <v>07 TARANAKI</v>
      </c>
      <c r="B529" t="str">
        <f>'Unformatted Trip Summary'!J527</f>
        <v>2012/13</v>
      </c>
      <c r="C529" t="str">
        <f>'Unformatted Trip Summary'!I527</f>
        <v>Other Household Travel</v>
      </c>
      <c r="D529">
        <f>'Unformatted Trip Summary'!D527</f>
        <v>4</v>
      </c>
      <c r="E529">
        <f>'Unformatted Trip Summary'!E527</f>
        <v>11</v>
      </c>
      <c r="F529" s="1">
        <f>'Unformatted Trip Summary'!F527</f>
        <v>0.17475937220000001</v>
      </c>
      <c r="G529" s="1">
        <f>'Unformatted Trip Summary'!G527</f>
        <v>0</v>
      </c>
      <c r="H529" s="1">
        <f>'Unformatted Trip Summary'!H527</f>
        <v>5.6354069499999999E-2</v>
      </c>
    </row>
    <row r="530" spans="1:8" x14ac:dyDescent="0.2">
      <c r="A530" t="str">
        <f>'Unformatted Trip Summary'!A528</f>
        <v>07 TARANAKI</v>
      </c>
      <c r="B530" t="str">
        <f>'Unformatted Trip Summary'!J528</f>
        <v>2017/18</v>
      </c>
      <c r="C530" t="str">
        <f>'Unformatted Trip Summary'!I528</f>
        <v>Other Household Travel</v>
      </c>
      <c r="D530">
        <f>'Unformatted Trip Summary'!D528</f>
        <v>4</v>
      </c>
      <c r="E530">
        <f>'Unformatted Trip Summary'!E528</f>
        <v>11</v>
      </c>
      <c r="F530" s="1">
        <f>'Unformatted Trip Summary'!F528</f>
        <v>0.1855548575</v>
      </c>
      <c r="G530" s="1">
        <f>'Unformatted Trip Summary'!G528</f>
        <v>0</v>
      </c>
      <c r="H530" s="1">
        <f>'Unformatted Trip Summary'!H528</f>
        <v>5.9523355E-2</v>
      </c>
    </row>
    <row r="531" spans="1:8" x14ac:dyDescent="0.2">
      <c r="A531" t="str">
        <f>'Unformatted Trip Summary'!A529</f>
        <v>07 TARANAKI</v>
      </c>
      <c r="B531" t="str">
        <f>'Unformatted Trip Summary'!J529</f>
        <v>2022/23</v>
      </c>
      <c r="C531" t="str">
        <f>'Unformatted Trip Summary'!I529</f>
        <v>Other Household Travel</v>
      </c>
      <c r="D531">
        <f>'Unformatted Trip Summary'!D529</f>
        <v>4</v>
      </c>
      <c r="E531">
        <f>'Unformatted Trip Summary'!E529</f>
        <v>11</v>
      </c>
      <c r="F531" s="1">
        <f>'Unformatted Trip Summary'!F529</f>
        <v>0.19455219400000001</v>
      </c>
      <c r="G531" s="1">
        <f>'Unformatted Trip Summary'!G529</f>
        <v>0</v>
      </c>
      <c r="H531" s="1">
        <f>'Unformatted Trip Summary'!H529</f>
        <v>6.3111735599999996E-2</v>
      </c>
    </row>
    <row r="532" spans="1:8" x14ac:dyDescent="0.2">
      <c r="A532" t="str">
        <f>'Unformatted Trip Summary'!A530</f>
        <v>07 TARANAKI</v>
      </c>
      <c r="B532" t="str">
        <f>'Unformatted Trip Summary'!J530</f>
        <v>2027/28</v>
      </c>
      <c r="C532" t="str">
        <f>'Unformatted Trip Summary'!I530</f>
        <v>Other Household Travel</v>
      </c>
      <c r="D532">
        <f>'Unformatted Trip Summary'!D530</f>
        <v>4</v>
      </c>
      <c r="E532">
        <f>'Unformatted Trip Summary'!E530</f>
        <v>11</v>
      </c>
      <c r="F532" s="1">
        <f>'Unformatted Trip Summary'!F530</f>
        <v>0.2075285298</v>
      </c>
      <c r="G532" s="1">
        <f>'Unformatted Trip Summary'!G530</f>
        <v>0</v>
      </c>
      <c r="H532" s="1">
        <f>'Unformatted Trip Summary'!H530</f>
        <v>7.1191905900000005E-2</v>
      </c>
    </row>
    <row r="533" spans="1:8" x14ac:dyDescent="0.2">
      <c r="A533" t="str">
        <f>'Unformatted Trip Summary'!A531</f>
        <v>07 TARANAKI</v>
      </c>
      <c r="B533" t="str">
        <f>'Unformatted Trip Summary'!J531</f>
        <v>2032/33</v>
      </c>
      <c r="C533" t="str">
        <f>'Unformatted Trip Summary'!I531</f>
        <v>Other Household Travel</v>
      </c>
      <c r="D533">
        <f>'Unformatted Trip Summary'!D531</f>
        <v>4</v>
      </c>
      <c r="E533">
        <f>'Unformatted Trip Summary'!E531</f>
        <v>11</v>
      </c>
      <c r="F533" s="1">
        <f>'Unformatted Trip Summary'!F531</f>
        <v>0.2328889422</v>
      </c>
      <c r="G533" s="1">
        <f>'Unformatted Trip Summary'!G531</f>
        <v>0</v>
      </c>
      <c r="H533" s="1">
        <f>'Unformatted Trip Summary'!H531</f>
        <v>8.5240224899999995E-2</v>
      </c>
    </row>
    <row r="534" spans="1:8" x14ac:dyDescent="0.2">
      <c r="A534" t="str">
        <f>'Unformatted Trip Summary'!A532</f>
        <v>07 TARANAKI</v>
      </c>
      <c r="B534" t="str">
        <f>'Unformatted Trip Summary'!J532</f>
        <v>2037/38</v>
      </c>
      <c r="C534" t="str">
        <f>'Unformatted Trip Summary'!I532</f>
        <v>Other Household Travel</v>
      </c>
      <c r="D534">
        <f>'Unformatted Trip Summary'!D532</f>
        <v>4</v>
      </c>
      <c r="E534">
        <f>'Unformatted Trip Summary'!E532</f>
        <v>11</v>
      </c>
      <c r="F534" s="1">
        <f>'Unformatted Trip Summary'!F532</f>
        <v>0.25271862049999999</v>
      </c>
      <c r="G534" s="1">
        <f>'Unformatted Trip Summary'!G532</f>
        <v>0</v>
      </c>
      <c r="H534" s="1">
        <f>'Unformatted Trip Summary'!H532</f>
        <v>9.5482620899999995E-2</v>
      </c>
    </row>
    <row r="535" spans="1:8" x14ac:dyDescent="0.2">
      <c r="A535" t="str">
        <f>'Unformatted Trip Summary'!A533</f>
        <v>07 TARANAKI</v>
      </c>
      <c r="B535" t="str">
        <f>'Unformatted Trip Summary'!J533</f>
        <v>2042/43</v>
      </c>
      <c r="C535" t="str">
        <f>'Unformatted Trip Summary'!I533</f>
        <v>Other Household Travel</v>
      </c>
      <c r="D535">
        <f>'Unformatted Trip Summary'!D533</f>
        <v>4</v>
      </c>
      <c r="E535">
        <f>'Unformatted Trip Summary'!E533</f>
        <v>11</v>
      </c>
      <c r="F535" s="1">
        <f>'Unformatted Trip Summary'!F533</f>
        <v>0.26568745049999998</v>
      </c>
      <c r="G535" s="1">
        <f>'Unformatted Trip Summary'!G533</f>
        <v>0</v>
      </c>
      <c r="H535" s="1">
        <f>'Unformatted Trip Summary'!H533</f>
        <v>0.1019528064</v>
      </c>
    </row>
    <row r="536" spans="1:8" x14ac:dyDescent="0.2">
      <c r="A536" t="str">
        <f>'Unformatted Trip Summary'!A534</f>
        <v>07 TARANAKI</v>
      </c>
      <c r="B536" t="str">
        <f>'Unformatted Trip Summary'!J534</f>
        <v>2012/13</v>
      </c>
      <c r="C536" t="str">
        <f>'Unformatted Trip Summary'!I534</f>
        <v>Air/Non-Local PT</v>
      </c>
      <c r="D536">
        <f>'Unformatted Trip Summary'!D534</f>
        <v>7</v>
      </c>
      <c r="E536">
        <f>'Unformatted Trip Summary'!E534</f>
        <v>9</v>
      </c>
      <c r="F536" s="1">
        <f>'Unformatted Trip Summary'!F534</f>
        <v>0.31946750800000001</v>
      </c>
      <c r="G536" s="1">
        <f>'Unformatted Trip Summary'!G534</f>
        <v>11.123016451</v>
      </c>
      <c r="H536" s="1">
        <f>'Unformatted Trip Summary'!H534</f>
        <v>0.97687121219999995</v>
      </c>
    </row>
    <row r="537" spans="1:8" x14ac:dyDescent="0.2">
      <c r="A537" t="str">
        <f>'Unformatted Trip Summary'!A535</f>
        <v>07 TARANAKI</v>
      </c>
      <c r="B537" t="str">
        <f>'Unformatted Trip Summary'!J535</f>
        <v>2017/18</v>
      </c>
      <c r="C537" t="str">
        <f>'Unformatted Trip Summary'!I535</f>
        <v>Air/Non-Local PT</v>
      </c>
      <c r="D537">
        <f>'Unformatted Trip Summary'!D535</f>
        <v>7</v>
      </c>
      <c r="E537">
        <f>'Unformatted Trip Summary'!E535</f>
        <v>9</v>
      </c>
      <c r="F537" s="1">
        <f>'Unformatted Trip Summary'!F535</f>
        <v>0.27794156050000002</v>
      </c>
      <c r="G537" s="1">
        <f>'Unformatted Trip Summary'!G535</f>
        <v>12.142658781</v>
      </c>
      <c r="H537" s="1">
        <f>'Unformatted Trip Summary'!H535</f>
        <v>0.85199087060000001</v>
      </c>
    </row>
    <row r="538" spans="1:8" x14ac:dyDescent="0.2">
      <c r="A538" t="str">
        <f>'Unformatted Trip Summary'!A536</f>
        <v>07 TARANAKI</v>
      </c>
      <c r="B538" t="str">
        <f>'Unformatted Trip Summary'!J536</f>
        <v>2022/23</v>
      </c>
      <c r="C538" t="str">
        <f>'Unformatted Trip Summary'!I536</f>
        <v>Air/Non-Local PT</v>
      </c>
      <c r="D538">
        <f>'Unformatted Trip Summary'!D536</f>
        <v>7</v>
      </c>
      <c r="E538">
        <f>'Unformatted Trip Summary'!E536</f>
        <v>9</v>
      </c>
      <c r="F538" s="1">
        <f>'Unformatted Trip Summary'!F536</f>
        <v>0.2508483299</v>
      </c>
      <c r="G538" s="1">
        <f>'Unformatted Trip Summary'!G536</f>
        <v>14.212996303000001</v>
      </c>
      <c r="H538" s="1">
        <f>'Unformatted Trip Summary'!H536</f>
        <v>0.77473971419999998</v>
      </c>
    </row>
    <row r="539" spans="1:8" x14ac:dyDescent="0.2">
      <c r="A539" t="str">
        <f>'Unformatted Trip Summary'!A537</f>
        <v>07 TARANAKI</v>
      </c>
      <c r="B539" t="str">
        <f>'Unformatted Trip Summary'!J537</f>
        <v>2027/28</v>
      </c>
      <c r="C539" t="str">
        <f>'Unformatted Trip Summary'!I537</f>
        <v>Air/Non-Local PT</v>
      </c>
      <c r="D539">
        <f>'Unformatted Trip Summary'!D537</f>
        <v>7</v>
      </c>
      <c r="E539">
        <f>'Unformatted Trip Summary'!E537</f>
        <v>9</v>
      </c>
      <c r="F539" s="1">
        <f>'Unformatted Trip Summary'!F537</f>
        <v>0.23475136629999999</v>
      </c>
      <c r="G539" s="1">
        <f>'Unformatted Trip Summary'!G537</f>
        <v>16.252692070999998</v>
      </c>
      <c r="H539" s="1">
        <f>'Unformatted Trip Summary'!H537</f>
        <v>0.72844207959999996</v>
      </c>
    </row>
    <row r="540" spans="1:8" x14ac:dyDescent="0.2">
      <c r="A540" t="str">
        <f>'Unformatted Trip Summary'!A538</f>
        <v>07 TARANAKI</v>
      </c>
      <c r="B540" t="str">
        <f>'Unformatted Trip Summary'!J538</f>
        <v>2032/33</v>
      </c>
      <c r="C540" t="str">
        <f>'Unformatted Trip Summary'!I538</f>
        <v>Air/Non-Local PT</v>
      </c>
      <c r="D540">
        <f>'Unformatted Trip Summary'!D538</f>
        <v>7</v>
      </c>
      <c r="E540">
        <f>'Unformatted Trip Summary'!E538</f>
        <v>9</v>
      </c>
      <c r="F540" s="1">
        <f>'Unformatted Trip Summary'!F538</f>
        <v>0.2235480373</v>
      </c>
      <c r="G540" s="1">
        <f>'Unformatted Trip Summary'!G538</f>
        <v>17.512653454999999</v>
      </c>
      <c r="H540" s="1">
        <f>'Unformatted Trip Summary'!H538</f>
        <v>0.68900357729999995</v>
      </c>
    </row>
    <row r="541" spans="1:8" x14ac:dyDescent="0.2">
      <c r="A541" t="str">
        <f>'Unformatted Trip Summary'!A539</f>
        <v>07 TARANAKI</v>
      </c>
      <c r="B541" t="str">
        <f>'Unformatted Trip Summary'!J539</f>
        <v>2037/38</v>
      </c>
      <c r="C541" t="str">
        <f>'Unformatted Trip Summary'!I539</f>
        <v>Air/Non-Local PT</v>
      </c>
      <c r="D541">
        <f>'Unformatted Trip Summary'!D539</f>
        <v>7</v>
      </c>
      <c r="E541">
        <f>'Unformatted Trip Summary'!E539</f>
        <v>9</v>
      </c>
      <c r="F541" s="1">
        <f>'Unformatted Trip Summary'!F539</f>
        <v>0.21520183870000001</v>
      </c>
      <c r="G541" s="1">
        <f>'Unformatted Trip Summary'!G539</f>
        <v>18.914875592000001</v>
      </c>
      <c r="H541" s="1">
        <f>'Unformatted Trip Summary'!H539</f>
        <v>0.65429796539999996</v>
      </c>
    </row>
    <row r="542" spans="1:8" x14ac:dyDescent="0.2">
      <c r="A542" t="str">
        <f>'Unformatted Trip Summary'!A540</f>
        <v>07 TARANAKI</v>
      </c>
      <c r="B542" t="str">
        <f>'Unformatted Trip Summary'!J540</f>
        <v>2042/43</v>
      </c>
      <c r="C542" t="str">
        <f>'Unformatted Trip Summary'!I540</f>
        <v>Air/Non-Local PT</v>
      </c>
      <c r="D542">
        <f>'Unformatted Trip Summary'!D540</f>
        <v>7</v>
      </c>
      <c r="E542">
        <f>'Unformatted Trip Summary'!E540</f>
        <v>9</v>
      </c>
      <c r="F542" s="1">
        <f>'Unformatted Trip Summary'!F540</f>
        <v>0.2058025869</v>
      </c>
      <c r="G542" s="1">
        <f>'Unformatted Trip Summary'!G540</f>
        <v>20.111284098999999</v>
      </c>
      <c r="H542" s="1">
        <f>'Unformatted Trip Summary'!H540</f>
        <v>0.61901382270000005</v>
      </c>
    </row>
    <row r="543" spans="1:8" x14ac:dyDescent="0.2">
      <c r="A543" t="str">
        <f>'Unformatted Trip Summary'!A541</f>
        <v>07 TARANAKI</v>
      </c>
      <c r="B543" t="str">
        <f>'Unformatted Trip Summary'!J541</f>
        <v>2012/13</v>
      </c>
      <c r="C543" t="str">
        <f>'Unformatted Trip Summary'!I541</f>
        <v>Non-Household Travel</v>
      </c>
      <c r="D543">
        <f>'Unformatted Trip Summary'!D541</f>
        <v>28</v>
      </c>
      <c r="E543">
        <f>'Unformatted Trip Summary'!E541</f>
        <v>118</v>
      </c>
      <c r="F543" s="1">
        <f>'Unformatted Trip Summary'!F541</f>
        <v>3.0516698092999999</v>
      </c>
      <c r="G543" s="1">
        <f>'Unformatted Trip Summary'!G541</f>
        <v>51.301529111999997</v>
      </c>
      <c r="H543" s="1">
        <f>'Unformatted Trip Summary'!H541</f>
        <v>1.1153896443</v>
      </c>
    </row>
    <row r="544" spans="1:8" x14ac:dyDescent="0.2">
      <c r="A544" t="str">
        <f>'Unformatted Trip Summary'!A542</f>
        <v>07 TARANAKI</v>
      </c>
      <c r="B544" t="str">
        <f>'Unformatted Trip Summary'!J542</f>
        <v>2017/18</v>
      </c>
      <c r="C544" t="str">
        <f>'Unformatted Trip Summary'!I542</f>
        <v>Non-Household Travel</v>
      </c>
      <c r="D544">
        <f>'Unformatted Trip Summary'!D542</f>
        <v>28</v>
      </c>
      <c r="E544">
        <f>'Unformatted Trip Summary'!E542</f>
        <v>118</v>
      </c>
      <c r="F544" s="1">
        <f>'Unformatted Trip Summary'!F542</f>
        <v>3.3802598205000001</v>
      </c>
      <c r="G544" s="1">
        <f>'Unformatted Trip Summary'!G542</f>
        <v>56.394094404000001</v>
      </c>
      <c r="H544" s="1">
        <f>'Unformatted Trip Summary'!H542</f>
        <v>1.2484914064999999</v>
      </c>
    </row>
    <row r="545" spans="1:8" x14ac:dyDescent="0.2">
      <c r="A545" t="str">
        <f>'Unformatted Trip Summary'!A543</f>
        <v>07 TARANAKI</v>
      </c>
      <c r="B545" t="str">
        <f>'Unformatted Trip Summary'!J543</f>
        <v>2022/23</v>
      </c>
      <c r="C545" t="str">
        <f>'Unformatted Trip Summary'!I543</f>
        <v>Non-Household Travel</v>
      </c>
      <c r="D545">
        <f>'Unformatted Trip Summary'!D543</f>
        <v>28</v>
      </c>
      <c r="E545">
        <f>'Unformatted Trip Summary'!E543</f>
        <v>118</v>
      </c>
      <c r="F545" s="1">
        <f>'Unformatted Trip Summary'!F543</f>
        <v>3.6530115433999999</v>
      </c>
      <c r="G545" s="1">
        <f>'Unformatted Trip Summary'!G543</f>
        <v>60.343290213000003</v>
      </c>
      <c r="H545" s="1">
        <f>'Unformatted Trip Summary'!H543</f>
        <v>1.3570601631999999</v>
      </c>
    </row>
    <row r="546" spans="1:8" x14ac:dyDescent="0.2">
      <c r="A546" t="str">
        <f>'Unformatted Trip Summary'!A544</f>
        <v>07 TARANAKI</v>
      </c>
      <c r="B546" t="str">
        <f>'Unformatted Trip Summary'!J544</f>
        <v>2027/28</v>
      </c>
      <c r="C546" t="str">
        <f>'Unformatted Trip Summary'!I544</f>
        <v>Non-Household Travel</v>
      </c>
      <c r="D546">
        <f>'Unformatted Trip Summary'!D544</f>
        <v>28</v>
      </c>
      <c r="E546">
        <f>'Unformatted Trip Summary'!E544</f>
        <v>118</v>
      </c>
      <c r="F546" s="1">
        <f>'Unformatted Trip Summary'!F544</f>
        <v>3.7959288562000002</v>
      </c>
      <c r="G546" s="1">
        <f>'Unformatted Trip Summary'!G544</f>
        <v>61.577856062000002</v>
      </c>
      <c r="H546" s="1">
        <f>'Unformatted Trip Summary'!H544</f>
        <v>1.4077730800999999</v>
      </c>
    </row>
    <row r="547" spans="1:8" x14ac:dyDescent="0.2">
      <c r="A547" t="str">
        <f>'Unformatted Trip Summary'!A545</f>
        <v>07 TARANAKI</v>
      </c>
      <c r="B547" t="str">
        <f>'Unformatted Trip Summary'!J545</f>
        <v>2032/33</v>
      </c>
      <c r="C547" t="str">
        <f>'Unformatted Trip Summary'!I545</f>
        <v>Non-Household Travel</v>
      </c>
      <c r="D547">
        <f>'Unformatted Trip Summary'!D545</f>
        <v>28</v>
      </c>
      <c r="E547">
        <f>'Unformatted Trip Summary'!E545</f>
        <v>118</v>
      </c>
      <c r="F547" s="1">
        <f>'Unformatted Trip Summary'!F545</f>
        <v>3.8796311480000001</v>
      </c>
      <c r="G547" s="1">
        <f>'Unformatted Trip Summary'!G545</f>
        <v>62.185613332000003</v>
      </c>
      <c r="H547" s="1">
        <f>'Unformatted Trip Summary'!H545</f>
        <v>1.4298859749999999</v>
      </c>
    </row>
    <row r="548" spans="1:8" x14ac:dyDescent="0.2">
      <c r="A548" t="str">
        <f>'Unformatted Trip Summary'!A546</f>
        <v>07 TARANAKI</v>
      </c>
      <c r="B548" t="str">
        <f>'Unformatted Trip Summary'!J546</f>
        <v>2037/38</v>
      </c>
      <c r="C548" t="str">
        <f>'Unformatted Trip Summary'!I546</f>
        <v>Non-Household Travel</v>
      </c>
      <c r="D548">
        <f>'Unformatted Trip Summary'!D546</f>
        <v>28</v>
      </c>
      <c r="E548">
        <f>'Unformatted Trip Summary'!E546</f>
        <v>118</v>
      </c>
      <c r="F548" s="1">
        <f>'Unformatted Trip Summary'!F546</f>
        <v>3.9289352841</v>
      </c>
      <c r="G548" s="1">
        <f>'Unformatted Trip Summary'!G546</f>
        <v>62.121855150999998</v>
      </c>
      <c r="H548" s="1">
        <f>'Unformatted Trip Summary'!H546</f>
        <v>1.4268608594000001</v>
      </c>
    </row>
    <row r="549" spans="1:8" x14ac:dyDescent="0.2">
      <c r="A549" t="str">
        <f>'Unformatted Trip Summary'!A547</f>
        <v>07 TARANAKI</v>
      </c>
      <c r="B549" t="str">
        <f>'Unformatted Trip Summary'!J547</f>
        <v>2042/43</v>
      </c>
      <c r="C549" t="str">
        <f>'Unformatted Trip Summary'!I547</f>
        <v>Non-Household Travel</v>
      </c>
      <c r="D549">
        <f>'Unformatted Trip Summary'!D547</f>
        <v>28</v>
      </c>
      <c r="E549">
        <f>'Unformatted Trip Summary'!E547</f>
        <v>118</v>
      </c>
      <c r="F549" s="1">
        <f>'Unformatted Trip Summary'!F547</f>
        <v>3.9670760852</v>
      </c>
      <c r="G549" s="1">
        <f>'Unformatted Trip Summary'!G547</f>
        <v>61.68571524</v>
      </c>
      <c r="H549" s="1">
        <f>'Unformatted Trip Summary'!H547</f>
        <v>1.4160113235</v>
      </c>
    </row>
    <row r="550" spans="1:8" x14ac:dyDescent="0.2">
      <c r="A550" t="str">
        <f>'Unformatted Trip Summary'!A548</f>
        <v>08 MANAWATU-WANGANUI</v>
      </c>
      <c r="B550" t="str">
        <f>'Unformatted Trip Summary'!J548</f>
        <v>2012/13</v>
      </c>
      <c r="C550" t="str">
        <f>'Unformatted Trip Summary'!I548</f>
        <v>Pedestrian</v>
      </c>
      <c r="D550">
        <f>'Unformatted Trip Summary'!D548</f>
        <v>214</v>
      </c>
      <c r="E550">
        <f>'Unformatted Trip Summary'!E548</f>
        <v>797</v>
      </c>
      <c r="F550" s="1">
        <f>'Unformatted Trip Summary'!F548</f>
        <v>39.544031846000003</v>
      </c>
      <c r="G550" s="1">
        <f>'Unformatted Trip Summary'!G548</f>
        <v>32.265609755</v>
      </c>
      <c r="H550" s="1">
        <f>'Unformatted Trip Summary'!H548</f>
        <v>8.3408449691000008</v>
      </c>
    </row>
    <row r="551" spans="1:8" x14ac:dyDescent="0.2">
      <c r="A551" t="str">
        <f>'Unformatted Trip Summary'!A549</f>
        <v>08 MANAWATU-WANGANUI</v>
      </c>
      <c r="B551" t="str">
        <f>'Unformatted Trip Summary'!J549</f>
        <v>2017/18</v>
      </c>
      <c r="C551" t="str">
        <f>'Unformatted Trip Summary'!I549</f>
        <v>Pedestrian</v>
      </c>
      <c r="D551">
        <f>'Unformatted Trip Summary'!D549</f>
        <v>214</v>
      </c>
      <c r="E551">
        <f>'Unformatted Trip Summary'!E549</f>
        <v>797</v>
      </c>
      <c r="F551" s="1">
        <f>'Unformatted Trip Summary'!F549</f>
        <v>38.747288760000004</v>
      </c>
      <c r="G551" s="1">
        <f>'Unformatted Trip Summary'!G549</f>
        <v>32.257016430999997</v>
      </c>
      <c r="H551" s="1">
        <f>'Unformatted Trip Summary'!H549</f>
        <v>8.1995005451999994</v>
      </c>
    </row>
    <row r="552" spans="1:8" x14ac:dyDescent="0.2">
      <c r="A552" t="str">
        <f>'Unformatted Trip Summary'!A550</f>
        <v>08 MANAWATU-WANGANUI</v>
      </c>
      <c r="B552" t="str">
        <f>'Unformatted Trip Summary'!J550</f>
        <v>2022/23</v>
      </c>
      <c r="C552" t="str">
        <f>'Unformatted Trip Summary'!I550</f>
        <v>Pedestrian</v>
      </c>
      <c r="D552">
        <f>'Unformatted Trip Summary'!D550</f>
        <v>214</v>
      </c>
      <c r="E552">
        <f>'Unformatted Trip Summary'!E550</f>
        <v>797</v>
      </c>
      <c r="F552" s="1">
        <f>'Unformatted Trip Summary'!F550</f>
        <v>37.613829013999997</v>
      </c>
      <c r="G552" s="1">
        <f>'Unformatted Trip Summary'!G550</f>
        <v>31.715956725000002</v>
      </c>
      <c r="H552" s="1">
        <f>'Unformatted Trip Summary'!H550</f>
        <v>7.9520479962000001</v>
      </c>
    </row>
    <row r="553" spans="1:8" x14ac:dyDescent="0.2">
      <c r="A553" t="str">
        <f>'Unformatted Trip Summary'!A551</f>
        <v>08 MANAWATU-WANGANUI</v>
      </c>
      <c r="B553" t="str">
        <f>'Unformatted Trip Summary'!J551</f>
        <v>2027/28</v>
      </c>
      <c r="C553" t="str">
        <f>'Unformatted Trip Summary'!I551</f>
        <v>Pedestrian</v>
      </c>
      <c r="D553">
        <f>'Unformatted Trip Summary'!D551</f>
        <v>214</v>
      </c>
      <c r="E553">
        <f>'Unformatted Trip Summary'!E551</f>
        <v>797</v>
      </c>
      <c r="F553" s="1">
        <f>'Unformatted Trip Summary'!F551</f>
        <v>36.087513074999997</v>
      </c>
      <c r="G553" s="1">
        <f>'Unformatted Trip Summary'!G551</f>
        <v>30.917619644999998</v>
      </c>
      <c r="H553" s="1">
        <f>'Unformatted Trip Summary'!H551</f>
        <v>7.6600913107000004</v>
      </c>
    </row>
    <row r="554" spans="1:8" x14ac:dyDescent="0.2">
      <c r="A554" t="str">
        <f>'Unformatted Trip Summary'!A552</f>
        <v>08 MANAWATU-WANGANUI</v>
      </c>
      <c r="B554" t="str">
        <f>'Unformatted Trip Summary'!J552</f>
        <v>2032/33</v>
      </c>
      <c r="C554" t="str">
        <f>'Unformatted Trip Summary'!I552</f>
        <v>Pedestrian</v>
      </c>
      <c r="D554">
        <f>'Unformatted Trip Summary'!D552</f>
        <v>214</v>
      </c>
      <c r="E554">
        <f>'Unformatted Trip Summary'!E552</f>
        <v>797</v>
      </c>
      <c r="F554" s="1">
        <f>'Unformatted Trip Summary'!F552</f>
        <v>34.792072251999997</v>
      </c>
      <c r="G554" s="1">
        <f>'Unformatted Trip Summary'!G552</f>
        <v>29.996205966000002</v>
      </c>
      <c r="H554" s="1">
        <f>'Unformatted Trip Summary'!H552</f>
        <v>7.3427811850999998</v>
      </c>
    </row>
    <row r="555" spans="1:8" x14ac:dyDescent="0.2">
      <c r="A555" t="str">
        <f>'Unformatted Trip Summary'!A553</f>
        <v>08 MANAWATU-WANGANUI</v>
      </c>
      <c r="B555" t="str">
        <f>'Unformatted Trip Summary'!J553</f>
        <v>2037/38</v>
      </c>
      <c r="C555" t="str">
        <f>'Unformatted Trip Summary'!I553</f>
        <v>Pedestrian</v>
      </c>
      <c r="D555">
        <f>'Unformatted Trip Summary'!D553</f>
        <v>214</v>
      </c>
      <c r="E555">
        <f>'Unformatted Trip Summary'!E553</f>
        <v>797</v>
      </c>
      <c r="F555" s="1">
        <f>'Unformatted Trip Summary'!F553</f>
        <v>33.663252628999999</v>
      </c>
      <c r="G555" s="1">
        <f>'Unformatted Trip Summary'!G553</f>
        <v>29.078439356000001</v>
      </c>
      <c r="H555" s="1">
        <f>'Unformatted Trip Summary'!H553</f>
        <v>6.9983546418999998</v>
      </c>
    </row>
    <row r="556" spans="1:8" x14ac:dyDescent="0.2">
      <c r="A556" t="str">
        <f>'Unformatted Trip Summary'!A554</f>
        <v>08 MANAWATU-WANGANUI</v>
      </c>
      <c r="B556" t="str">
        <f>'Unformatted Trip Summary'!J554</f>
        <v>2042/43</v>
      </c>
      <c r="C556" t="str">
        <f>'Unformatted Trip Summary'!I554</f>
        <v>Pedestrian</v>
      </c>
      <c r="D556">
        <f>'Unformatted Trip Summary'!D554</f>
        <v>214</v>
      </c>
      <c r="E556">
        <f>'Unformatted Trip Summary'!E554</f>
        <v>797</v>
      </c>
      <c r="F556" s="1">
        <f>'Unformatted Trip Summary'!F554</f>
        <v>32.498796087000002</v>
      </c>
      <c r="G556" s="1">
        <f>'Unformatted Trip Summary'!G554</f>
        <v>28.108525367999999</v>
      </c>
      <c r="H556" s="1">
        <f>'Unformatted Trip Summary'!H554</f>
        <v>6.6453339281000003</v>
      </c>
    </row>
    <row r="557" spans="1:8" x14ac:dyDescent="0.2">
      <c r="A557" t="str">
        <f>'Unformatted Trip Summary'!A555</f>
        <v>08 MANAWATU-WANGANUI</v>
      </c>
      <c r="B557" t="str">
        <f>'Unformatted Trip Summary'!J555</f>
        <v>2012/13</v>
      </c>
      <c r="C557" t="str">
        <f>'Unformatted Trip Summary'!I555</f>
        <v>Cyclist</v>
      </c>
      <c r="D557">
        <f>'Unformatted Trip Summary'!D555</f>
        <v>33</v>
      </c>
      <c r="E557">
        <f>'Unformatted Trip Summary'!E555</f>
        <v>96</v>
      </c>
      <c r="F557" s="1">
        <f>'Unformatted Trip Summary'!F555</f>
        <v>4.6745036201000003</v>
      </c>
      <c r="G557" s="1">
        <f>'Unformatted Trip Summary'!G555</f>
        <v>20.722330986999999</v>
      </c>
      <c r="H557" s="1">
        <f>'Unformatted Trip Summary'!H555</f>
        <v>1.7566260256999999</v>
      </c>
    </row>
    <row r="558" spans="1:8" x14ac:dyDescent="0.2">
      <c r="A558" t="str">
        <f>'Unformatted Trip Summary'!A556</f>
        <v>08 MANAWATU-WANGANUI</v>
      </c>
      <c r="B558" t="str">
        <f>'Unformatted Trip Summary'!J556</f>
        <v>2017/18</v>
      </c>
      <c r="C558" t="str">
        <f>'Unformatted Trip Summary'!I556</f>
        <v>Cyclist</v>
      </c>
      <c r="D558">
        <f>'Unformatted Trip Summary'!D556</f>
        <v>33</v>
      </c>
      <c r="E558">
        <f>'Unformatted Trip Summary'!E556</f>
        <v>96</v>
      </c>
      <c r="F558" s="1">
        <f>'Unformatted Trip Summary'!F556</f>
        <v>4.8924618022999997</v>
      </c>
      <c r="G558" s="1">
        <f>'Unformatted Trip Summary'!G556</f>
        <v>23.088944231999999</v>
      </c>
      <c r="H558" s="1">
        <f>'Unformatted Trip Summary'!H556</f>
        <v>1.9183887787</v>
      </c>
    </row>
    <row r="559" spans="1:8" x14ac:dyDescent="0.2">
      <c r="A559" t="str">
        <f>'Unformatted Trip Summary'!A557</f>
        <v>08 MANAWATU-WANGANUI</v>
      </c>
      <c r="B559" t="str">
        <f>'Unformatted Trip Summary'!J557</f>
        <v>2022/23</v>
      </c>
      <c r="C559" t="str">
        <f>'Unformatted Trip Summary'!I557</f>
        <v>Cyclist</v>
      </c>
      <c r="D559">
        <f>'Unformatted Trip Summary'!D557</f>
        <v>33</v>
      </c>
      <c r="E559">
        <f>'Unformatted Trip Summary'!E557</f>
        <v>96</v>
      </c>
      <c r="F559" s="1">
        <f>'Unformatted Trip Summary'!F557</f>
        <v>5.0785923155999999</v>
      </c>
      <c r="G559" s="1">
        <f>'Unformatted Trip Summary'!G557</f>
        <v>24.655979531</v>
      </c>
      <c r="H559" s="1">
        <f>'Unformatted Trip Summary'!H557</f>
        <v>2.0372377434</v>
      </c>
    </row>
    <row r="560" spans="1:8" x14ac:dyDescent="0.2">
      <c r="A560" t="str">
        <f>'Unformatted Trip Summary'!A558</f>
        <v>08 MANAWATU-WANGANUI</v>
      </c>
      <c r="B560" t="str">
        <f>'Unformatted Trip Summary'!J558</f>
        <v>2027/28</v>
      </c>
      <c r="C560" t="str">
        <f>'Unformatted Trip Summary'!I558</f>
        <v>Cyclist</v>
      </c>
      <c r="D560">
        <f>'Unformatted Trip Summary'!D558</f>
        <v>33</v>
      </c>
      <c r="E560">
        <f>'Unformatted Trip Summary'!E558</f>
        <v>96</v>
      </c>
      <c r="F560" s="1">
        <f>'Unformatted Trip Summary'!F558</f>
        <v>5.2129145006000002</v>
      </c>
      <c r="G560" s="1">
        <f>'Unformatted Trip Summary'!G558</f>
        <v>24.982433145000002</v>
      </c>
      <c r="H560" s="1">
        <f>'Unformatted Trip Summary'!H558</f>
        <v>2.0829749575999998</v>
      </c>
    </row>
    <row r="561" spans="1:8" x14ac:dyDescent="0.2">
      <c r="A561" t="str">
        <f>'Unformatted Trip Summary'!A559</f>
        <v>08 MANAWATU-WANGANUI</v>
      </c>
      <c r="B561" t="str">
        <f>'Unformatted Trip Summary'!J559</f>
        <v>2032/33</v>
      </c>
      <c r="C561" t="str">
        <f>'Unformatted Trip Summary'!I559</f>
        <v>Cyclist</v>
      </c>
      <c r="D561">
        <f>'Unformatted Trip Summary'!D559</f>
        <v>33</v>
      </c>
      <c r="E561">
        <f>'Unformatted Trip Summary'!E559</f>
        <v>96</v>
      </c>
      <c r="F561" s="1">
        <f>'Unformatted Trip Summary'!F559</f>
        <v>5.3691444793000001</v>
      </c>
      <c r="G561" s="1">
        <f>'Unformatted Trip Summary'!G559</f>
        <v>25.192419341000001</v>
      </c>
      <c r="H561" s="1">
        <f>'Unformatted Trip Summary'!H559</f>
        <v>2.115150087</v>
      </c>
    </row>
    <row r="562" spans="1:8" x14ac:dyDescent="0.2">
      <c r="A562" t="str">
        <f>'Unformatted Trip Summary'!A560</f>
        <v>08 MANAWATU-WANGANUI</v>
      </c>
      <c r="B562" t="str">
        <f>'Unformatted Trip Summary'!J560</f>
        <v>2037/38</v>
      </c>
      <c r="C562" t="str">
        <f>'Unformatted Trip Summary'!I560</f>
        <v>Cyclist</v>
      </c>
      <c r="D562">
        <f>'Unformatted Trip Summary'!D560</f>
        <v>33</v>
      </c>
      <c r="E562">
        <f>'Unformatted Trip Summary'!E560</f>
        <v>96</v>
      </c>
      <c r="F562" s="1">
        <f>'Unformatted Trip Summary'!F560</f>
        <v>5.3169612224999998</v>
      </c>
      <c r="G562" s="1">
        <f>'Unformatted Trip Summary'!G560</f>
        <v>25.398751116</v>
      </c>
      <c r="H562" s="1">
        <f>'Unformatted Trip Summary'!H560</f>
        <v>2.1032904944999999</v>
      </c>
    </row>
    <row r="563" spans="1:8" x14ac:dyDescent="0.2">
      <c r="A563" t="str">
        <f>'Unformatted Trip Summary'!A561</f>
        <v>08 MANAWATU-WANGANUI</v>
      </c>
      <c r="B563" t="str">
        <f>'Unformatted Trip Summary'!J561</f>
        <v>2042/43</v>
      </c>
      <c r="C563" t="str">
        <f>'Unformatted Trip Summary'!I561</f>
        <v>Cyclist</v>
      </c>
      <c r="D563">
        <f>'Unformatted Trip Summary'!D561</f>
        <v>33</v>
      </c>
      <c r="E563">
        <f>'Unformatted Trip Summary'!E561</f>
        <v>96</v>
      </c>
      <c r="F563" s="1">
        <f>'Unformatted Trip Summary'!F561</f>
        <v>5.2270414566000003</v>
      </c>
      <c r="G563" s="1">
        <f>'Unformatted Trip Summary'!G561</f>
        <v>25.519875636999998</v>
      </c>
      <c r="H563" s="1">
        <f>'Unformatted Trip Summary'!H561</f>
        <v>2.0782260834000001</v>
      </c>
    </row>
    <row r="564" spans="1:8" x14ac:dyDescent="0.2">
      <c r="A564" t="str">
        <f>'Unformatted Trip Summary'!A562</f>
        <v>08 MANAWATU-WANGANUI</v>
      </c>
      <c r="B564" t="str">
        <f>'Unformatted Trip Summary'!J562</f>
        <v>2012/13</v>
      </c>
      <c r="C564" t="str">
        <f>'Unformatted Trip Summary'!I562</f>
        <v>Light Vehicle Driver</v>
      </c>
      <c r="D564">
        <f>'Unformatted Trip Summary'!D562</f>
        <v>588</v>
      </c>
      <c r="E564">
        <f>'Unformatted Trip Summary'!E562</f>
        <v>4259</v>
      </c>
      <c r="F564" s="1">
        <f>'Unformatted Trip Summary'!F562</f>
        <v>178.69640117</v>
      </c>
      <c r="G564" s="1">
        <f>'Unformatted Trip Summary'!G562</f>
        <v>1782.4745101999999</v>
      </c>
      <c r="H564" s="1">
        <f>'Unformatted Trip Summary'!H562</f>
        <v>42.09204356</v>
      </c>
    </row>
    <row r="565" spans="1:8" x14ac:dyDescent="0.2">
      <c r="A565" t="str">
        <f>'Unformatted Trip Summary'!A563</f>
        <v>08 MANAWATU-WANGANUI</v>
      </c>
      <c r="B565" t="str">
        <f>'Unformatted Trip Summary'!J563</f>
        <v>2017/18</v>
      </c>
      <c r="C565" t="str">
        <f>'Unformatted Trip Summary'!I563</f>
        <v>Light Vehicle Driver</v>
      </c>
      <c r="D565">
        <f>'Unformatted Trip Summary'!D563</f>
        <v>588</v>
      </c>
      <c r="E565">
        <f>'Unformatted Trip Summary'!E563</f>
        <v>4259</v>
      </c>
      <c r="F565" s="1">
        <f>'Unformatted Trip Summary'!F563</f>
        <v>190.53984130000001</v>
      </c>
      <c r="G565" s="1">
        <f>'Unformatted Trip Summary'!G563</f>
        <v>1921.6056977999999</v>
      </c>
      <c r="H565" s="1">
        <f>'Unformatted Trip Summary'!H563</f>
        <v>45.311149942</v>
      </c>
    </row>
    <row r="566" spans="1:8" x14ac:dyDescent="0.2">
      <c r="A566" t="str">
        <f>'Unformatted Trip Summary'!A564</f>
        <v>08 MANAWATU-WANGANUI</v>
      </c>
      <c r="B566" t="str">
        <f>'Unformatted Trip Summary'!J564</f>
        <v>2022/23</v>
      </c>
      <c r="C566" t="str">
        <f>'Unformatted Trip Summary'!I564</f>
        <v>Light Vehicle Driver</v>
      </c>
      <c r="D566">
        <f>'Unformatted Trip Summary'!D564</f>
        <v>588</v>
      </c>
      <c r="E566">
        <f>'Unformatted Trip Summary'!E564</f>
        <v>4259</v>
      </c>
      <c r="F566" s="1">
        <f>'Unformatted Trip Summary'!F564</f>
        <v>196.60968793999999</v>
      </c>
      <c r="G566" s="1">
        <f>'Unformatted Trip Summary'!G564</f>
        <v>2008.5325579</v>
      </c>
      <c r="H566" s="1">
        <f>'Unformatted Trip Summary'!H564</f>
        <v>47.137630287999997</v>
      </c>
    </row>
    <row r="567" spans="1:8" x14ac:dyDescent="0.2">
      <c r="A567" t="str">
        <f>'Unformatted Trip Summary'!A565</f>
        <v>08 MANAWATU-WANGANUI</v>
      </c>
      <c r="B567" t="str">
        <f>'Unformatted Trip Summary'!J565</f>
        <v>2027/28</v>
      </c>
      <c r="C567" t="str">
        <f>'Unformatted Trip Summary'!I565</f>
        <v>Light Vehicle Driver</v>
      </c>
      <c r="D567">
        <f>'Unformatted Trip Summary'!D565</f>
        <v>588</v>
      </c>
      <c r="E567">
        <f>'Unformatted Trip Summary'!E565</f>
        <v>4259</v>
      </c>
      <c r="F567" s="1">
        <f>'Unformatted Trip Summary'!F565</f>
        <v>198.41565265</v>
      </c>
      <c r="G567" s="1">
        <f>'Unformatted Trip Summary'!G565</f>
        <v>2051.1508617999998</v>
      </c>
      <c r="H567" s="1">
        <f>'Unformatted Trip Summary'!H565</f>
        <v>47.849284208999997</v>
      </c>
    </row>
    <row r="568" spans="1:8" x14ac:dyDescent="0.2">
      <c r="A568" t="str">
        <f>'Unformatted Trip Summary'!A566</f>
        <v>08 MANAWATU-WANGANUI</v>
      </c>
      <c r="B568" t="str">
        <f>'Unformatted Trip Summary'!J566</f>
        <v>2032/33</v>
      </c>
      <c r="C568" t="str">
        <f>'Unformatted Trip Summary'!I566</f>
        <v>Light Vehicle Driver</v>
      </c>
      <c r="D568">
        <f>'Unformatted Trip Summary'!D566</f>
        <v>588</v>
      </c>
      <c r="E568">
        <f>'Unformatted Trip Summary'!E566</f>
        <v>4259</v>
      </c>
      <c r="F568" s="1">
        <f>'Unformatted Trip Summary'!F566</f>
        <v>200.58084801999999</v>
      </c>
      <c r="G568" s="1">
        <f>'Unformatted Trip Summary'!G566</f>
        <v>2080.9406641999999</v>
      </c>
      <c r="H568" s="1">
        <f>'Unformatted Trip Summary'!H566</f>
        <v>48.443217124</v>
      </c>
    </row>
    <row r="569" spans="1:8" x14ac:dyDescent="0.2">
      <c r="A569" t="str">
        <f>'Unformatted Trip Summary'!A567</f>
        <v>08 MANAWATU-WANGANUI</v>
      </c>
      <c r="B569" t="str">
        <f>'Unformatted Trip Summary'!J567</f>
        <v>2037/38</v>
      </c>
      <c r="C569" t="str">
        <f>'Unformatted Trip Summary'!I567</f>
        <v>Light Vehicle Driver</v>
      </c>
      <c r="D569">
        <f>'Unformatted Trip Summary'!D567</f>
        <v>588</v>
      </c>
      <c r="E569">
        <f>'Unformatted Trip Summary'!E567</f>
        <v>4259</v>
      </c>
      <c r="F569" s="1">
        <f>'Unformatted Trip Summary'!F567</f>
        <v>200.55342327</v>
      </c>
      <c r="G569" s="1">
        <f>'Unformatted Trip Summary'!G567</f>
        <v>2087.7514050999998</v>
      </c>
      <c r="H569" s="1">
        <f>'Unformatted Trip Summary'!H567</f>
        <v>48.487029622999998</v>
      </c>
    </row>
    <row r="570" spans="1:8" x14ac:dyDescent="0.2">
      <c r="A570" t="str">
        <f>'Unformatted Trip Summary'!A568</f>
        <v>08 MANAWATU-WANGANUI</v>
      </c>
      <c r="B570" t="str">
        <f>'Unformatted Trip Summary'!J568</f>
        <v>2042/43</v>
      </c>
      <c r="C570" t="str">
        <f>'Unformatted Trip Summary'!I568</f>
        <v>Light Vehicle Driver</v>
      </c>
      <c r="D570">
        <f>'Unformatted Trip Summary'!D568</f>
        <v>588</v>
      </c>
      <c r="E570">
        <f>'Unformatted Trip Summary'!E568</f>
        <v>4259</v>
      </c>
      <c r="F570" s="1">
        <f>'Unformatted Trip Summary'!F568</f>
        <v>199.60305457999999</v>
      </c>
      <c r="G570" s="1">
        <f>'Unformatted Trip Summary'!G568</f>
        <v>2085.8321083000001</v>
      </c>
      <c r="H570" s="1">
        <f>'Unformatted Trip Summary'!H568</f>
        <v>48.307120400000002</v>
      </c>
    </row>
    <row r="571" spans="1:8" x14ac:dyDescent="0.2">
      <c r="A571" t="str">
        <f>'Unformatted Trip Summary'!A569</f>
        <v>08 MANAWATU-WANGANUI</v>
      </c>
      <c r="B571" t="str">
        <f>'Unformatted Trip Summary'!J569</f>
        <v>2012/13</v>
      </c>
      <c r="C571" t="str">
        <f>'Unformatted Trip Summary'!I569</f>
        <v>Light Vehicle Passenger</v>
      </c>
      <c r="D571">
        <f>'Unformatted Trip Summary'!D569</f>
        <v>425</v>
      </c>
      <c r="E571">
        <f>'Unformatted Trip Summary'!E569</f>
        <v>2071</v>
      </c>
      <c r="F571" s="1">
        <f>'Unformatted Trip Summary'!F569</f>
        <v>84.046137802999993</v>
      </c>
      <c r="G571" s="1">
        <f>'Unformatted Trip Summary'!G569</f>
        <v>885.65568203999999</v>
      </c>
      <c r="H571" s="1">
        <f>'Unformatted Trip Summary'!H569</f>
        <v>20.286542670999999</v>
      </c>
    </row>
    <row r="572" spans="1:8" x14ac:dyDescent="0.2">
      <c r="A572" t="str">
        <f>'Unformatted Trip Summary'!A570</f>
        <v>08 MANAWATU-WANGANUI</v>
      </c>
      <c r="B572" t="str">
        <f>'Unformatted Trip Summary'!J570</f>
        <v>2017/18</v>
      </c>
      <c r="C572" t="str">
        <f>'Unformatted Trip Summary'!I570</f>
        <v>Light Vehicle Passenger</v>
      </c>
      <c r="D572">
        <f>'Unformatted Trip Summary'!D570</f>
        <v>425</v>
      </c>
      <c r="E572">
        <f>'Unformatted Trip Summary'!E570</f>
        <v>2071</v>
      </c>
      <c r="F572" s="1">
        <f>'Unformatted Trip Summary'!F570</f>
        <v>83.487040914999994</v>
      </c>
      <c r="G572" s="1">
        <f>'Unformatted Trip Summary'!G570</f>
        <v>904.80493391000005</v>
      </c>
      <c r="H572" s="1">
        <f>'Unformatted Trip Summary'!H570</f>
        <v>20.514725923</v>
      </c>
    </row>
    <row r="573" spans="1:8" x14ac:dyDescent="0.2">
      <c r="A573" t="str">
        <f>'Unformatted Trip Summary'!A571</f>
        <v>08 MANAWATU-WANGANUI</v>
      </c>
      <c r="B573" t="str">
        <f>'Unformatted Trip Summary'!J571</f>
        <v>2022/23</v>
      </c>
      <c r="C573" t="str">
        <f>'Unformatted Trip Summary'!I571</f>
        <v>Light Vehicle Passenger</v>
      </c>
      <c r="D573">
        <f>'Unformatted Trip Summary'!D571</f>
        <v>425</v>
      </c>
      <c r="E573">
        <f>'Unformatted Trip Summary'!E571</f>
        <v>2071</v>
      </c>
      <c r="F573" s="1">
        <f>'Unformatted Trip Summary'!F571</f>
        <v>82.487814665000002</v>
      </c>
      <c r="G573" s="1">
        <f>'Unformatted Trip Summary'!G571</f>
        <v>910.37082107000003</v>
      </c>
      <c r="H573" s="1">
        <f>'Unformatted Trip Summary'!H571</f>
        <v>20.510028004999999</v>
      </c>
    </row>
    <row r="574" spans="1:8" x14ac:dyDescent="0.2">
      <c r="A574" t="str">
        <f>'Unformatted Trip Summary'!A572</f>
        <v>08 MANAWATU-WANGANUI</v>
      </c>
      <c r="B574" t="str">
        <f>'Unformatted Trip Summary'!J572</f>
        <v>2027/28</v>
      </c>
      <c r="C574" t="str">
        <f>'Unformatted Trip Summary'!I572</f>
        <v>Light Vehicle Passenger</v>
      </c>
      <c r="D574">
        <f>'Unformatted Trip Summary'!D572</f>
        <v>425</v>
      </c>
      <c r="E574">
        <f>'Unformatted Trip Summary'!E572</f>
        <v>2071</v>
      </c>
      <c r="F574" s="1">
        <f>'Unformatted Trip Summary'!F572</f>
        <v>81.159871222000007</v>
      </c>
      <c r="G574" s="1">
        <f>'Unformatted Trip Summary'!G572</f>
        <v>905.54878393000001</v>
      </c>
      <c r="H574" s="1">
        <f>'Unformatted Trip Summary'!H572</f>
        <v>20.321673954000001</v>
      </c>
    </row>
    <row r="575" spans="1:8" x14ac:dyDescent="0.2">
      <c r="A575" t="str">
        <f>'Unformatted Trip Summary'!A573</f>
        <v>08 MANAWATU-WANGANUI</v>
      </c>
      <c r="B575" t="str">
        <f>'Unformatted Trip Summary'!J573</f>
        <v>2032/33</v>
      </c>
      <c r="C575" t="str">
        <f>'Unformatted Trip Summary'!I573</f>
        <v>Light Vehicle Passenger</v>
      </c>
      <c r="D575">
        <f>'Unformatted Trip Summary'!D573</f>
        <v>425</v>
      </c>
      <c r="E575">
        <f>'Unformatted Trip Summary'!E573</f>
        <v>2071</v>
      </c>
      <c r="F575" s="1">
        <f>'Unformatted Trip Summary'!F573</f>
        <v>80.491277304999997</v>
      </c>
      <c r="G575" s="1">
        <f>'Unformatted Trip Summary'!G573</f>
        <v>910.10950706999995</v>
      </c>
      <c r="H575" s="1">
        <f>'Unformatted Trip Summary'!H573</f>
        <v>20.352410842000001</v>
      </c>
    </row>
    <row r="576" spans="1:8" x14ac:dyDescent="0.2">
      <c r="A576" t="str">
        <f>'Unformatted Trip Summary'!A574</f>
        <v>08 MANAWATU-WANGANUI</v>
      </c>
      <c r="B576" t="str">
        <f>'Unformatted Trip Summary'!J574</f>
        <v>2037/38</v>
      </c>
      <c r="C576" t="str">
        <f>'Unformatted Trip Summary'!I574</f>
        <v>Light Vehicle Passenger</v>
      </c>
      <c r="D576">
        <f>'Unformatted Trip Summary'!D574</f>
        <v>425</v>
      </c>
      <c r="E576">
        <f>'Unformatted Trip Summary'!E574</f>
        <v>2071</v>
      </c>
      <c r="F576" s="1">
        <f>'Unformatted Trip Summary'!F574</f>
        <v>79.106475465000003</v>
      </c>
      <c r="G576" s="1">
        <f>'Unformatted Trip Summary'!G574</f>
        <v>911.53890762000003</v>
      </c>
      <c r="H576" s="1">
        <f>'Unformatted Trip Summary'!H574</f>
        <v>20.313275279999999</v>
      </c>
    </row>
    <row r="577" spans="1:8" x14ac:dyDescent="0.2">
      <c r="A577" t="str">
        <f>'Unformatted Trip Summary'!A575</f>
        <v>08 MANAWATU-WANGANUI</v>
      </c>
      <c r="B577" t="str">
        <f>'Unformatted Trip Summary'!J575</f>
        <v>2042/43</v>
      </c>
      <c r="C577" t="str">
        <f>'Unformatted Trip Summary'!I575</f>
        <v>Light Vehicle Passenger</v>
      </c>
      <c r="D577">
        <f>'Unformatted Trip Summary'!D575</f>
        <v>425</v>
      </c>
      <c r="E577">
        <f>'Unformatted Trip Summary'!E575</f>
        <v>2071</v>
      </c>
      <c r="F577" s="1">
        <f>'Unformatted Trip Summary'!F575</f>
        <v>77.338407837000005</v>
      </c>
      <c r="G577" s="1">
        <f>'Unformatted Trip Summary'!G575</f>
        <v>910.54565156000001</v>
      </c>
      <c r="H577" s="1">
        <f>'Unformatted Trip Summary'!H575</f>
        <v>20.197447498999999</v>
      </c>
    </row>
    <row r="578" spans="1:8" x14ac:dyDescent="0.2">
      <c r="A578" t="str">
        <f>'Unformatted Trip Summary'!A576</f>
        <v>08 MANAWATU-WANGANUI</v>
      </c>
      <c r="B578" t="str">
        <f>'Unformatted Trip Summary'!J576</f>
        <v>2012/13</v>
      </c>
      <c r="C578" t="str">
        <f>'Unformatted Trip Summary'!I576</f>
        <v>Taxi/Vehicle Share</v>
      </c>
      <c r="D578">
        <f>'Unformatted Trip Summary'!D576</f>
        <v>16</v>
      </c>
      <c r="E578">
        <f>'Unformatted Trip Summary'!E576</f>
        <v>32</v>
      </c>
      <c r="F578" s="1">
        <f>'Unformatted Trip Summary'!F576</f>
        <v>0.99874441920000001</v>
      </c>
      <c r="G578" s="1">
        <f>'Unformatted Trip Summary'!G576</f>
        <v>5.6344181790999999</v>
      </c>
      <c r="H578" s="1">
        <f>'Unformatted Trip Summary'!H576</f>
        <v>0.26821620219999998</v>
      </c>
    </row>
    <row r="579" spans="1:8" x14ac:dyDescent="0.2">
      <c r="A579" t="str">
        <f>'Unformatted Trip Summary'!A577</f>
        <v>08 MANAWATU-WANGANUI</v>
      </c>
      <c r="B579" t="str">
        <f>'Unformatted Trip Summary'!J577</f>
        <v>2017/18</v>
      </c>
      <c r="C579" t="str">
        <f>'Unformatted Trip Summary'!I577</f>
        <v>Taxi/Vehicle Share</v>
      </c>
      <c r="D579">
        <f>'Unformatted Trip Summary'!D577</f>
        <v>16</v>
      </c>
      <c r="E579">
        <f>'Unformatted Trip Summary'!E577</f>
        <v>32</v>
      </c>
      <c r="F579" s="1">
        <f>'Unformatted Trip Summary'!F577</f>
        <v>1.1002310403</v>
      </c>
      <c r="G579" s="1">
        <f>'Unformatted Trip Summary'!G577</f>
        <v>6.7762108150999998</v>
      </c>
      <c r="H579" s="1">
        <f>'Unformatted Trip Summary'!H577</f>
        <v>0.31846578850000001</v>
      </c>
    </row>
    <row r="580" spans="1:8" x14ac:dyDescent="0.2">
      <c r="A580" t="str">
        <f>'Unformatted Trip Summary'!A578</f>
        <v>08 MANAWATU-WANGANUI</v>
      </c>
      <c r="B580" t="str">
        <f>'Unformatted Trip Summary'!J578</f>
        <v>2022/23</v>
      </c>
      <c r="C580" t="str">
        <f>'Unformatted Trip Summary'!I578</f>
        <v>Taxi/Vehicle Share</v>
      </c>
      <c r="D580">
        <f>'Unformatted Trip Summary'!D578</f>
        <v>16</v>
      </c>
      <c r="E580">
        <f>'Unformatted Trip Summary'!E578</f>
        <v>32</v>
      </c>
      <c r="F580" s="1">
        <f>'Unformatted Trip Summary'!F578</f>
        <v>1.1421527327000001</v>
      </c>
      <c r="G580" s="1">
        <f>'Unformatted Trip Summary'!G578</f>
        <v>7.5072467897999999</v>
      </c>
      <c r="H580" s="1">
        <f>'Unformatted Trip Summary'!H578</f>
        <v>0.34870497290000002</v>
      </c>
    </row>
    <row r="581" spans="1:8" x14ac:dyDescent="0.2">
      <c r="A581" t="str">
        <f>'Unformatted Trip Summary'!A579</f>
        <v>08 MANAWATU-WANGANUI</v>
      </c>
      <c r="B581" t="str">
        <f>'Unformatted Trip Summary'!J579</f>
        <v>2027/28</v>
      </c>
      <c r="C581" t="str">
        <f>'Unformatted Trip Summary'!I579</f>
        <v>Taxi/Vehicle Share</v>
      </c>
      <c r="D581">
        <f>'Unformatted Trip Summary'!D579</f>
        <v>16</v>
      </c>
      <c r="E581">
        <f>'Unformatted Trip Summary'!E579</f>
        <v>32</v>
      </c>
      <c r="F581" s="1">
        <f>'Unformatted Trip Summary'!F579</f>
        <v>1.1269840790000001</v>
      </c>
      <c r="G581" s="1">
        <f>'Unformatted Trip Summary'!G579</f>
        <v>7.7162094202000002</v>
      </c>
      <c r="H581" s="1">
        <f>'Unformatted Trip Summary'!H579</f>
        <v>0.35477330210000002</v>
      </c>
    </row>
    <row r="582" spans="1:8" x14ac:dyDescent="0.2">
      <c r="A582" t="str">
        <f>'Unformatted Trip Summary'!A580</f>
        <v>08 MANAWATU-WANGANUI</v>
      </c>
      <c r="B582" t="str">
        <f>'Unformatted Trip Summary'!J580</f>
        <v>2032/33</v>
      </c>
      <c r="C582" t="str">
        <f>'Unformatted Trip Summary'!I580</f>
        <v>Taxi/Vehicle Share</v>
      </c>
      <c r="D582">
        <f>'Unformatted Trip Summary'!D580</f>
        <v>16</v>
      </c>
      <c r="E582">
        <f>'Unformatted Trip Summary'!E580</f>
        <v>32</v>
      </c>
      <c r="F582" s="1">
        <f>'Unformatted Trip Summary'!F580</f>
        <v>1.1027621072</v>
      </c>
      <c r="G582" s="1">
        <f>'Unformatted Trip Summary'!G580</f>
        <v>7.8582624336000002</v>
      </c>
      <c r="H582" s="1">
        <f>'Unformatted Trip Summary'!H580</f>
        <v>0.35878399989999998</v>
      </c>
    </row>
    <row r="583" spans="1:8" x14ac:dyDescent="0.2">
      <c r="A583" t="str">
        <f>'Unformatted Trip Summary'!A581</f>
        <v>08 MANAWATU-WANGANUI</v>
      </c>
      <c r="B583" t="str">
        <f>'Unformatted Trip Summary'!J581</f>
        <v>2037/38</v>
      </c>
      <c r="C583" t="str">
        <f>'Unformatted Trip Summary'!I581</f>
        <v>Taxi/Vehicle Share</v>
      </c>
      <c r="D583">
        <f>'Unformatted Trip Summary'!D581</f>
        <v>16</v>
      </c>
      <c r="E583">
        <f>'Unformatted Trip Summary'!E581</f>
        <v>32</v>
      </c>
      <c r="F583" s="1">
        <f>'Unformatted Trip Summary'!F581</f>
        <v>1.1330636912000001</v>
      </c>
      <c r="G583" s="1">
        <f>'Unformatted Trip Summary'!G581</f>
        <v>8.4667641685999993</v>
      </c>
      <c r="H583" s="1">
        <f>'Unformatted Trip Summary'!H581</f>
        <v>0.38383747039999999</v>
      </c>
    </row>
    <row r="584" spans="1:8" x14ac:dyDescent="0.2">
      <c r="A584" t="str">
        <f>'Unformatted Trip Summary'!A582</f>
        <v>08 MANAWATU-WANGANUI</v>
      </c>
      <c r="B584" t="str">
        <f>'Unformatted Trip Summary'!J582</f>
        <v>2042/43</v>
      </c>
      <c r="C584" t="str">
        <f>'Unformatted Trip Summary'!I582</f>
        <v>Taxi/Vehicle Share</v>
      </c>
      <c r="D584">
        <f>'Unformatted Trip Summary'!D582</f>
        <v>16</v>
      </c>
      <c r="E584">
        <f>'Unformatted Trip Summary'!E582</f>
        <v>32</v>
      </c>
      <c r="F584" s="1">
        <f>'Unformatted Trip Summary'!F582</f>
        <v>1.1637068523</v>
      </c>
      <c r="G584" s="1">
        <f>'Unformatted Trip Summary'!G582</f>
        <v>9.1007542028999993</v>
      </c>
      <c r="H584" s="1">
        <f>'Unformatted Trip Summary'!H582</f>
        <v>0.4101707584</v>
      </c>
    </row>
    <row r="585" spans="1:8" x14ac:dyDescent="0.2">
      <c r="A585" t="str">
        <f>'Unformatted Trip Summary'!A583</f>
        <v>08 MANAWATU-WANGANUI</v>
      </c>
      <c r="B585" t="str">
        <f>'Unformatted Trip Summary'!J583</f>
        <v>2012/13</v>
      </c>
      <c r="C585" t="str">
        <f>'Unformatted Trip Summary'!I583</f>
        <v>Motorcyclist</v>
      </c>
      <c r="D585">
        <f>'Unformatted Trip Summary'!D583</f>
        <v>5</v>
      </c>
      <c r="E585">
        <f>'Unformatted Trip Summary'!E583</f>
        <v>19</v>
      </c>
      <c r="F585" s="1">
        <f>'Unformatted Trip Summary'!F583</f>
        <v>0.79000583589999995</v>
      </c>
      <c r="G585" s="1">
        <f>'Unformatted Trip Summary'!G583</f>
        <v>3.8744282972000001</v>
      </c>
      <c r="H585" s="1">
        <f>'Unformatted Trip Summary'!H583</f>
        <v>0.1643149203</v>
      </c>
    </row>
    <row r="586" spans="1:8" x14ac:dyDescent="0.2">
      <c r="A586" t="str">
        <f>'Unformatted Trip Summary'!A584</f>
        <v>08 MANAWATU-WANGANUI</v>
      </c>
      <c r="B586" t="str">
        <f>'Unformatted Trip Summary'!J584</f>
        <v>2017/18</v>
      </c>
      <c r="C586" t="str">
        <f>'Unformatted Trip Summary'!I584</f>
        <v>Motorcyclist</v>
      </c>
      <c r="D586">
        <f>'Unformatted Trip Summary'!D584</f>
        <v>5</v>
      </c>
      <c r="E586">
        <f>'Unformatted Trip Summary'!E584</f>
        <v>19</v>
      </c>
      <c r="F586" s="1">
        <f>'Unformatted Trip Summary'!F584</f>
        <v>0.73454540800000001</v>
      </c>
      <c r="G586" s="1">
        <f>'Unformatted Trip Summary'!G584</f>
        <v>4.2395155517000003</v>
      </c>
      <c r="H586" s="1">
        <f>'Unformatted Trip Summary'!H584</f>
        <v>0.1591607978</v>
      </c>
    </row>
    <row r="587" spans="1:8" x14ac:dyDescent="0.2">
      <c r="A587" t="str">
        <f>'Unformatted Trip Summary'!A585</f>
        <v>08 MANAWATU-WANGANUI</v>
      </c>
      <c r="B587" t="str">
        <f>'Unformatted Trip Summary'!J585</f>
        <v>2022/23</v>
      </c>
      <c r="C587" t="str">
        <f>'Unformatted Trip Summary'!I585</f>
        <v>Motorcyclist</v>
      </c>
      <c r="D587">
        <f>'Unformatted Trip Summary'!D585</f>
        <v>5</v>
      </c>
      <c r="E587">
        <f>'Unformatted Trip Summary'!E585</f>
        <v>19</v>
      </c>
      <c r="F587" s="1">
        <f>'Unformatted Trip Summary'!F585</f>
        <v>0.6667682882</v>
      </c>
      <c r="G587" s="1">
        <f>'Unformatted Trip Summary'!G585</f>
        <v>4.3969972676999998</v>
      </c>
      <c r="H587" s="1">
        <f>'Unformatted Trip Summary'!H585</f>
        <v>0.14996344240000001</v>
      </c>
    </row>
    <row r="588" spans="1:8" x14ac:dyDescent="0.2">
      <c r="A588" t="str">
        <f>'Unformatted Trip Summary'!A586</f>
        <v>08 MANAWATU-WANGANUI</v>
      </c>
      <c r="B588" t="str">
        <f>'Unformatted Trip Summary'!J586</f>
        <v>2027/28</v>
      </c>
      <c r="C588" t="str">
        <f>'Unformatted Trip Summary'!I586</f>
        <v>Motorcyclist</v>
      </c>
      <c r="D588">
        <f>'Unformatted Trip Summary'!D586</f>
        <v>5</v>
      </c>
      <c r="E588">
        <f>'Unformatted Trip Summary'!E586</f>
        <v>19</v>
      </c>
      <c r="F588" s="1">
        <f>'Unformatted Trip Summary'!F586</f>
        <v>0.58009078510000001</v>
      </c>
      <c r="G588" s="1">
        <f>'Unformatted Trip Summary'!G586</f>
        <v>4.2585667136999996</v>
      </c>
      <c r="H588" s="1">
        <f>'Unformatted Trip Summary'!H586</f>
        <v>0.1347986903</v>
      </c>
    </row>
    <row r="589" spans="1:8" x14ac:dyDescent="0.2">
      <c r="A589" t="str">
        <f>'Unformatted Trip Summary'!A587</f>
        <v>08 MANAWATU-WANGANUI</v>
      </c>
      <c r="B589" t="str">
        <f>'Unformatted Trip Summary'!J587</f>
        <v>2032/33</v>
      </c>
      <c r="C589" t="str">
        <f>'Unformatted Trip Summary'!I587</f>
        <v>Motorcyclist</v>
      </c>
      <c r="D589">
        <f>'Unformatted Trip Summary'!D587</f>
        <v>5</v>
      </c>
      <c r="E589">
        <f>'Unformatted Trip Summary'!E587</f>
        <v>19</v>
      </c>
      <c r="F589" s="1">
        <f>'Unformatted Trip Summary'!F587</f>
        <v>0.53325662139999996</v>
      </c>
      <c r="G589" s="1">
        <f>'Unformatted Trip Summary'!G587</f>
        <v>4.1046427563999996</v>
      </c>
      <c r="H589" s="1">
        <f>'Unformatted Trip Summary'!H587</f>
        <v>0.12598146960000001</v>
      </c>
    </row>
    <row r="590" spans="1:8" x14ac:dyDescent="0.2">
      <c r="A590" t="str">
        <f>'Unformatted Trip Summary'!A588</f>
        <v>08 MANAWATU-WANGANUI</v>
      </c>
      <c r="B590" t="str">
        <f>'Unformatted Trip Summary'!J588</f>
        <v>2037/38</v>
      </c>
      <c r="C590" t="str">
        <f>'Unformatted Trip Summary'!I588</f>
        <v>Motorcyclist</v>
      </c>
      <c r="D590">
        <f>'Unformatted Trip Summary'!D588</f>
        <v>5</v>
      </c>
      <c r="E590">
        <f>'Unformatted Trip Summary'!E588</f>
        <v>19</v>
      </c>
      <c r="F590" s="1">
        <f>'Unformatted Trip Summary'!F588</f>
        <v>0.51785307859999996</v>
      </c>
      <c r="G590" s="1">
        <f>'Unformatted Trip Summary'!G588</f>
        <v>4.0563195208999998</v>
      </c>
      <c r="H590" s="1">
        <f>'Unformatted Trip Summary'!H588</f>
        <v>0.1233227044</v>
      </c>
    </row>
    <row r="591" spans="1:8" x14ac:dyDescent="0.2">
      <c r="A591" t="str">
        <f>'Unformatted Trip Summary'!A589</f>
        <v>08 MANAWATU-WANGANUI</v>
      </c>
      <c r="B591" t="str">
        <f>'Unformatted Trip Summary'!J589</f>
        <v>2042/43</v>
      </c>
      <c r="C591" t="str">
        <f>'Unformatted Trip Summary'!I589</f>
        <v>Motorcyclist</v>
      </c>
      <c r="D591">
        <f>'Unformatted Trip Summary'!D589</f>
        <v>5</v>
      </c>
      <c r="E591">
        <f>'Unformatted Trip Summary'!E589</f>
        <v>19</v>
      </c>
      <c r="F591" s="1">
        <f>'Unformatted Trip Summary'!F589</f>
        <v>0.4950732799</v>
      </c>
      <c r="G591" s="1">
        <f>'Unformatted Trip Summary'!G589</f>
        <v>3.9798361119000001</v>
      </c>
      <c r="H591" s="1">
        <f>'Unformatted Trip Summary'!H589</f>
        <v>0.11917660319999999</v>
      </c>
    </row>
    <row r="592" spans="1:8" x14ac:dyDescent="0.2">
      <c r="A592" t="str">
        <f>'Unformatted Trip Summary'!A590</f>
        <v>08 MANAWATU-WANGANUI</v>
      </c>
      <c r="B592" t="str">
        <f>'Unformatted Trip Summary'!J590</f>
        <v>2012/13</v>
      </c>
      <c r="C592" t="str">
        <f>'Unformatted Trip Summary'!I590</f>
        <v>Local Bus</v>
      </c>
      <c r="D592">
        <f>'Unformatted Trip Summary'!D590</f>
        <v>41</v>
      </c>
      <c r="E592">
        <f>'Unformatted Trip Summary'!E590</f>
        <v>90</v>
      </c>
      <c r="F592" s="1">
        <f>'Unformatted Trip Summary'!F590</f>
        <v>5.2110099151</v>
      </c>
      <c r="G592" s="1">
        <f>'Unformatted Trip Summary'!G590</f>
        <v>39.768452936000003</v>
      </c>
      <c r="H592" s="1">
        <f>'Unformatted Trip Summary'!H590</f>
        <v>1.7349616699999999</v>
      </c>
    </row>
    <row r="593" spans="1:8" x14ac:dyDescent="0.2">
      <c r="A593" t="str">
        <f>'Unformatted Trip Summary'!A591</f>
        <v>08 MANAWATU-WANGANUI</v>
      </c>
      <c r="B593" t="str">
        <f>'Unformatted Trip Summary'!J591</f>
        <v>2017/18</v>
      </c>
      <c r="C593" t="str">
        <f>'Unformatted Trip Summary'!I591</f>
        <v>Local Bus</v>
      </c>
      <c r="D593">
        <f>'Unformatted Trip Summary'!D591</f>
        <v>41</v>
      </c>
      <c r="E593">
        <f>'Unformatted Trip Summary'!E591</f>
        <v>90</v>
      </c>
      <c r="F593" s="1">
        <f>'Unformatted Trip Summary'!F591</f>
        <v>4.7739474266000004</v>
      </c>
      <c r="G593" s="1">
        <f>'Unformatted Trip Summary'!G591</f>
        <v>35.234082682999997</v>
      </c>
      <c r="H593" s="1">
        <f>'Unformatted Trip Summary'!H591</f>
        <v>1.5835990363000001</v>
      </c>
    </row>
    <row r="594" spans="1:8" x14ac:dyDescent="0.2">
      <c r="A594" t="str">
        <f>'Unformatted Trip Summary'!A592</f>
        <v>08 MANAWATU-WANGANUI</v>
      </c>
      <c r="B594" t="str">
        <f>'Unformatted Trip Summary'!J592</f>
        <v>2022/23</v>
      </c>
      <c r="C594" t="str">
        <f>'Unformatted Trip Summary'!I592</f>
        <v>Local Bus</v>
      </c>
      <c r="D594">
        <f>'Unformatted Trip Summary'!D592</f>
        <v>41</v>
      </c>
      <c r="E594">
        <f>'Unformatted Trip Summary'!E592</f>
        <v>90</v>
      </c>
      <c r="F594" s="1">
        <f>'Unformatted Trip Summary'!F592</f>
        <v>4.4287568471999998</v>
      </c>
      <c r="G594" s="1">
        <f>'Unformatted Trip Summary'!G592</f>
        <v>31.898156853</v>
      </c>
      <c r="H594" s="1">
        <f>'Unformatted Trip Summary'!H592</f>
        <v>1.4561177073</v>
      </c>
    </row>
    <row r="595" spans="1:8" x14ac:dyDescent="0.2">
      <c r="A595" t="str">
        <f>'Unformatted Trip Summary'!A593</f>
        <v>08 MANAWATU-WANGANUI</v>
      </c>
      <c r="B595" t="str">
        <f>'Unformatted Trip Summary'!J593</f>
        <v>2027/28</v>
      </c>
      <c r="C595" t="str">
        <f>'Unformatted Trip Summary'!I593</f>
        <v>Local Bus</v>
      </c>
      <c r="D595">
        <f>'Unformatted Trip Summary'!D593</f>
        <v>41</v>
      </c>
      <c r="E595">
        <f>'Unformatted Trip Summary'!E593</f>
        <v>90</v>
      </c>
      <c r="F595" s="1">
        <f>'Unformatted Trip Summary'!F593</f>
        <v>4.2398654522000001</v>
      </c>
      <c r="G595" s="1">
        <f>'Unformatted Trip Summary'!G593</f>
        <v>29.490945885999999</v>
      </c>
      <c r="H595" s="1">
        <f>'Unformatted Trip Summary'!H593</f>
        <v>1.3691870958000001</v>
      </c>
    </row>
    <row r="596" spans="1:8" x14ac:dyDescent="0.2">
      <c r="A596" t="str">
        <f>'Unformatted Trip Summary'!A594</f>
        <v>08 MANAWATU-WANGANUI</v>
      </c>
      <c r="B596" t="str">
        <f>'Unformatted Trip Summary'!J594</f>
        <v>2032/33</v>
      </c>
      <c r="C596" t="str">
        <f>'Unformatted Trip Summary'!I594</f>
        <v>Local Bus</v>
      </c>
      <c r="D596">
        <f>'Unformatted Trip Summary'!D594</f>
        <v>41</v>
      </c>
      <c r="E596">
        <f>'Unformatted Trip Summary'!E594</f>
        <v>90</v>
      </c>
      <c r="F596" s="1">
        <f>'Unformatted Trip Summary'!F594</f>
        <v>4.0807161754000001</v>
      </c>
      <c r="G596" s="1">
        <f>'Unformatted Trip Summary'!G594</f>
        <v>27.18549161</v>
      </c>
      <c r="H596" s="1">
        <f>'Unformatted Trip Summary'!H594</f>
        <v>1.2990372483999999</v>
      </c>
    </row>
    <row r="597" spans="1:8" x14ac:dyDescent="0.2">
      <c r="A597" t="str">
        <f>'Unformatted Trip Summary'!A595</f>
        <v>08 MANAWATU-WANGANUI</v>
      </c>
      <c r="B597" t="str">
        <f>'Unformatted Trip Summary'!J595</f>
        <v>2037/38</v>
      </c>
      <c r="C597" t="str">
        <f>'Unformatted Trip Summary'!I595</f>
        <v>Local Bus</v>
      </c>
      <c r="D597">
        <f>'Unformatted Trip Summary'!D595</f>
        <v>41</v>
      </c>
      <c r="E597">
        <f>'Unformatted Trip Summary'!E595</f>
        <v>90</v>
      </c>
      <c r="F597" s="1">
        <f>'Unformatted Trip Summary'!F595</f>
        <v>3.9708109778999998</v>
      </c>
      <c r="G597" s="1">
        <f>'Unformatted Trip Summary'!G595</f>
        <v>25.286290874999999</v>
      </c>
      <c r="H597" s="1">
        <f>'Unformatted Trip Summary'!H595</f>
        <v>1.2330758687000001</v>
      </c>
    </row>
    <row r="598" spans="1:8" x14ac:dyDescent="0.2">
      <c r="A598" t="str">
        <f>'Unformatted Trip Summary'!A596</f>
        <v>08 MANAWATU-WANGANUI</v>
      </c>
      <c r="B598" t="str">
        <f>'Unformatted Trip Summary'!J596</f>
        <v>2042/43</v>
      </c>
      <c r="C598" t="str">
        <f>'Unformatted Trip Summary'!I596</f>
        <v>Local Bus</v>
      </c>
      <c r="D598">
        <f>'Unformatted Trip Summary'!D596</f>
        <v>41</v>
      </c>
      <c r="E598">
        <f>'Unformatted Trip Summary'!E596</f>
        <v>90</v>
      </c>
      <c r="F598" s="1">
        <f>'Unformatted Trip Summary'!F596</f>
        <v>3.8413456586999999</v>
      </c>
      <c r="G598" s="1">
        <f>'Unformatted Trip Summary'!G596</f>
        <v>23.364764091000001</v>
      </c>
      <c r="H598" s="1">
        <f>'Unformatted Trip Summary'!H596</f>
        <v>1.163084252</v>
      </c>
    </row>
    <row r="599" spans="1:8" x14ac:dyDescent="0.2">
      <c r="A599" t="str">
        <f>'Unformatted Trip Summary'!A597</f>
        <v>08 MANAWATU-WANGANUI</v>
      </c>
      <c r="B599" t="str">
        <f>'Unformatted Trip Summary'!J597</f>
        <v>2012/13</v>
      </c>
      <c r="C599" t="str">
        <f>'Unformatted Trip Summary'!I597</f>
        <v>Local Ferry</v>
      </c>
      <c r="D599">
        <f>'Unformatted Trip Summary'!D597</f>
        <v>2</v>
      </c>
      <c r="E599">
        <f>'Unformatted Trip Summary'!E597</f>
        <v>4</v>
      </c>
      <c r="F599" s="1">
        <f>'Unformatted Trip Summary'!F597</f>
        <v>0.1068619116</v>
      </c>
      <c r="G599" s="1">
        <f>'Unformatted Trip Summary'!G597</f>
        <v>0</v>
      </c>
      <c r="H599" s="1">
        <f>'Unformatted Trip Summary'!H597</f>
        <v>1.3357739E-2</v>
      </c>
    </row>
    <row r="600" spans="1:8" x14ac:dyDescent="0.2">
      <c r="A600" t="str">
        <f>'Unformatted Trip Summary'!A598</f>
        <v>08 MANAWATU-WANGANUI</v>
      </c>
      <c r="B600" t="str">
        <f>'Unformatted Trip Summary'!J598</f>
        <v>2017/18</v>
      </c>
      <c r="C600" t="str">
        <f>'Unformatted Trip Summary'!I598</f>
        <v>Local Ferry</v>
      </c>
      <c r="D600">
        <f>'Unformatted Trip Summary'!D598</f>
        <v>2</v>
      </c>
      <c r="E600">
        <f>'Unformatted Trip Summary'!E598</f>
        <v>4</v>
      </c>
      <c r="F600" s="1">
        <f>'Unformatted Trip Summary'!F598</f>
        <v>0.1189573463</v>
      </c>
      <c r="G600" s="1">
        <f>'Unformatted Trip Summary'!G598</f>
        <v>0</v>
      </c>
      <c r="H600" s="1">
        <f>'Unformatted Trip Summary'!H598</f>
        <v>1.48696683E-2</v>
      </c>
    </row>
    <row r="601" spans="1:8" x14ac:dyDescent="0.2">
      <c r="A601" t="str">
        <f>'Unformatted Trip Summary'!A599</f>
        <v>08 MANAWATU-WANGANUI</v>
      </c>
      <c r="B601" t="str">
        <f>'Unformatted Trip Summary'!J599</f>
        <v>2022/23</v>
      </c>
      <c r="C601" t="str">
        <f>'Unformatted Trip Summary'!I599</f>
        <v>Local Ferry</v>
      </c>
      <c r="D601">
        <f>'Unformatted Trip Summary'!D599</f>
        <v>2</v>
      </c>
      <c r="E601">
        <f>'Unformatted Trip Summary'!E599</f>
        <v>4</v>
      </c>
      <c r="F601" s="1">
        <f>'Unformatted Trip Summary'!F599</f>
        <v>0.1273773996</v>
      </c>
      <c r="G601" s="1">
        <f>'Unformatted Trip Summary'!G599</f>
        <v>0</v>
      </c>
      <c r="H601" s="1">
        <f>'Unformatted Trip Summary'!H599</f>
        <v>1.5922174899999999E-2</v>
      </c>
    </row>
    <row r="602" spans="1:8" x14ac:dyDescent="0.2">
      <c r="A602" t="str">
        <f>'Unformatted Trip Summary'!A600</f>
        <v>08 MANAWATU-WANGANUI</v>
      </c>
      <c r="B602" t="str">
        <f>'Unformatted Trip Summary'!J600</f>
        <v>2027/28</v>
      </c>
      <c r="C602" t="str">
        <f>'Unformatted Trip Summary'!I600</f>
        <v>Local Ferry</v>
      </c>
      <c r="D602">
        <f>'Unformatted Trip Summary'!D600</f>
        <v>2</v>
      </c>
      <c r="E602">
        <f>'Unformatted Trip Summary'!E600</f>
        <v>4</v>
      </c>
      <c r="F602" s="1">
        <f>'Unformatted Trip Summary'!F600</f>
        <v>0.13635575059999999</v>
      </c>
      <c r="G602" s="1">
        <f>'Unformatted Trip Summary'!G600</f>
        <v>0</v>
      </c>
      <c r="H602" s="1">
        <f>'Unformatted Trip Summary'!H600</f>
        <v>1.70444688E-2</v>
      </c>
    </row>
    <row r="603" spans="1:8" x14ac:dyDescent="0.2">
      <c r="A603" t="str">
        <f>'Unformatted Trip Summary'!A601</f>
        <v>08 MANAWATU-WANGANUI</v>
      </c>
      <c r="B603" t="str">
        <f>'Unformatted Trip Summary'!J601</f>
        <v>2032/33</v>
      </c>
      <c r="C603" t="str">
        <f>'Unformatted Trip Summary'!I601</f>
        <v>Local Ferry</v>
      </c>
      <c r="D603">
        <f>'Unformatted Trip Summary'!D601</f>
        <v>2</v>
      </c>
      <c r="E603">
        <f>'Unformatted Trip Summary'!E601</f>
        <v>4</v>
      </c>
      <c r="F603" s="1">
        <f>'Unformatted Trip Summary'!F601</f>
        <v>0.1353941471</v>
      </c>
      <c r="G603" s="1">
        <f>'Unformatted Trip Summary'!G601</f>
        <v>0</v>
      </c>
      <c r="H603" s="1">
        <f>'Unformatted Trip Summary'!H601</f>
        <v>1.6924268400000001E-2</v>
      </c>
    </row>
    <row r="604" spans="1:8" x14ac:dyDescent="0.2">
      <c r="A604" t="str">
        <f>'Unformatted Trip Summary'!A602</f>
        <v>08 MANAWATU-WANGANUI</v>
      </c>
      <c r="B604" t="str">
        <f>'Unformatted Trip Summary'!J602</f>
        <v>2037/38</v>
      </c>
      <c r="C604" t="str">
        <f>'Unformatted Trip Summary'!I602</f>
        <v>Local Ferry</v>
      </c>
      <c r="D604">
        <f>'Unformatted Trip Summary'!D602</f>
        <v>2</v>
      </c>
      <c r="E604">
        <f>'Unformatted Trip Summary'!E602</f>
        <v>4</v>
      </c>
      <c r="F604" s="1">
        <f>'Unformatted Trip Summary'!F602</f>
        <v>0.12848109129999999</v>
      </c>
      <c r="G604" s="1">
        <f>'Unformatted Trip Summary'!G602</f>
        <v>0</v>
      </c>
      <c r="H604" s="1">
        <f>'Unformatted Trip Summary'!H602</f>
        <v>1.6060136400000001E-2</v>
      </c>
    </row>
    <row r="605" spans="1:8" x14ac:dyDescent="0.2">
      <c r="A605" t="str">
        <f>'Unformatted Trip Summary'!A603</f>
        <v>08 MANAWATU-WANGANUI</v>
      </c>
      <c r="B605" t="str">
        <f>'Unformatted Trip Summary'!J603</f>
        <v>2042/43</v>
      </c>
      <c r="C605" t="str">
        <f>'Unformatted Trip Summary'!I603</f>
        <v>Local Ferry</v>
      </c>
      <c r="D605">
        <f>'Unformatted Trip Summary'!D603</f>
        <v>2</v>
      </c>
      <c r="E605">
        <f>'Unformatted Trip Summary'!E603</f>
        <v>4</v>
      </c>
      <c r="F605" s="1">
        <f>'Unformatted Trip Summary'!F603</f>
        <v>0.1208823715</v>
      </c>
      <c r="G605" s="1">
        <f>'Unformatted Trip Summary'!G603</f>
        <v>0</v>
      </c>
      <c r="H605" s="1">
        <f>'Unformatted Trip Summary'!H603</f>
        <v>1.5110296400000001E-2</v>
      </c>
    </row>
    <row r="606" spans="1:8" x14ac:dyDescent="0.2">
      <c r="A606" t="str">
        <f>'Unformatted Trip Summary'!A604</f>
        <v>08 MANAWATU-WANGANUI</v>
      </c>
      <c r="B606" t="str">
        <f>'Unformatted Trip Summary'!J604</f>
        <v>2012/13</v>
      </c>
      <c r="C606" t="str">
        <f>'Unformatted Trip Summary'!I604</f>
        <v>Other Household Travel</v>
      </c>
      <c r="D606">
        <f>'Unformatted Trip Summary'!D604</f>
        <v>2</v>
      </c>
      <c r="E606">
        <f>'Unformatted Trip Summary'!E604</f>
        <v>5</v>
      </c>
      <c r="F606" s="1">
        <f>'Unformatted Trip Summary'!F604</f>
        <v>0.24513607779999999</v>
      </c>
      <c r="G606" s="1">
        <f>'Unformatted Trip Summary'!G604</f>
        <v>0</v>
      </c>
      <c r="H606" s="1">
        <f>'Unformatted Trip Summary'!H604</f>
        <v>3.9735238899999997E-2</v>
      </c>
    </row>
    <row r="607" spans="1:8" x14ac:dyDescent="0.2">
      <c r="A607" t="str">
        <f>'Unformatted Trip Summary'!A605</f>
        <v>08 MANAWATU-WANGANUI</v>
      </c>
      <c r="B607" t="str">
        <f>'Unformatted Trip Summary'!J605</f>
        <v>2017/18</v>
      </c>
      <c r="C607" t="str">
        <f>'Unformatted Trip Summary'!I605</f>
        <v>Other Household Travel</v>
      </c>
      <c r="D607">
        <f>'Unformatted Trip Summary'!D605</f>
        <v>2</v>
      </c>
      <c r="E607">
        <f>'Unformatted Trip Summary'!E605</f>
        <v>5</v>
      </c>
      <c r="F607" s="1">
        <f>'Unformatted Trip Summary'!F605</f>
        <v>0.2320282907</v>
      </c>
      <c r="G607" s="1">
        <f>'Unformatted Trip Summary'!G605</f>
        <v>0</v>
      </c>
      <c r="H607" s="1">
        <f>'Unformatted Trip Summary'!H605</f>
        <v>3.7986567899999997E-2</v>
      </c>
    </row>
    <row r="608" spans="1:8" x14ac:dyDescent="0.2">
      <c r="A608" t="str">
        <f>'Unformatted Trip Summary'!A606</f>
        <v>08 MANAWATU-WANGANUI</v>
      </c>
      <c r="B608" t="str">
        <f>'Unformatted Trip Summary'!J606</f>
        <v>2022/23</v>
      </c>
      <c r="C608" t="str">
        <f>'Unformatted Trip Summary'!I606</f>
        <v>Other Household Travel</v>
      </c>
      <c r="D608">
        <f>'Unformatted Trip Summary'!D606</f>
        <v>2</v>
      </c>
      <c r="E608">
        <f>'Unformatted Trip Summary'!E606</f>
        <v>5</v>
      </c>
      <c r="F608" s="1">
        <f>'Unformatted Trip Summary'!F606</f>
        <v>0.21108542899999999</v>
      </c>
      <c r="G608" s="1">
        <f>'Unformatted Trip Summary'!G606</f>
        <v>0</v>
      </c>
      <c r="H608" s="1">
        <f>'Unformatted Trip Summary'!H606</f>
        <v>3.4506506800000003E-2</v>
      </c>
    </row>
    <row r="609" spans="1:8" x14ac:dyDescent="0.2">
      <c r="A609" t="str">
        <f>'Unformatted Trip Summary'!A607</f>
        <v>08 MANAWATU-WANGANUI</v>
      </c>
      <c r="B609" t="str">
        <f>'Unformatted Trip Summary'!J607</f>
        <v>2027/28</v>
      </c>
      <c r="C609" t="str">
        <f>'Unformatted Trip Summary'!I607</f>
        <v>Other Household Travel</v>
      </c>
      <c r="D609">
        <f>'Unformatted Trip Summary'!D607</f>
        <v>2</v>
      </c>
      <c r="E609">
        <f>'Unformatted Trip Summary'!E607</f>
        <v>5</v>
      </c>
      <c r="F609" s="1">
        <f>'Unformatted Trip Summary'!F607</f>
        <v>0.18051617110000001</v>
      </c>
      <c r="G609" s="1">
        <f>'Unformatted Trip Summary'!G607</f>
        <v>0</v>
      </c>
      <c r="H609" s="1">
        <f>'Unformatted Trip Summary'!H607</f>
        <v>2.8876597399999999E-2</v>
      </c>
    </row>
    <row r="610" spans="1:8" x14ac:dyDescent="0.2">
      <c r="A610" t="str">
        <f>'Unformatted Trip Summary'!A608</f>
        <v>08 MANAWATU-WANGANUI</v>
      </c>
      <c r="B610" t="str">
        <f>'Unformatted Trip Summary'!J608</f>
        <v>2032/33</v>
      </c>
      <c r="C610" t="str">
        <f>'Unformatted Trip Summary'!I608</f>
        <v>Other Household Travel</v>
      </c>
      <c r="D610">
        <f>'Unformatted Trip Summary'!D608</f>
        <v>2</v>
      </c>
      <c r="E610">
        <f>'Unformatted Trip Summary'!E608</f>
        <v>5</v>
      </c>
      <c r="F610" s="1">
        <f>'Unformatted Trip Summary'!F608</f>
        <v>0.16179723600000001</v>
      </c>
      <c r="G610" s="1">
        <f>'Unformatted Trip Summary'!G608</f>
        <v>0</v>
      </c>
      <c r="H610" s="1">
        <f>'Unformatted Trip Summary'!H608</f>
        <v>2.5273315000000001E-2</v>
      </c>
    </row>
    <row r="611" spans="1:8" x14ac:dyDescent="0.2">
      <c r="A611" t="str">
        <f>'Unformatted Trip Summary'!A609</f>
        <v>08 MANAWATU-WANGANUI</v>
      </c>
      <c r="B611" t="str">
        <f>'Unformatted Trip Summary'!J609</f>
        <v>2037/38</v>
      </c>
      <c r="C611" t="str">
        <f>'Unformatted Trip Summary'!I609</f>
        <v>Other Household Travel</v>
      </c>
      <c r="D611">
        <f>'Unformatted Trip Summary'!D609</f>
        <v>2</v>
      </c>
      <c r="E611">
        <f>'Unformatted Trip Summary'!E609</f>
        <v>5</v>
      </c>
      <c r="F611" s="1">
        <f>'Unformatted Trip Summary'!F609</f>
        <v>0.1440297556</v>
      </c>
      <c r="G611" s="1">
        <f>'Unformatted Trip Summary'!G609</f>
        <v>0</v>
      </c>
      <c r="H611" s="1">
        <f>'Unformatted Trip Summary'!H609</f>
        <v>2.2216921899999999E-2</v>
      </c>
    </row>
    <row r="612" spans="1:8" x14ac:dyDescent="0.2">
      <c r="A612" t="str">
        <f>'Unformatted Trip Summary'!A610</f>
        <v>08 MANAWATU-WANGANUI</v>
      </c>
      <c r="B612" t="str">
        <f>'Unformatted Trip Summary'!J610</f>
        <v>2042/43</v>
      </c>
      <c r="C612" t="str">
        <f>'Unformatted Trip Summary'!I610</f>
        <v>Other Household Travel</v>
      </c>
      <c r="D612">
        <f>'Unformatted Trip Summary'!D610</f>
        <v>2</v>
      </c>
      <c r="E612">
        <f>'Unformatted Trip Summary'!E610</f>
        <v>5</v>
      </c>
      <c r="F612" s="1">
        <f>'Unformatted Trip Summary'!F610</f>
        <v>0.12634801330000001</v>
      </c>
      <c r="G612" s="1">
        <f>'Unformatted Trip Summary'!G610</f>
        <v>0</v>
      </c>
      <c r="H612" s="1">
        <f>'Unformatted Trip Summary'!H610</f>
        <v>1.9206237399999999E-2</v>
      </c>
    </row>
    <row r="613" spans="1:8" x14ac:dyDescent="0.2">
      <c r="A613" t="str">
        <f>'Unformatted Trip Summary'!A611</f>
        <v>08 MANAWATU-WANGANUI</v>
      </c>
      <c r="B613" t="str">
        <f>'Unformatted Trip Summary'!J611</f>
        <v>2012/13</v>
      </c>
      <c r="C613" t="str">
        <f>'Unformatted Trip Summary'!I611</f>
        <v>Air/Non-Local PT</v>
      </c>
      <c r="D613">
        <f>'Unformatted Trip Summary'!D611</f>
        <v>7</v>
      </c>
      <c r="E613">
        <f>'Unformatted Trip Summary'!E611</f>
        <v>9</v>
      </c>
      <c r="F613" s="1">
        <f>'Unformatted Trip Summary'!F611</f>
        <v>0.39226351739999998</v>
      </c>
      <c r="G613" s="1">
        <f>'Unformatted Trip Summary'!G611</f>
        <v>21.972430028000002</v>
      </c>
      <c r="H613" s="1">
        <f>'Unformatted Trip Summary'!H611</f>
        <v>0.73590853769999998</v>
      </c>
    </row>
    <row r="614" spans="1:8" x14ac:dyDescent="0.2">
      <c r="A614" t="str">
        <f>'Unformatted Trip Summary'!A612</f>
        <v>08 MANAWATU-WANGANUI</v>
      </c>
      <c r="B614" t="str">
        <f>'Unformatted Trip Summary'!J612</f>
        <v>2017/18</v>
      </c>
      <c r="C614" t="str">
        <f>'Unformatted Trip Summary'!I612</f>
        <v>Air/Non-Local PT</v>
      </c>
      <c r="D614">
        <f>'Unformatted Trip Summary'!D612</f>
        <v>7</v>
      </c>
      <c r="E614">
        <f>'Unformatted Trip Summary'!E612</f>
        <v>9</v>
      </c>
      <c r="F614" s="1">
        <f>'Unformatted Trip Summary'!F612</f>
        <v>0.46737332279999999</v>
      </c>
      <c r="G614" s="1">
        <f>'Unformatted Trip Summary'!G612</f>
        <v>23.895876309999998</v>
      </c>
      <c r="H614" s="1">
        <f>'Unformatted Trip Summary'!H612</f>
        <v>0.84055858319999999</v>
      </c>
    </row>
    <row r="615" spans="1:8" x14ac:dyDescent="0.2">
      <c r="A615" t="str">
        <f>'Unformatted Trip Summary'!A613</f>
        <v>08 MANAWATU-WANGANUI</v>
      </c>
      <c r="B615" t="str">
        <f>'Unformatted Trip Summary'!J613</f>
        <v>2022/23</v>
      </c>
      <c r="C615" t="str">
        <f>'Unformatted Trip Summary'!I613</f>
        <v>Air/Non-Local PT</v>
      </c>
      <c r="D615">
        <f>'Unformatted Trip Summary'!D613</f>
        <v>7</v>
      </c>
      <c r="E615">
        <f>'Unformatted Trip Summary'!E613</f>
        <v>9</v>
      </c>
      <c r="F615" s="1">
        <f>'Unformatted Trip Summary'!F613</f>
        <v>0.53458344199999996</v>
      </c>
      <c r="G615" s="1">
        <f>'Unformatted Trip Summary'!G613</f>
        <v>26.120301912999999</v>
      </c>
      <c r="H615" s="1">
        <f>'Unformatted Trip Summary'!H613</f>
        <v>0.94907879989999999</v>
      </c>
    </row>
    <row r="616" spans="1:8" x14ac:dyDescent="0.2">
      <c r="A616" t="str">
        <f>'Unformatted Trip Summary'!A614</f>
        <v>08 MANAWATU-WANGANUI</v>
      </c>
      <c r="B616" t="str">
        <f>'Unformatted Trip Summary'!J614</f>
        <v>2027/28</v>
      </c>
      <c r="C616" t="str">
        <f>'Unformatted Trip Summary'!I614</f>
        <v>Air/Non-Local PT</v>
      </c>
      <c r="D616">
        <f>'Unformatted Trip Summary'!D614</f>
        <v>7</v>
      </c>
      <c r="E616">
        <f>'Unformatted Trip Summary'!E614</f>
        <v>9</v>
      </c>
      <c r="F616" s="1">
        <f>'Unformatted Trip Summary'!F614</f>
        <v>0.59070714349999998</v>
      </c>
      <c r="G616" s="1">
        <f>'Unformatted Trip Summary'!G614</f>
        <v>29.305214829000001</v>
      </c>
      <c r="H616" s="1">
        <f>'Unformatted Trip Summary'!H614</f>
        <v>1.06817574</v>
      </c>
    </row>
    <row r="617" spans="1:8" x14ac:dyDescent="0.2">
      <c r="A617" t="str">
        <f>'Unformatted Trip Summary'!A615</f>
        <v>08 MANAWATU-WANGANUI</v>
      </c>
      <c r="B617" t="str">
        <f>'Unformatted Trip Summary'!J615</f>
        <v>2032/33</v>
      </c>
      <c r="C617" t="str">
        <f>'Unformatted Trip Summary'!I615</f>
        <v>Air/Non-Local PT</v>
      </c>
      <c r="D617">
        <f>'Unformatted Trip Summary'!D615</f>
        <v>7</v>
      </c>
      <c r="E617">
        <f>'Unformatted Trip Summary'!E615</f>
        <v>9</v>
      </c>
      <c r="F617" s="1">
        <f>'Unformatted Trip Summary'!F615</f>
        <v>0.63327165990000001</v>
      </c>
      <c r="G617" s="1">
        <f>'Unformatted Trip Summary'!G615</f>
        <v>30.707861578999999</v>
      </c>
      <c r="H617" s="1">
        <f>'Unformatted Trip Summary'!H615</f>
        <v>1.1505015577</v>
      </c>
    </row>
    <row r="618" spans="1:8" x14ac:dyDescent="0.2">
      <c r="A618" t="str">
        <f>'Unformatted Trip Summary'!A616</f>
        <v>08 MANAWATU-WANGANUI</v>
      </c>
      <c r="B618" t="str">
        <f>'Unformatted Trip Summary'!J616</f>
        <v>2037/38</v>
      </c>
      <c r="C618" t="str">
        <f>'Unformatted Trip Summary'!I616</f>
        <v>Air/Non-Local PT</v>
      </c>
      <c r="D618">
        <f>'Unformatted Trip Summary'!D616</f>
        <v>7</v>
      </c>
      <c r="E618">
        <f>'Unformatted Trip Summary'!E616</f>
        <v>9</v>
      </c>
      <c r="F618" s="1">
        <f>'Unformatted Trip Summary'!F616</f>
        <v>0.65873817509999999</v>
      </c>
      <c r="G618" s="1">
        <f>'Unformatted Trip Summary'!G616</f>
        <v>29.454950674999999</v>
      </c>
      <c r="H618" s="1">
        <f>'Unformatted Trip Summary'!H616</f>
        <v>1.1653781237</v>
      </c>
    </row>
    <row r="619" spans="1:8" x14ac:dyDescent="0.2">
      <c r="A619" t="str">
        <f>'Unformatted Trip Summary'!A617</f>
        <v>08 MANAWATU-WANGANUI</v>
      </c>
      <c r="B619" t="str">
        <f>'Unformatted Trip Summary'!J617</f>
        <v>2042/43</v>
      </c>
      <c r="C619" t="str">
        <f>'Unformatted Trip Summary'!I617</f>
        <v>Air/Non-Local PT</v>
      </c>
      <c r="D619">
        <f>'Unformatted Trip Summary'!D617</f>
        <v>7</v>
      </c>
      <c r="E619">
        <f>'Unformatted Trip Summary'!E617</f>
        <v>9</v>
      </c>
      <c r="F619" s="1">
        <f>'Unformatted Trip Summary'!F617</f>
        <v>0.68290503739999997</v>
      </c>
      <c r="G619" s="1">
        <f>'Unformatted Trip Summary'!G617</f>
        <v>27.963068224000001</v>
      </c>
      <c r="H619" s="1">
        <f>'Unformatted Trip Summary'!H617</f>
        <v>1.1740709421</v>
      </c>
    </row>
    <row r="620" spans="1:8" x14ac:dyDescent="0.2">
      <c r="A620" t="str">
        <f>'Unformatted Trip Summary'!A618</f>
        <v>08 MANAWATU-WANGANUI</v>
      </c>
      <c r="B620" t="str">
        <f>'Unformatted Trip Summary'!J618</f>
        <v>2012/13</v>
      </c>
      <c r="C620" t="str">
        <f>'Unformatted Trip Summary'!I618</f>
        <v>Non-Household Travel</v>
      </c>
      <c r="D620">
        <f>'Unformatted Trip Summary'!D618</f>
        <v>12</v>
      </c>
      <c r="E620">
        <f>'Unformatted Trip Summary'!E618</f>
        <v>37</v>
      </c>
      <c r="F620" s="1">
        <f>'Unformatted Trip Summary'!F618</f>
        <v>1.6982787315000001</v>
      </c>
      <c r="G620" s="1">
        <f>'Unformatted Trip Summary'!G618</f>
        <v>38.826541556000002</v>
      </c>
      <c r="H620" s="1">
        <f>'Unformatted Trip Summary'!H618</f>
        <v>0.76899050189999996</v>
      </c>
    </row>
    <row r="621" spans="1:8" x14ac:dyDescent="0.2">
      <c r="A621" t="str">
        <f>'Unformatted Trip Summary'!A619</f>
        <v>08 MANAWATU-WANGANUI</v>
      </c>
      <c r="B621" t="str">
        <f>'Unformatted Trip Summary'!J619</f>
        <v>2017/18</v>
      </c>
      <c r="C621" t="str">
        <f>'Unformatted Trip Summary'!I619</f>
        <v>Non-Household Travel</v>
      </c>
      <c r="D621">
        <f>'Unformatted Trip Summary'!D619</f>
        <v>12</v>
      </c>
      <c r="E621">
        <f>'Unformatted Trip Summary'!E619</f>
        <v>37</v>
      </c>
      <c r="F621" s="1">
        <f>'Unformatted Trip Summary'!F619</f>
        <v>1.7100380187999999</v>
      </c>
      <c r="G621" s="1">
        <f>'Unformatted Trip Summary'!G619</f>
        <v>38.317939297000002</v>
      </c>
      <c r="H621" s="1">
        <f>'Unformatted Trip Summary'!H619</f>
        <v>0.77409499520000002</v>
      </c>
    </row>
    <row r="622" spans="1:8" x14ac:dyDescent="0.2">
      <c r="A622" t="str">
        <f>'Unformatted Trip Summary'!A620</f>
        <v>08 MANAWATU-WANGANUI</v>
      </c>
      <c r="B622" t="str">
        <f>'Unformatted Trip Summary'!J620</f>
        <v>2022/23</v>
      </c>
      <c r="C622" t="str">
        <f>'Unformatted Trip Summary'!I620</f>
        <v>Non-Household Travel</v>
      </c>
      <c r="D622">
        <f>'Unformatted Trip Summary'!D620</f>
        <v>12</v>
      </c>
      <c r="E622">
        <f>'Unformatted Trip Summary'!E620</f>
        <v>37</v>
      </c>
      <c r="F622" s="1">
        <f>'Unformatted Trip Summary'!F620</f>
        <v>1.7410704418</v>
      </c>
      <c r="G622" s="1">
        <f>'Unformatted Trip Summary'!G620</f>
        <v>38.847172538999999</v>
      </c>
      <c r="H622" s="1">
        <f>'Unformatted Trip Summary'!H620</f>
        <v>0.79229801030000002</v>
      </c>
    </row>
    <row r="623" spans="1:8" x14ac:dyDescent="0.2">
      <c r="A623" t="str">
        <f>'Unformatted Trip Summary'!A621</f>
        <v>08 MANAWATU-WANGANUI</v>
      </c>
      <c r="B623" t="str">
        <f>'Unformatted Trip Summary'!J621</f>
        <v>2027/28</v>
      </c>
      <c r="C623" t="str">
        <f>'Unformatted Trip Summary'!I621</f>
        <v>Non-Household Travel</v>
      </c>
      <c r="D623">
        <f>'Unformatted Trip Summary'!D621</f>
        <v>12</v>
      </c>
      <c r="E623">
        <f>'Unformatted Trip Summary'!E621</f>
        <v>37</v>
      </c>
      <c r="F623" s="1">
        <f>'Unformatted Trip Summary'!F621</f>
        <v>1.745574011</v>
      </c>
      <c r="G623" s="1">
        <f>'Unformatted Trip Summary'!G621</f>
        <v>39.685924512</v>
      </c>
      <c r="H623" s="1">
        <f>'Unformatted Trip Summary'!H621</f>
        <v>0.80731223289999998</v>
      </c>
    </row>
    <row r="624" spans="1:8" x14ac:dyDescent="0.2">
      <c r="A624" t="str">
        <f>'Unformatted Trip Summary'!A622</f>
        <v>08 MANAWATU-WANGANUI</v>
      </c>
      <c r="B624" t="str">
        <f>'Unformatted Trip Summary'!J622</f>
        <v>2032/33</v>
      </c>
      <c r="C624" t="str">
        <f>'Unformatted Trip Summary'!I622</f>
        <v>Non-Household Travel</v>
      </c>
      <c r="D624">
        <f>'Unformatted Trip Summary'!D622</f>
        <v>12</v>
      </c>
      <c r="E624">
        <f>'Unformatted Trip Summary'!E622</f>
        <v>37</v>
      </c>
      <c r="F624" s="1">
        <f>'Unformatted Trip Summary'!F622</f>
        <v>1.7025709908</v>
      </c>
      <c r="G624" s="1">
        <f>'Unformatted Trip Summary'!G622</f>
        <v>40.475270266000003</v>
      </c>
      <c r="H624" s="1">
        <f>'Unformatted Trip Summary'!H622</f>
        <v>0.81263067739999995</v>
      </c>
    </row>
    <row r="625" spans="1:8" x14ac:dyDescent="0.2">
      <c r="A625" t="str">
        <f>'Unformatted Trip Summary'!A623</f>
        <v>08 MANAWATU-WANGANUI</v>
      </c>
      <c r="B625" t="str">
        <f>'Unformatted Trip Summary'!J623</f>
        <v>2037/38</v>
      </c>
      <c r="C625" t="str">
        <f>'Unformatted Trip Summary'!I623</f>
        <v>Non-Household Travel</v>
      </c>
      <c r="D625">
        <f>'Unformatted Trip Summary'!D623</f>
        <v>12</v>
      </c>
      <c r="E625">
        <f>'Unformatted Trip Summary'!E623</f>
        <v>37</v>
      </c>
      <c r="F625" s="1">
        <f>'Unformatted Trip Summary'!F623</f>
        <v>1.6250692285999999</v>
      </c>
      <c r="G625" s="1">
        <f>'Unformatted Trip Summary'!G623</f>
        <v>39.844816631999997</v>
      </c>
      <c r="H625" s="1">
        <f>'Unformatted Trip Summary'!H623</f>
        <v>0.79333652249999997</v>
      </c>
    </row>
    <row r="626" spans="1:8" x14ac:dyDescent="0.2">
      <c r="A626" t="str">
        <f>'Unformatted Trip Summary'!A624</f>
        <v>08 MANAWATU-WANGANUI</v>
      </c>
      <c r="B626" t="str">
        <f>'Unformatted Trip Summary'!J624</f>
        <v>2042/43</v>
      </c>
      <c r="C626" t="str">
        <f>'Unformatted Trip Summary'!I624</f>
        <v>Non-Household Travel</v>
      </c>
      <c r="D626">
        <f>'Unformatted Trip Summary'!D624</f>
        <v>12</v>
      </c>
      <c r="E626">
        <f>'Unformatted Trip Summary'!E624</f>
        <v>37</v>
      </c>
      <c r="F626" s="1">
        <f>'Unformatted Trip Summary'!F624</f>
        <v>1.5393803465</v>
      </c>
      <c r="G626" s="1">
        <f>'Unformatted Trip Summary'!G624</f>
        <v>39.059377109000003</v>
      </c>
      <c r="H626" s="1">
        <f>'Unformatted Trip Summary'!H624</f>
        <v>0.77069699110000001</v>
      </c>
    </row>
    <row r="627" spans="1:8" x14ac:dyDescent="0.2">
      <c r="A627" t="str">
        <f>'Unformatted Trip Summary'!A625</f>
        <v>09 WELLINGTON</v>
      </c>
      <c r="B627" t="str">
        <f>'Unformatted Trip Summary'!J625</f>
        <v>2012/13</v>
      </c>
      <c r="C627" t="str">
        <f>'Unformatted Trip Summary'!I625</f>
        <v>Pedestrian</v>
      </c>
      <c r="D627">
        <f>'Unformatted Trip Summary'!D625</f>
        <v>941</v>
      </c>
      <c r="E627">
        <f>'Unformatted Trip Summary'!E625</f>
        <v>4221</v>
      </c>
      <c r="F627" s="1">
        <f>'Unformatted Trip Summary'!F625</f>
        <v>182.29561206</v>
      </c>
      <c r="G627" s="1">
        <f>'Unformatted Trip Summary'!G625</f>
        <v>126.13499251</v>
      </c>
      <c r="H627" s="1">
        <f>'Unformatted Trip Summary'!H625</f>
        <v>32.985647405999998</v>
      </c>
    </row>
    <row r="628" spans="1:8" x14ac:dyDescent="0.2">
      <c r="A628" t="str">
        <f>'Unformatted Trip Summary'!A626</f>
        <v>09 WELLINGTON</v>
      </c>
      <c r="B628" t="str">
        <f>'Unformatted Trip Summary'!J626</f>
        <v>2017/18</v>
      </c>
      <c r="C628" t="str">
        <f>'Unformatted Trip Summary'!I626</f>
        <v>Pedestrian</v>
      </c>
      <c r="D628">
        <f>'Unformatted Trip Summary'!D626</f>
        <v>941</v>
      </c>
      <c r="E628">
        <f>'Unformatted Trip Summary'!E626</f>
        <v>4221</v>
      </c>
      <c r="F628" s="1">
        <f>'Unformatted Trip Summary'!F626</f>
        <v>192.43410817</v>
      </c>
      <c r="G628" s="1">
        <f>'Unformatted Trip Summary'!G626</f>
        <v>133.83003762999999</v>
      </c>
      <c r="H628" s="1">
        <f>'Unformatted Trip Summary'!H626</f>
        <v>34.981312981000002</v>
      </c>
    </row>
    <row r="629" spans="1:8" x14ac:dyDescent="0.2">
      <c r="A629" t="str">
        <f>'Unformatted Trip Summary'!A627</f>
        <v>09 WELLINGTON</v>
      </c>
      <c r="B629" t="str">
        <f>'Unformatted Trip Summary'!J627</f>
        <v>2022/23</v>
      </c>
      <c r="C629" t="str">
        <f>'Unformatted Trip Summary'!I627</f>
        <v>Pedestrian</v>
      </c>
      <c r="D629">
        <f>'Unformatted Trip Summary'!D627</f>
        <v>941</v>
      </c>
      <c r="E629">
        <f>'Unformatted Trip Summary'!E627</f>
        <v>4221</v>
      </c>
      <c r="F629" s="1">
        <f>'Unformatted Trip Summary'!F627</f>
        <v>197.99484332</v>
      </c>
      <c r="G629" s="1">
        <f>'Unformatted Trip Summary'!G627</f>
        <v>137.97801552000001</v>
      </c>
      <c r="H629" s="1">
        <f>'Unformatted Trip Summary'!H627</f>
        <v>36.025419456000002</v>
      </c>
    </row>
    <row r="630" spans="1:8" x14ac:dyDescent="0.2">
      <c r="A630" t="str">
        <f>'Unformatted Trip Summary'!A628</f>
        <v>09 WELLINGTON</v>
      </c>
      <c r="B630" t="str">
        <f>'Unformatted Trip Summary'!J628</f>
        <v>2027/28</v>
      </c>
      <c r="C630" t="str">
        <f>'Unformatted Trip Summary'!I628</f>
        <v>Pedestrian</v>
      </c>
      <c r="D630">
        <f>'Unformatted Trip Summary'!D628</f>
        <v>941</v>
      </c>
      <c r="E630">
        <f>'Unformatted Trip Summary'!E628</f>
        <v>4221</v>
      </c>
      <c r="F630" s="1">
        <f>'Unformatted Trip Summary'!F628</f>
        <v>201.98673004</v>
      </c>
      <c r="G630" s="1">
        <f>'Unformatted Trip Summary'!G628</f>
        <v>141.28098703000001</v>
      </c>
      <c r="H630" s="1">
        <f>'Unformatted Trip Summary'!H628</f>
        <v>36.861184223000002</v>
      </c>
    </row>
    <row r="631" spans="1:8" x14ac:dyDescent="0.2">
      <c r="A631" t="str">
        <f>'Unformatted Trip Summary'!A629</f>
        <v>09 WELLINGTON</v>
      </c>
      <c r="B631" t="str">
        <f>'Unformatted Trip Summary'!J629</f>
        <v>2032/33</v>
      </c>
      <c r="C631" t="str">
        <f>'Unformatted Trip Summary'!I629</f>
        <v>Pedestrian</v>
      </c>
      <c r="D631">
        <f>'Unformatted Trip Summary'!D629</f>
        <v>941</v>
      </c>
      <c r="E631">
        <f>'Unformatted Trip Summary'!E629</f>
        <v>4221</v>
      </c>
      <c r="F631" s="1">
        <f>'Unformatted Trip Summary'!F629</f>
        <v>204.87334146000001</v>
      </c>
      <c r="G631" s="1">
        <f>'Unformatted Trip Summary'!G629</f>
        <v>143.92966451000001</v>
      </c>
      <c r="H631" s="1">
        <f>'Unformatted Trip Summary'!H629</f>
        <v>37.455850380000001</v>
      </c>
    </row>
    <row r="632" spans="1:8" x14ac:dyDescent="0.2">
      <c r="A632" t="str">
        <f>'Unformatted Trip Summary'!A630</f>
        <v>09 WELLINGTON</v>
      </c>
      <c r="B632" t="str">
        <f>'Unformatted Trip Summary'!J630</f>
        <v>2037/38</v>
      </c>
      <c r="C632" t="str">
        <f>'Unformatted Trip Summary'!I630</f>
        <v>Pedestrian</v>
      </c>
      <c r="D632">
        <f>'Unformatted Trip Summary'!D630</f>
        <v>941</v>
      </c>
      <c r="E632">
        <f>'Unformatted Trip Summary'!E630</f>
        <v>4221</v>
      </c>
      <c r="F632" s="1">
        <f>'Unformatted Trip Summary'!F630</f>
        <v>207.79767039000001</v>
      </c>
      <c r="G632" s="1">
        <f>'Unformatted Trip Summary'!G630</f>
        <v>147.08846663</v>
      </c>
      <c r="H632" s="1">
        <f>'Unformatted Trip Summary'!H630</f>
        <v>38.047694481999997</v>
      </c>
    </row>
    <row r="633" spans="1:8" x14ac:dyDescent="0.2">
      <c r="A633" t="str">
        <f>'Unformatted Trip Summary'!A631</f>
        <v>09 WELLINGTON</v>
      </c>
      <c r="B633" t="str">
        <f>'Unformatted Trip Summary'!J631</f>
        <v>2042/43</v>
      </c>
      <c r="C633" t="str">
        <f>'Unformatted Trip Summary'!I631</f>
        <v>Pedestrian</v>
      </c>
      <c r="D633">
        <f>'Unformatted Trip Summary'!D631</f>
        <v>941</v>
      </c>
      <c r="E633">
        <f>'Unformatted Trip Summary'!E631</f>
        <v>4221</v>
      </c>
      <c r="F633" s="1">
        <f>'Unformatted Trip Summary'!F631</f>
        <v>210.04155366000001</v>
      </c>
      <c r="G633" s="1">
        <f>'Unformatted Trip Summary'!G631</f>
        <v>149.91478167</v>
      </c>
      <c r="H633" s="1">
        <f>'Unformatted Trip Summary'!H631</f>
        <v>38.543518427999999</v>
      </c>
    </row>
    <row r="634" spans="1:8" x14ac:dyDescent="0.2">
      <c r="A634" t="str">
        <f>'Unformatted Trip Summary'!A632</f>
        <v>09 WELLINGTON</v>
      </c>
      <c r="B634" t="str">
        <f>'Unformatted Trip Summary'!J632</f>
        <v>2012/13</v>
      </c>
      <c r="C634" t="str">
        <f>'Unformatted Trip Summary'!I632</f>
        <v>Cyclist</v>
      </c>
      <c r="D634">
        <f>'Unformatted Trip Summary'!D632</f>
        <v>54</v>
      </c>
      <c r="E634">
        <f>'Unformatted Trip Summary'!E632</f>
        <v>164</v>
      </c>
      <c r="F634" s="1">
        <f>'Unformatted Trip Summary'!F632</f>
        <v>8.1327913301999999</v>
      </c>
      <c r="G634" s="1">
        <f>'Unformatted Trip Summary'!G632</f>
        <v>52.092312808000003</v>
      </c>
      <c r="H634" s="1">
        <f>'Unformatted Trip Summary'!H632</f>
        <v>3.6978261002999999</v>
      </c>
    </row>
    <row r="635" spans="1:8" x14ac:dyDescent="0.2">
      <c r="A635" t="str">
        <f>'Unformatted Trip Summary'!A633</f>
        <v>09 WELLINGTON</v>
      </c>
      <c r="B635" t="str">
        <f>'Unformatted Trip Summary'!J633</f>
        <v>2017/18</v>
      </c>
      <c r="C635" t="str">
        <f>'Unformatted Trip Summary'!I633</f>
        <v>Cyclist</v>
      </c>
      <c r="D635">
        <f>'Unformatted Trip Summary'!D633</f>
        <v>54</v>
      </c>
      <c r="E635">
        <f>'Unformatted Trip Summary'!E633</f>
        <v>164</v>
      </c>
      <c r="F635" s="1">
        <f>'Unformatted Trip Summary'!F633</f>
        <v>8.2883092386000001</v>
      </c>
      <c r="G635" s="1">
        <f>'Unformatted Trip Summary'!G633</f>
        <v>55.193920392000003</v>
      </c>
      <c r="H635" s="1">
        <f>'Unformatted Trip Summary'!H633</f>
        <v>3.9096174661999998</v>
      </c>
    </row>
    <row r="636" spans="1:8" x14ac:dyDescent="0.2">
      <c r="A636" t="str">
        <f>'Unformatted Trip Summary'!A634</f>
        <v>09 WELLINGTON</v>
      </c>
      <c r="B636" t="str">
        <f>'Unformatted Trip Summary'!J634</f>
        <v>2022/23</v>
      </c>
      <c r="C636" t="str">
        <f>'Unformatted Trip Summary'!I634</f>
        <v>Cyclist</v>
      </c>
      <c r="D636">
        <f>'Unformatted Trip Summary'!D634</f>
        <v>54</v>
      </c>
      <c r="E636">
        <f>'Unformatted Trip Summary'!E634</f>
        <v>164</v>
      </c>
      <c r="F636" s="1">
        <f>'Unformatted Trip Summary'!F634</f>
        <v>8.2917630324000005</v>
      </c>
      <c r="G636" s="1">
        <f>'Unformatted Trip Summary'!G634</f>
        <v>56.672170543999997</v>
      </c>
      <c r="H636" s="1">
        <f>'Unformatted Trip Summary'!H634</f>
        <v>4.0013970351000001</v>
      </c>
    </row>
    <row r="637" spans="1:8" x14ac:dyDescent="0.2">
      <c r="A637" t="str">
        <f>'Unformatted Trip Summary'!A635</f>
        <v>09 WELLINGTON</v>
      </c>
      <c r="B637" t="str">
        <f>'Unformatted Trip Summary'!J635</f>
        <v>2027/28</v>
      </c>
      <c r="C637" t="str">
        <f>'Unformatted Trip Summary'!I635</f>
        <v>Cyclist</v>
      </c>
      <c r="D637">
        <f>'Unformatted Trip Summary'!D635</f>
        <v>54</v>
      </c>
      <c r="E637">
        <f>'Unformatted Trip Summary'!E635</f>
        <v>164</v>
      </c>
      <c r="F637" s="1">
        <f>'Unformatted Trip Summary'!F635</f>
        <v>8.2119591862999997</v>
      </c>
      <c r="G637" s="1">
        <f>'Unformatted Trip Summary'!G635</f>
        <v>57.670971889</v>
      </c>
      <c r="H637" s="1">
        <f>'Unformatted Trip Summary'!H635</f>
        <v>4.0522416650000004</v>
      </c>
    </row>
    <row r="638" spans="1:8" x14ac:dyDescent="0.2">
      <c r="A638" t="str">
        <f>'Unformatted Trip Summary'!A636</f>
        <v>09 WELLINGTON</v>
      </c>
      <c r="B638" t="str">
        <f>'Unformatted Trip Summary'!J636</f>
        <v>2032/33</v>
      </c>
      <c r="C638" t="str">
        <f>'Unformatted Trip Summary'!I636</f>
        <v>Cyclist</v>
      </c>
      <c r="D638">
        <f>'Unformatted Trip Summary'!D636</f>
        <v>54</v>
      </c>
      <c r="E638">
        <f>'Unformatted Trip Summary'!E636</f>
        <v>164</v>
      </c>
      <c r="F638" s="1">
        <f>'Unformatted Trip Summary'!F636</f>
        <v>8.2309131369999999</v>
      </c>
      <c r="G638" s="1">
        <f>'Unformatted Trip Summary'!G636</f>
        <v>60.974773286999998</v>
      </c>
      <c r="H638" s="1">
        <f>'Unformatted Trip Summary'!H636</f>
        <v>4.2443589782000002</v>
      </c>
    </row>
    <row r="639" spans="1:8" x14ac:dyDescent="0.2">
      <c r="A639" t="str">
        <f>'Unformatted Trip Summary'!A637</f>
        <v>09 WELLINGTON</v>
      </c>
      <c r="B639" t="str">
        <f>'Unformatted Trip Summary'!J637</f>
        <v>2037/38</v>
      </c>
      <c r="C639" t="str">
        <f>'Unformatted Trip Summary'!I637</f>
        <v>Cyclist</v>
      </c>
      <c r="D639">
        <f>'Unformatted Trip Summary'!D637</f>
        <v>54</v>
      </c>
      <c r="E639">
        <f>'Unformatted Trip Summary'!E637</f>
        <v>164</v>
      </c>
      <c r="F639" s="1">
        <f>'Unformatted Trip Summary'!F637</f>
        <v>8.3901853035999991</v>
      </c>
      <c r="G639" s="1">
        <f>'Unformatted Trip Summary'!G637</f>
        <v>65.907009590000001</v>
      </c>
      <c r="H639" s="1">
        <f>'Unformatted Trip Summary'!H637</f>
        <v>4.5493868989999999</v>
      </c>
    </row>
    <row r="640" spans="1:8" x14ac:dyDescent="0.2">
      <c r="A640" t="str">
        <f>'Unformatted Trip Summary'!A638</f>
        <v>09 WELLINGTON</v>
      </c>
      <c r="B640" t="str">
        <f>'Unformatted Trip Summary'!J638</f>
        <v>2042/43</v>
      </c>
      <c r="C640" t="str">
        <f>'Unformatted Trip Summary'!I638</f>
        <v>Cyclist</v>
      </c>
      <c r="D640">
        <f>'Unformatted Trip Summary'!D638</f>
        <v>54</v>
      </c>
      <c r="E640">
        <f>'Unformatted Trip Summary'!E638</f>
        <v>164</v>
      </c>
      <c r="F640" s="1">
        <f>'Unformatted Trip Summary'!F638</f>
        <v>8.5378098106000007</v>
      </c>
      <c r="G640" s="1">
        <f>'Unformatted Trip Summary'!G638</f>
        <v>70.809958576</v>
      </c>
      <c r="H640" s="1">
        <f>'Unformatted Trip Summary'!H638</f>
        <v>4.8517259715999996</v>
      </c>
    </row>
    <row r="641" spans="1:8" x14ac:dyDescent="0.2">
      <c r="A641" t="str">
        <f>'Unformatted Trip Summary'!A639</f>
        <v>09 WELLINGTON</v>
      </c>
      <c r="B641" t="str">
        <f>'Unformatted Trip Summary'!J639</f>
        <v>2012/13</v>
      </c>
      <c r="C641" t="str">
        <f>'Unformatted Trip Summary'!I639</f>
        <v>Light Vehicle Driver</v>
      </c>
      <c r="D641">
        <f>'Unformatted Trip Summary'!D639</f>
        <v>1130</v>
      </c>
      <c r="E641">
        <f>'Unformatted Trip Summary'!E639</f>
        <v>8488</v>
      </c>
      <c r="F641" s="1">
        <f>'Unformatted Trip Summary'!F639</f>
        <v>377.93589692</v>
      </c>
      <c r="G641" s="1">
        <f>'Unformatted Trip Summary'!G639</f>
        <v>3481.4296611999998</v>
      </c>
      <c r="H641" s="1">
        <f>'Unformatted Trip Summary'!H639</f>
        <v>92.129697210000003</v>
      </c>
    </row>
    <row r="642" spans="1:8" x14ac:dyDescent="0.2">
      <c r="A642" t="str">
        <f>'Unformatted Trip Summary'!A640</f>
        <v>09 WELLINGTON</v>
      </c>
      <c r="B642" t="str">
        <f>'Unformatted Trip Summary'!J640</f>
        <v>2017/18</v>
      </c>
      <c r="C642" t="str">
        <f>'Unformatted Trip Summary'!I640</f>
        <v>Light Vehicle Driver</v>
      </c>
      <c r="D642">
        <f>'Unformatted Trip Summary'!D640</f>
        <v>1130</v>
      </c>
      <c r="E642">
        <f>'Unformatted Trip Summary'!E640</f>
        <v>8488</v>
      </c>
      <c r="F642" s="1">
        <f>'Unformatted Trip Summary'!F640</f>
        <v>397.86137673000002</v>
      </c>
      <c r="G642" s="1">
        <f>'Unformatted Trip Summary'!G640</f>
        <v>3683.0713480999998</v>
      </c>
      <c r="H642" s="1">
        <f>'Unformatted Trip Summary'!H640</f>
        <v>97.505941156999995</v>
      </c>
    </row>
    <row r="643" spans="1:8" x14ac:dyDescent="0.2">
      <c r="A643" t="str">
        <f>'Unformatted Trip Summary'!A641</f>
        <v>09 WELLINGTON</v>
      </c>
      <c r="B643" t="str">
        <f>'Unformatted Trip Summary'!J641</f>
        <v>2022/23</v>
      </c>
      <c r="C643" t="str">
        <f>'Unformatted Trip Summary'!I641</f>
        <v>Light Vehicle Driver</v>
      </c>
      <c r="D643">
        <f>'Unformatted Trip Summary'!D641</f>
        <v>1130</v>
      </c>
      <c r="E643">
        <f>'Unformatted Trip Summary'!E641</f>
        <v>8488</v>
      </c>
      <c r="F643" s="1">
        <f>'Unformatted Trip Summary'!F641</f>
        <v>411.53846742000002</v>
      </c>
      <c r="G643" s="1">
        <f>'Unformatted Trip Summary'!G641</f>
        <v>3817.6447951</v>
      </c>
      <c r="H643" s="1">
        <f>'Unformatted Trip Summary'!H641</f>
        <v>101.17330484</v>
      </c>
    </row>
    <row r="644" spans="1:8" x14ac:dyDescent="0.2">
      <c r="A644" t="str">
        <f>'Unformatted Trip Summary'!A642</f>
        <v>09 WELLINGTON</v>
      </c>
      <c r="B644" t="str">
        <f>'Unformatted Trip Summary'!J642</f>
        <v>2027/28</v>
      </c>
      <c r="C644" t="str">
        <f>'Unformatted Trip Summary'!I642</f>
        <v>Light Vehicle Driver</v>
      </c>
      <c r="D644">
        <f>'Unformatted Trip Summary'!D642</f>
        <v>1130</v>
      </c>
      <c r="E644">
        <f>'Unformatted Trip Summary'!E642</f>
        <v>8488</v>
      </c>
      <c r="F644" s="1">
        <f>'Unformatted Trip Summary'!F642</f>
        <v>421.59419184000001</v>
      </c>
      <c r="G644" s="1">
        <f>'Unformatted Trip Summary'!G642</f>
        <v>3915.2399673999998</v>
      </c>
      <c r="H644" s="1">
        <f>'Unformatted Trip Summary'!H642</f>
        <v>103.76791298000001</v>
      </c>
    </row>
    <row r="645" spans="1:8" x14ac:dyDescent="0.2">
      <c r="A645" t="str">
        <f>'Unformatted Trip Summary'!A643</f>
        <v>09 WELLINGTON</v>
      </c>
      <c r="B645" t="str">
        <f>'Unformatted Trip Summary'!J643</f>
        <v>2032/33</v>
      </c>
      <c r="C645" t="str">
        <f>'Unformatted Trip Summary'!I643</f>
        <v>Light Vehicle Driver</v>
      </c>
      <c r="D645">
        <f>'Unformatted Trip Summary'!D643</f>
        <v>1130</v>
      </c>
      <c r="E645">
        <f>'Unformatted Trip Summary'!E643</f>
        <v>8488</v>
      </c>
      <c r="F645" s="1">
        <f>'Unformatted Trip Summary'!F643</f>
        <v>429.40100139999998</v>
      </c>
      <c r="G645" s="1">
        <f>'Unformatted Trip Summary'!G643</f>
        <v>4010.0146537999999</v>
      </c>
      <c r="H645" s="1">
        <f>'Unformatted Trip Summary'!H643</f>
        <v>106.00385025999999</v>
      </c>
    </row>
    <row r="646" spans="1:8" x14ac:dyDescent="0.2">
      <c r="A646" t="str">
        <f>'Unformatted Trip Summary'!A644</f>
        <v>09 WELLINGTON</v>
      </c>
      <c r="B646" t="str">
        <f>'Unformatted Trip Summary'!J644</f>
        <v>2037/38</v>
      </c>
      <c r="C646" t="str">
        <f>'Unformatted Trip Summary'!I644</f>
        <v>Light Vehicle Driver</v>
      </c>
      <c r="D646">
        <f>'Unformatted Trip Summary'!D644</f>
        <v>1130</v>
      </c>
      <c r="E646">
        <f>'Unformatted Trip Summary'!E644</f>
        <v>8488</v>
      </c>
      <c r="F646" s="1">
        <f>'Unformatted Trip Summary'!F644</f>
        <v>433.9361902</v>
      </c>
      <c r="G646" s="1">
        <f>'Unformatted Trip Summary'!G644</f>
        <v>4075.1895859000001</v>
      </c>
      <c r="H646" s="1">
        <f>'Unformatted Trip Summary'!H644</f>
        <v>107.5404362</v>
      </c>
    </row>
    <row r="647" spans="1:8" x14ac:dyDescent="0.2">
      <c r="A647" t="str">
        <f>'Unformatted Trip Summary'!A645</f>
        <v>09 WELLINGTON</v>
      </c>
      <c r="B647" t="str">
        <f>'Unformatted Trip Summary'!J645</f>
        <v>2042/43</v>
      </c>
      <c r="C647" t="str">
        <f>'Unformatted Trip Summary'!I645</f>
        <v>Light Vehicle Driver</v>
      </c>
      <c r="D647">
        <f>'Unformatted Trip Summary'!D645</f>
        <v>1130</v>
      </c>
      <c r="E647">
        <f>'Unformatted Trip Summary'!E645</f>
        <v>8488</v>
      </c>
      <c r="F647" s="1">
        <f>'Unformatted Trip Summary'!F645</f>
        <v>436.91000087999998</v>
      </c>
      <c r="G647" s="1">
        <f>'Unformatted Trip Summary'!G645</f>
        <v>4128.0291792999997</v>
      </c>
      <c r="H647" s="1">
        <f>'Unformatted Trip Summary'!H645</f>
        <v>108.74587572</v>
      </c>
    </row>
    <row r="648" spans="1:8" x14ac:dyDescent="0.2">
      <c r="A648" t="str">
        <f>'Unformatted Trip Summary'!A646</f>
        <v>09 WELLINGTON</v>
      </c>
      <c r="B648" t="str">
        <f>'Unformatted Trip Summary'!J646</f>
        <v>2012/13</v>
      </c>
      <c r="C648" t="str">
        <f>'Unformatted Trip Summary'!I646</f>
        <v>Light Vehicle Passenger</v>
      </c>
      <c r="D648">
        <f>'Unformatted Trip Summary'!D646</f>
        <v>936</v>
      </c>
      <c r="E648">
        <f>'Unformatted Trip Summary'!E646</f>
        <v>4461</v>
      </c>
      <c r="F648" s="1">
        <f>'Unformatted Trip Summary'!F646</f>
        <v>183.55442563</v>
      </c>
      <c r="G648" s="1">
        <f>'Unformatted Trip Summary'!G646</f>
        <v>2005.8850408000001</v>
      </c>
      <c r="H648" s="1">
        <f>'Unformatted Trip Summary'!H646</f>
        <v>48.966354531</v>
      </c>
    </row>
    <row r="649" spans="1:8" x14ac:dyDescent="0.2">
      <c r="A649" t="str">
        <f>'Unformatted Trip Summary'!A647</f>
        <v>09 WELLINGTON</v>
      </c>
      <c r="B649" t="str">
        <f>'Unformatted Trip Summary'!J647</f>
        <v>2017/18</v>
      </c>
      <c r="C649" t="str">
        <f>'Unformatted Trip Summary'!I647</f>
        <v>Light Vehicle Passenger</v>
      </c>
      <c r="D649">
        <f>'Unformatted Trip Summary'!D647</f>
        <v>936</v>
      </c>
      <c r="E649">
        <f>'Unformatted Trip Summary'!E647</f>
        <v>4461</v>
      </c>
      <c r="F649" s="1">
        <f>'Unformatted Trip Summary'!F647</f>
        <v>186.81886415</v>
      </c>
      <c r="G649" s="1">
        <f>'Unformatted Trip Summary'!G647</f>
        <v>2017.4024456</v>
      </c>
      <c r="H649" s="1">
        <f>'Unformatted Trip Summary'!H647</f>
        <v>49.615628262999998</v>
      </c>
    </row>
    <row r="650" spans="1:8" x14ac:dyDescent="0.2">
      <c r="A650" t="str">
        <f>'Unformatted Trip Summary'!A648</f>
        <v>09 WELLINGTON</v>
      </c>
      <c r="B650" t="str">
        <f>'Unformatted Trip Summary'!J648</f>
        <v>2022/23</v>
      </c>
      <c r="C650" t="str">
        <f>'Unformatted Trip Summary'!I648</f>
        <v>Light Vehicle Passenger</v>
      </c>
      <c r="D650">
        <f>'Unformatted Trip Summary'!D648</f>
        <v>936</v>
      </c>
      <c r="E650">
        <f>'Unformatted Trip Summary'!E648</f>
        <v>4461</v>
      </c>
      <c r="F650" s="1">
        <f>'Unformatted Trip Summary'!F648</f>
        <v>188.20377342</v>
      </c>
      <c r="G650" s="1">
        <f>'Unformatted Trip Summary'!G648</f>
        <v>2007.9494519</v>
      </c>
      <c r="H650" s="1">
        <f>'Unformatted Trip Summary'!H648</f>
        <v>49.684395881999997</v>
      </c>
    </row>
    <row r="651" spans="1:8" x14ac:dyDescent="0.2">
      <c r="A651" t="str">
        <f>'Unformatted Trip Summary'!A649</f>
        <v>09 WELLINGTON</v>
      </c>
      <c r="B651" t="str">
        <f>'Unformatted Trip Summary'!J649</f>
        <v>2027/28</v>
      </c>
      <c r="C651" t="str">
        <f>'Unformatted Trip Summary'!I649</f>
        <v>Light Vehicle Passenger</v>
      </c>
      <c r="D651">
        <f>'Unformatted Trip Summary'!D649</f>
        <v>936</v>
      </c>
      <c r="E651">
        <f>'Unformatted Trip Summary'!E649</f>
        <v>4461</v>
      </c>
      <c r="F651" s="1">
        <f>'Unformatted Trip Summary'!F649</f>
        <v>188.10378731</v>
      </c>
      <c r="G651" s="1">
        <f>'Unformatted Trip Summary'!G649</f>
        <v>1987.3763220000001</v>
      </c>
      <c r="H651" s="1">
        <f>'Unformatted Trip Summary'!H649</f>
        <v>49.460850520000001</v>
      </c>
    </row>
    <row r="652" spans="1:8" x14ac:dyDescent="0.2">
      <c r="A652" t="str">
        <f>'Unformatted Trip Summary'!A650</f>
        <v>09 WELLINGTON</v>
      </c>
      <c r="B652" t="str">
        <f>'Unformatted Trip Summary'!J650</f>
        <v>2032/33</v>
      </c>
      <c r="C652" t="str">
        <f>'Unformatted Trip Summary'!I650</f>
        <v>Light Vehicle Passenger</v>
      </c>
      <c r="D652">
        <f>'Unformatted Trip Summary'!D650</f>
        <v>936</v>
      </c>
      <c r="E652">
        <f>'Unformatted Trip Summary'!E650</f>
        <v>4461</v>
      </c>
      <c r="F652" s="1">
        <f>'Unformatted Trip Summary'!F650</f>
        <v>188.55047826000001</v>
      </c>
      <c r="G652" s="1">
        <f>'Unformatted Trip Summary'!G650</f>
        <v>1975.8178078000001</v>
      </c>
      <c r="H652" s="1">
        <f>'Unformatted Trip Summary'!H650</f>
        <v>49.396424287999999</v>
      </c>
    </row>
    <row r="653" spans="1:8" x14ac:dyDescent="0.2">
      <c r="A653" t="str">
        <f>'Unformatted Trip Summary'!A651</f>
        <v>09 WELLINGTON</v>
      </c>
      <c r="B653" t="str">
        <f>'Unformatted Trip Summary'!J651</f>
        <v>2037/38</v>
      </c>
      <c r="C653" t="str">
        <f>'Unformatted Trip Summary'!I651</f>
        <v>Light Vehicle Passenger</v>
      </c>
      <c r="D653">
        <f>'Unformatted Trip Summary'!D651</f>
        <v>936</v>
      </c>
      <c r="E653">
        <f>'Unformatted Trip Summary'!E651</f>
        <v>4461</v>
      </c>
      <c r="F653" s="1">
        <f>'Unformatted Trip Summary'!F651</f>
        <v>188.90913423000001</v>
      </c>
      <c r="G653" s="1">
        <f>'Unformatted Trip Summary'!G651</f>
        <v>1956.0942953000001</v>
      </c>
      <c r="H653" s="1">
        <f>'Unformatted Trip Summary'!H651</f>
        <v>49.137254294000002</v>
      </c>
    </row>
    <row r="654" spans="1:8" x14ac:dyDescent="0.2">
      <c r="A654" t="str">
        <f>'Unformatted Trip Summary'!A652</f>
        <v>09 WELLINGTON</v>
      </c>
      <c r="B654" t="str">
        <f>'Unformatted Trip Summary'!J652</f>
        <v>2042/43</v>
      </c>
      <c r="C654" t="str">
        <f>'Unformatted Trip Summary'!I652</f>
        <v>Light Vehicle Passenger</v>
      </c>
      <c r="D654">
        <f>'Unformatted Trip Summary'!D652</f>
        <v>936</v>
      </c>
      <c r="E654">
        <f>'Unformatted Trip Summary'!E652</f>
        <v>4461</v>
      </c>
      <c r="F654" s="1">
        <f>'Unformatted Trip Summary'!F652</f>
        <v>188.47659497000001</v>
      </c>
      <c r="G654" s="1">
        <f>'Unformatted Trip Summary'!G652</f>
        <v>1929.4702445</v>
      </c>
      <c r="H654" s="1">
        <f>'Unformatted Trip Summary'!H652</f>
        <v>48.694661545000002</v>
      </c>
    </row>
    <row r="655" spans="1:8" x14ac:dyDescent="0.2">
      <c r="A655" t="str">
        <f>'Unformatted Trip Summary'!A653</f>
        <v>09 WELLINGTON</v>
      </c>
      <c r="B655" t="str">
        <f>'Unformatted Trip Summary'!J653</f>
        <v>2012/13</v>
      </c>
      <c r="C655" t="str">
        <f>'Unformatted Trip Summary'!I653</f>
        <v>Taxi/Vehicle Share</v>
      </c>
      <c r="D655">
        <f>'Unformatted Trip Summary'!D653</f>
        <v>31</v>
      </c>
      <c r="E655">
        <f>'Unformatted Trip Summary'!E653</f>
        <v>51</v>
      </c>
      <c r="F655" s="1">
        <f>'Unformatted Trip Summary'!F653</f>
        <v>2.3579512121000001</v>
      </c>
      <c r="G655" s="1">
        <f>'Unformatted Trip Summary'!G653</f>
        <v>19.359252680000001</v>
      </c>
      <c r="H655" s="1">
        <f>'Unformatted Trip Summary'!H653</f>
        <v>0.76229285280000003</v>
      </c>
    </row>
    <row r="656" spans="1:8" x14ac:dyDescent="0.2">
      <c r="A656" t="str">
        <f>'Unformatted Trip Summary'!A654</f>
        <v>09 WELLINGTON</v>
      </c>
      <c r="B656" t="str">
        <f>'Unformatted Trip Summary'!J654</f>
        <v>2017/18</v>
      </c>
      <c r="C656" t="str">
        <f>'Unformatted Trip Summary'!I654</f>
        <v>Taxi/Vehicle Share</v>
      </c>
      <c r="D656">
        <f>'Unformatted Trip Summary'!D654</f>
        <v>31</v>
      </c>
      <c r="E656">
        <f>'Unformatted Trip Summary'!E654</f>
        <v>51</v>
      </c>
      <c r="F656" s="1">
        <f>'Unformatted Trip Summary'!F654</f>
        <v>2.5751050881999999</v>
      </c>
      <c r="G656" s="1">
        <f>'Unformatted Trip Summary'!G654</f>
        <v>20.581800350000002</v>
      </c>
      <c r="H656" s="1">
        <f>'Unformatted Trip Summary'!H654</f>
        <v>0.81842337040000002</v>
      </c>
    </row>
    <row r="657" spans="1:8" x14ac:dyDescent="0.2">
      <c r="A657" t="str">
        <f>'Unformatted Trip Summary'!A655</f>
        <v>09 WELLINGTON</v>
      </c>
      <c r="B657" t="str">
        <f>'Unformatted Trip Summary'!J655</f>
        <v>2022/23</v>
      </c>
      <c r="C657" t="str">
        <f>'Unformatted Trip Summary'!I655</f>
        <v>Taxi/Vehicle Share</v>
      </c>
      <c r="D657">
        <f>'Unformatted Trip Summary'!D655</f>
        <v>31</v>
      </c>
      <c r="E657">
        <f>'Unformatted Trip Summary'!E655</f>
        <v>51</v>
      </c>
      <c r="F657" s="1">
        <f>'Unformatted Trip Summary'!F655</f>
        <v>2.7149192420000001</v>
      </c>
      <c r="G657" s="1">
        <f>'Unformatted Trip Summary'!G655</f>
        <v>21.774824543000001</v>
      </c>
      <c r="H657" s="1">
        <f>'Unformatted Trip Summary'!H655</f>
        <v>0.86896019079999998</v>
      </c>
    </row>
    <row r="658" spans="1:8" x14ac:dyDescent="0.2">
      <c r="A658" t="str">
        <f>'Unformatted Trip Summary'!A656</f>
        <v>09 WELLINGTON</v>
      </c>
      <c r="B658" t="str">
        <f>'Unformatted Trip Summary'!J656</f>
        <v>2027/28</v>
      </c>
      <c r="C658" t="str">
        <f>'Unformatted Trip Summary'!I656</f>
        <v>Taxi/Vehicle Share</v>
      </c>
      <c r="D658">
        <f>'Unformatted Trip Summary'!D656</f>
        <v>31</v>
      </c>
      <c r="E658">
        <f>'Unformatted Trip Summary'!E656</f>
        <v>51</v>
      </c>
      <c r="F658" s="1">
        <f>'Unformatted Trip Summary'!F656</f>
        <v>2.8168358596999998</v>
      </c>
      <c r="G658" s="1">
        <f>'Unformatted Trip Summary'!G656</f>
        <v>22.884429347000001</v>
      </c>
      <c r="H658" s="1">
        <f>'Unformatted Trip Summary'!H656</f>
        <v>0.91442411209999996</v>
      </c>
    </row>
    <row r="659" spans="1:8" x14ac:dyDescent="0.2">
      <c r="A659" t="str">
        <f>'Unformatted Trip Summary'!A657</f>
        <v>09 WELLINGTON</v>
      </c>
      <c r="B659" t="str">
        <f>'Unformatted Trip Summary'!J657</f>
        <v>2032/33</v>
      </c>
      <c r="C659" t="str">
        <f>'Unformatted Trip Summary'!I657</f>
        <v>Taxi/Vehicle Share</v>
      </c>
      <c r="D659">
        <f>'Unformatted Trip Summary'!D657</f>
        <v>31</v>
      </c>
      <c r="E659">
        <f>'Unformatted Trip Summary'!E657</f>
        <v>51</v>
      </c>
      <c r="F659" s="1">
        <f>'Unformatted Trip Summary'!F657</f>
        <v>2.8982414793000002</v>
      </c>
      <c r="G659" s="1">
        <f>'Unformatted Trip Summary'!G657</f>
        <v>23.911994052000001</v>
      </c>
      <c r="H659" s="1">
        <f>'Unformatted Trip Summary'!H657</f>
        <v>0.94589514269999997</v>
      </c>
    </row>
    <row r="660" spans="1:8" x14ac:dyDescent="0.2">
      <c r="A660" t="str">
        <f>'Unformatted Trip Summary'!A658</f>
        <v>09 WELLINGTON</v>
      </c>
      <c r="B660" t="str">
        <f>'Unformatted Trip Summary'!J658</f>
        <v>2037/38</v>
      </c>
      <c r="C660" t="str">
        <f>'Unformatted Trip Summary'!I658</f>
        <v>Taxi/Vehicle Share</v>
      </c>
      <c r="D660">
        <f>'Unformatted Trip Summary'!D658</f>
        <v>31</v>
      </c>
      <c r="E660">
        <f>'Unformatted Trip Summary'!E658</f>
        <v>51</v>
      </c>
      <c r="F660" s="1">
        <f>'Unformatted Trip Summary'!F658</f>
        <v>2.9763403998000002</v>
      </c>
      <c r="G660" s="1">
        <f>'Unformatted Trip Summary'!G658</f>
        <v>24.628848443999999</v>
      </c>
      <c r="H660" s="1">
        <f>'Unformatted Trip Summary'!H658</f>
        <v>0.96148437590000002</v>
      </c>
    </row>
    <row r="661" spans="1:8" x14ac:dyDescent="0.2">
      <c r="A661" t="str">
        <f>'Unformatted Trip Summary'!A659</f>
        <v>09 WELLINGTON</v>
      </c>
      <c r="B661" t="str">
        <f>'Unformatted Trip Summary'!J659</f>
        <v>2042/43</v>
      </c>
      <c r="C661" t="str">
        <f>'Unformatted Trip Summary'!I659</f>
        <v>Taxi/Vehicle Share</v>
      </c>
      <c r="D661">
        <f>'Unformatted Trip Summary'!D659</f>
        <v>31</v>
      </c>
      <c r="E661">
        <f>'Unformatted Trip Summary'!E659</f>
        <v>51</v>
      </c>
      <c r="F661" s="1">
        <f>'Unformatted Trip Summary'!F659</f>
        <v>3.0484241626999999</v>
      </c>
      <c r="G661" s="1">
        <f>'Unformatted Trip Summary'!G659</f>
        <v>25.20193269</v>
      </c>
      <c r="H661" s="1">
        <f>'Unformatted Trip Summary'!H659</f>
        <v>0.97203616609999999</v>
      </c>
    </row>
    <row r="662" spans="1:8" x14ac:dyDescent="0.2">
      <c r="A662" t="str">
        <f>'Unformatted Trip Summary'!A660</f>
        <v>09 WELLINGTON</v>
      </c>
      <c r="B662" t="str">
        <f>'Unformatted Trip Summary'!J660</f>
        <v>2012/13</v>
      </c>
      <c r="C662" t="str">
        <f>'Unformatted Trip Summary'!I660</f>
        <v>Motorcyclist</v>
      </c>
      <c r="D662">
        <f>'Unformatted Trip Summary'!D660</f>
        <v>16</v>
      </c>
      <c r="E662">
        <f>'Unformatted Trip Summary'!E660</f>
        <v>64</v>
      </c>
      <c r="F662" s="1">
        <f>'Unformatted Trip Summary'!F660</f>
        <v>2.4968267649999998</v>
      </c>
      <c r="G662" s="1">
        <f>'Unformatted Trip Summary'!G660</f>
        <v>24.444631151999999</v>
      </c>
      <c r="H662" s="1">
        <f>'Unformatted Trip Summary'!H660</f>
        <v>0.71073078609999996</v>
      </c>
    </row>
    <row r="663" spans="1:8" x14ac:dyDescent="0.2">
      <c r="A663" t="str">
        <f>'Unformatted Trip Summary'!A661</f>
        <v>09 WELLINGTON</v>
      </c>
      <c r="B663" t="str">
        <f>'Unformatted Trip Summary'!J661</f>
        <v>2017/18</v>
      </c>
      <c r="C663" t="str">
        <f>'Unformatted Trip Summary'!I661</f>
        <v>Motorcyclist</v>
      </c>
      <c r="D663">
        <f>'Unformatted Trip Summary'!D661</f>
        <v>16</v>
      </c>
      <c r="E663">
        <f>'Unformatted Trip Summary'!E661</f>
        <v>64</v>
      </c>
      <c r="F663" s="1">
        <f>'Unformatted Trip Summary'!F661</f>
        <v>2.6405109623</v>
      </c>
      <c r="G663" s="1">
        <f>'Unformatted Trip Summary'!G661</f>
        <v>24.603665926000001</v>
      </c>
      <c r="H663" s="1">
        <f>'Unformatted Trip Summary'!H661</f>
        <v>0.73118518489999995</v>
      </c>
    </row>
    <row r="664" spans="1:8" x14ac:dyDescent="0.2">
      <c r="A664" t="str">
        <f>'Unformatted Trip Summary'!A662</f>
        <v>09 WELLINGTON</v>
      </c>
      <c r="B664" t="str">
        <f>'Unformatted Trip Summary'!J662</f>
        <v>2022/23</v>
      </c>
      <c r="C664" t="str">
        <f>'Unformatted Trip Summary'!I662</f>
        <v>Motorcyclist</v>
      </c>
      <c r="D664">
        <f>'Unformatted Trip Summary'!D662</f>
        <v>16</v>
      </c>
      <c r="E664">
        <f>'Unformatted Trip Summary'!E662</f>
        <v>64</v>
      </c>
      <c r="F664" s="1">
        <f>'Unformatted Trip Summary'!F662</f>
        <v>2.6944098393</v>
      </c>
      <c r="G664" s="1">
        <f>'Unformatted Trip Summary'!G662</f>
        <v>24.372716968999999</v>
      </c>
      <c r="H664" s="1">
        <f>'Unformatted Trip Summary'!H662</f>
        <v>0.7293037497</v>
      </c>
    </row>
    <row r="665" spans="1:8" x14ac:dyDescent="0.2">
      <c r="A665" t="str">
        <f>'Unformatted Trip Summary'!A663</f>
        <v>09 WELLINGTON</v>
      </c>
      <c r="B665" t="str">
        <f>'Unformatted Trip Summary'!J663</f>
        <v>2027/28</v>
      </c>
      <c r="C665" t="str">
        <f>'Unformatted Trip Summary'!I663</f>
        <v>Motorcyclist</v>
      </c>
      <c r="D665">
        <f>'Unformatted Trip Summary'!D663</f>
        <v>16</v>
      </c>
      <c r="E665">
        <f>'Unformatted Trip Summary'!E663</f>
        <v>64</v>
      </c>
      <c r="F665" s="1">
        <f>'Unformatted Trip Summary'!F663</f>
        <v>2.7500100097</v>
      </c>
      <c r="G665" s="1">
        <f>'Unformatted Trip Summary'!G663</f>
        <v>24.678830053999999</v>
      </c>
      <c r="H665" s="1">
        <f>'Unformatted Trip Summary'!H663</f>
        <v>0.73550340410000004</v>
      </c>
    </row>
    <row r="666" spans="1:8" x14ac:dyDescent="0.2">
      <c r="A666" t="str">
        <f>'Unformatted Trip Summary'!A664</f>
        <v>09 WELLINGTON</v>
      </c>
      <c r="B666" t="str">
        <f>'Unformatted Trip Summary'!J664</f>
        <v>2032/33</v>
      </c>
      <c r="C666" t="str">
        <f>'Unformatted Trip Summary'!I664</f>
        <v>Motorcyclist</v>
      </c>
      <c r="D666">
        <f>'Unformatted Trip Summary'!D664</f>
        <v>16</v>
      </c>
      <c r="E666">
        <f>'Unformatted Trip Summary'!E664</f>
        <v>64</v>
      </c>
      <c r="F666" s="1">
        <f>'Unformatted Trip Summary'!F664</f>
        <v>2.8133572193999998</v>
      </c>
      <c r="G666" s="1">
        <f>'Unformatted Trip Summary'!G664</f>
        <v>25.645875901</v>
      </c>
      <c r="H666" s="1">
        <f>'Unformatted Trip Summary'!H664</f>
        <v>0.75799804059999998</v>
      </c>
    </row>
    <row r="667" spans="1:8" x14ac:dyDescent="0.2">
      <c r="A667" t="str">
        <f>'Unformatted Trip Summary'!A665</f>
        <v>09 WELLINGTON</v>
      </c>
      <c r="B667" t="str">
        <f>'Unformatted Trip Summary'!J665</f>
        <v>2037/38</v>
      </c>
      <c r="C667" t="str">
        <f>'Unformatted Trip Summary'!I665</f>
        <v>Motorcyclist</v>
      </c>
      <c r="D667">
        <f>'Unformatted Trip Summary'!D665</f>
        <v>16</v>
      </c>
      <c r="E667">
        <f>'Unformatted Trip Summary'!E665</f>
        <v>64</v>
      </c>
      <c r="F667" s="1">
        <f>'Unformatted Trip Summary'!F665</f>
        <v>2.8501696076999998</v>
      </c>
      <c r="G667" s="1">
        <f>'Unformatted Trip Summary'!G665</f>
        <v>26.407085099</v>
      </c>
      <c r="H667" s="1">
        <f>'Unformatted Trip Summary'!H665</f>
        <v>0.77810409469999997</v>
      </c>
    </row>
    <row r="668" spans="1:8" x14ac:dyDescent="0.2">
      <c r="A668" t="str">
        <f>'Unformatted Trip Summary'!A666</f>
        <v>09 WELLINGTON</v>
      </c>
      <c r="B668" t="str">
        <f>'Unformatted Trip Summary'!J666</f>
        <v>2042/43</v>
      </c>
      <c r="C668" t="str">
        <f>'Unformatted Trip Summary'!I666</f>
        <v>Motorcyclist</v>
      </c>
      <c r="D668">
        <f>'Unformatted Trip Summary'!D666</f>
        <v>16</v>
      </c>
      <c r="E668">
        <f>'Unformatted Trip Summary'!E666</f>
        <v>64</v>
      </c>
      <c r="F668" s="1">
        <f>'Unformatted Trip Summary'!F666</f>
        <v>2.8513140264999999</v>
      </c>
      <c r="G668" s="1">
        <f>'Unformatted Trip Summary'!G666</f>
        <v>26.80446555</v>
      </c>
      <c r="H668" s="1">
        <f>'Unformatted Trip Summary'!H666</f>
        <v>0.78718188219999996</v>
      </c>
    </row>
    <row r="669" spans="1:8" x14ac:dyDescent="0.2">
      <c r="A669" t="str">
        <f>'Unformatted Trip Summary'!A667</f>
        <v>09 WELLINGTON</v>
      </c>
      <c r="B669" t="str">
        <f>'Unformatted Trip Summary'!J667</f>
        <v>2012/13</v>
      </c>
      <c r="C669" t="str">
        <f>'Unformatted Trip Summary'!I667</f>
        <v>Local Train</v>
      </c>
      <c r="D669">
        <f>'Unformatted Trip Summary'!D667</f>
        <v>94</v>
      </c>
      <c r="E669">
        <f>'Unformatted Trip Summary'!E667</f>
        <v>228</v>
      </c>
      <c r="F669" s="1">
        <f>'Unformatted Trip Summary'!F667</f>
        <v>10.165258230999999</v>
      </c>
      <c r="G669" s="1">
        <f>'Unformatted Trip Summary'!G667</f>
        <v>251.12727889999999</v>
      </c>
      <c r="H669" s="1">
        <f>'Unformatted Trip Summary'!H667</f>
        <v>5.5268751299999996</v>
      </c>
    </row>
    <row r="670" spans="1:8" x14ac:dyDescent="0.2">
      <c r="A670" t="str">
        <f>'Unformatted Trip Summary'!A668</f>
        <v>09 WELLINGTON</v>
      </c>
      <c r="B670" t="str">
        <f>'Unformatted Trip Summary'!J668</f>
        <v>2017/18</v>
      </c>
      <c r="C670" t="str">
        <f>'Unformatted Trip Summary'!I668</f>
        <v>Local Train</v>
      </c>
      <c r="D670">
        <f>'Unformatted Trip Summary'!D668</f>
        <v>94</v>
      </c>
      <c r="E670">
        <f>'Unformatted Trip Summary'!E668</f>
        <v>228</v>
      </c>
      <c r="F670" s="1">
        <f>'Unformatted Trip Summary'!F668</f>
        <v>10.9389138</v>
      </c>
      <c r="G670" s="1">
        <f>'Unformatted Trip Summary'!G668</f>
        <v>268.37680104999998</v>
      </c>
      <c r="H670" s="1">
        <f>'Unformatted Trip Summary'!H668</f>
        <v>5.8865517441000001</v>
      </c>
    </row>
    <row r="671" spans="1:8" x14ac:dyDescent="0.2">
      <c r="A671" t="str">
        <f>'Unformatted Trip Summary'!A669</f>
        <v>09 WELLINGTON</v>
      </c>
      <c r="B671" t="str">
        <f>'Unformatted Trip Summary'!J669</f>
        <v>2022/23</v>
      </c>
      <c r="C671" t="str">
        <f>'Unformatted Trip Summary'!I669</f>
        <v>Local Train</v>
      </c>
      <c r="D671">
        <f>'Unformatted Trip Summary'!D669</f>
        <v>94</v>
      </c>
      <c r="E671">
        <f>'Unformatted Trip Summary'!E669</f>
        <v>228</v>
      </c>
      <c r="F671" s="1">
        <f>'Unformatted Trip Summary'!F669</f>
        <v>11.465730113999999</v>
      </c>
      <c r="G671" s="1">
        <f>'Unformatted Trip Summary'!G669</f>
        <v>281.69209850999999</v>
      </c>
      <c r="H671" s="1">
        <f>'Unformatted Trip Summary'!H669</f>
        <v>6.1624226999999996</v>
      </c>
    </row>
    <row r="672" spans="1:8" x14ac:dyDescent="0.2">
      <c r="A672" t="str">
        <f>'Unformatted Trip Summary'!A670</f>
        <v>09 WELLINGTON</v>
      </c>
      <c r="B672" t="str">
        <f>'Unformatted Trip Summary'!J670</f>
        <v>2027/28</v>
      </c>
      <c r="C672" t="str">
        <f>'Unformatted Trip Summary'!I670</f>
        <v>Local Train</v>
      </c>
      <c r="D672">
        <f>'Unformatted Trip Summary'!D670</f>
        <v>94</v>
      </c>
      <c r="E672">
        <f>'Unformatted Trip Summary'!E670</f>
        <v>228</v>
      </c>
      <c r="F672" s="1">
        <f>'Unformatted Trip Summary'!F670</f>
        <v>11.868558672000001</v>
      </c>
      <c r="G672" s="1">
        <f>'Unformatted Trip Summary'!G670</f>
        <v>293.63243101</v>
      </c>
      <c r="H672" s="1">
        <f>'Unformatted Trip Summary'!H670</f>
        <v>6.4069879139000001</v>
      </c>
    </row>
    <row r="673" spans="1:8" x14ac:dyDescent="0.2">
      <c r="A673" t="str">
        <f>'Unformatted Trip Summary'!A671</f>
        <v>09 WELLINGTON</v>
      </c>
      <c r="B673" t="str">
        <f>'Unformatted Trip Summary'!J671</f>
        <v>2032/33</v>
      </c>
      <c r="C673" t="str">
        <f>'Unformatted Trip Summary'!I671</f>
        <v>Local Train</v>
      </c>
      <c r="D673">
        <f>'Unformatted Trip Summary'!D671</f>
        <v>94</v>
      </c>
      <c r="E673">
        <f>'Unformatted Trip Summary'!E671</f>
        <v>228</v>
      </c>
      <c r="F673" s="1">
        <f>'Unformatted Trip Summary'!F671</f>
        <v>12.166184658000001</v>
      </c>
      <c r="G673" s="1">
        <f>'Unformatted Trip Summary'!G671</f>
        <v>299.69443267000003</v>
      </c>
      <c r="H673" s="1">
        <f>'Unformatted Trip Summary'!H671</f>
        <v>6.5445722437000002</v>
      </c>
    </row>
    <row r="674" spans="1:8" x14ac:dyDescent="0.2">
      <c r="A674" t="str">
        <f>'Unformatted Trip Summary'!A672</f>
        <v>09 WELLINGTON</v>
      </c>
      <c r="B674" t="str">
        <f>'Unformatted Trip Summary'!J672</f>
        <v>2037/38</v>
      </c>
      <c r="C674" t="str">
        <f>'Unformatted Trip Summary'!I672</f>
        <v>Local Train</v>
      </c>
      <c r="D674">
        <f>'Unformatted Trip Summary'!D672</f>
        <v>94</v>
      </c>
      <c r="E674">
        <f>'Unformatted Trip Summary'!E672</f>
        <v>228</v>
      </c>
      <c r="F674" s="1">
        <f>'Unformatted Trip Summary'!F672</f>
        <v>12.519927922000001</v>
      </c>
      <c r="G674" s="1">
        <f>'Unformatted Trip Summary'!G672</f>
        <v>306.32187286999999</v>
      </c>
      <c r="H674" s="1">
        <f>'Unformatted Trip Summary'!H672</f>
        <v>6.6871263547000002</v>
      </c>
    </row>
    <row r="675" spans="1:8" x14ac:dyDescent="0.2">
      <c r="A675" t="str">
        <f>'Unformatted Trip Summary'!A673</f>
        <v>09 WELLINGTON</v>
      </c>
      <c r="B675" t="str">
        <f>'Unformatted Trip Summary'!J673</f>
        <v>2042/43</v>
      </c>
      <c r="C675" t="str">
        <f>'Unformatted Trip Summary'!I673</f>
        <v>Local Train</v>
      </c>
      <c r="D675">
        <f>'Unformatted Trip Summary'!D673</f>
        <v>94</v>
      </c>
      <c r="E675">
        <f>'Unformatted Trip Summary'!E673</f>
        <v>228</v>
      </c>
      <c r="F675" s="1">
        <f>'Unformatted Trip Summary'!F673</f>
        <v>12.830146576000001</v>
      </c>
      <c r="G675" s="1">
        <f>'Unformatted Trip Summary'!G673</f>
        <v>311.45008668999998</v>
      </c>
      <c r="H675" s="1">
        <f>'Unformatted Trip Summary'!H673</f>
        <v>6.7983723147999999</v>
      </c>
    </row>
    <row r="676" spans="1:8" x14ac:dyDescent="0.2">
      <c r="A676" t="str">
        <f>'Unformatted Trip Summary'!A674</f>
        <v>09 WELLINGTON</v>
      </c>
      <c r="B676" t="str">
        <f>'Unformatted Trip Summary'!J674</f>
        <v>2012/13</v>
      </c>
      <c r="C676" t="str">
        <f>'Unformatted Trip Summary'!I674</f>
        <v>Local Bus</v>
      </c>
      <c r="D676">
        <f>'Unformatted Trip Summary'!D674</f>
        <v>211</v>
      </c>
      <c r="E676">
        <f>'Unformatted Trip Summary'!E674</f>
        <v>552</v>
      </c>
      <c r="F676" s="1">
        <f>'Unformatted Trip Summary'!F674</f>
        <v>24.821335829999999</v>
      </c>
      <c r="G676" s="1">
        <f>'Unformatted Trip Summary'!G674</f>
        <v>187.412398</v>
      </c>
      <c r="H676" s="1">
        <f>'Unformatted Trip Summary'!H674</f>
        <v>9.3956469076999998</v>
      </c>
    </row>
    <row r="677" spans="1:8" x14ac:dyDescent="0.2">
      <c r="A677" t="str">
        <f>'Unformatted Trip Summary'!A675</f>
        <v>09 WELLINGTON</v>
      </c>
      <c r="B677" t="str">
        <f>'Unformatted Trip Summary'!J675</f>
        <v>2017/18</v>
      </c>
      <c r="C677" t="str">
        <f>'Unformatted Trip Summary'!I675</f>
        <v>Local Bus</v>
      </c>
      <c r="D677">
        <f>'Unformatted Trip Summary'!D675</f>
        <v>211</v>
      </c>
      <c r="E677">
        <f>'Unformatted Trip Summary'!E675</f>
        <v>552</v>
      </c>
      <c r="F677" s="1">
        <f>'Unformatted Trip Summary'!F675</f>
        <v>25.763393008000001</v>
      </c>
      <c r="G677" s="1">
        <f>'Unformatted Trip Summary'!G675</f>
        <v>196.28837895999999</v>
      </c>
      <c r="H677" s="1">
        <f>'Unformatted Trip Summary'!H675</f>
        <v>9.7994744618999992</v>
      </c>
    </row>
    <row r="678" spans="1:8" x14ac:dyDescent="0.2">
      <c r="A678" t="str">
        <f>'Unformatted Trip Summary'!A676</f>
        <v>09 WELLINGTON</v>
      </c>
      <c r="B678" t="str">
        <f>'Unformatted Trip Summary'!J676</f>
        <v>2022/23</v>
      </c>
      <c r="C678" t="str">
        <f>'Unformatted Trip Summary'!I676</f>
        <v>Local Bus</v>
      </c>
      <c r="D678">
        <f>'Unformatted Trip Summary'!D676</f>
        <v>211</v>
      </c>
      <c r="E678">
        <f>'Unformatted Trip Summary'!E676</f>
        <v>552</v>
      </c>
      <c r="F678" s="1">
        <f>'Unformatted Trip Summary'!F676</f>
        <v>26.140608413999999</v>
      </c>
      <c r="G678" s="1">
        <f>'Unformatted Trip Summary'!G676</f>
        <v>200.10319190000001</v>
      </c>
      <c r="H678" s="1">
        <f>'Unformatted Trip Summary'!H676</f>
        <v>9.9875361711000004</v>
      </c>
    </row>
    <row r="679" spans="1:8" x14ac:dyDescent="0.2">
      <c r="A679" t="str">
        <f>'Unformatted Trip Summary'!A677</f>
        <v>09 WELLINGTON</v>
      </c>
      <c r="B679" t="str">
        <f>'Unformatted Trip Summary'!J677</f>
        <v>2027/28</v>
      </c>
      <c r="C679" t="str">
        <f>'Unformatted Trip Summary'!I677</f>
        <v>Local Bus</v>
      </c>
      <c r="D679">
        <f>'Unformatted Trip Summary'!D677</f>
        <v>211</v>
      </c>
      <c r="E679">
        <f>'Unformatted Trip Summary'!E677</f>
        <v>552</v>
      </c>
      <c r="F679" s="1">
        <f>'Unformatted Trip Summary'!F677</f>
        <v>26.492151513</v>
      </c>
      <c r="G679" s="1">
        <f>'Unformatted Trip Summary'!G677</f>
        <v>203.08920596999999</v>
      </c>
      <c r="H679" s="1">
        <f>'Unformatted Trip Summary'!H677</f>
        <v>10.157220906999999</v>
      </c>
    </row>
    <row r="680" spans="1:8" x14ac:dyDescent="0.2">
      <c r="A680" t="str">
        <f>'Unformatted Trip Summary'!A678</f>
        <v>09 WELLINGTON</v>
      </c>
      <c r="B680" t="str">
        <f>'Unformatted Trip Summary'!J678</f>
        <v>2032/33</v>
      </c>
      <c r="C680" t="str">
        <f>'Unformatted Trip Summary'!I678</f>
        <v>Local Bus</v>
      </c>
      <c r="D680">
        <f>'Unformatted Trip Summary'!D678</f>
        <v>211</v>
      </c>
      <c r="E680">
        <f>'Unformatted Trip Summary'!E678</f>
        <v>552</v>
      </c>
      <c r="F680" s="1">
        <f>'Unformatted Trip Summary'!F678</f>
        <v>26.498180754</v>
      </c>
      <c r="G680" s="1">
        <f>'Unformatted Trip Summary'!G678</f>
        <v>204.15487131</v>
      </c>
      <c r="H680" s="1">
        <f>'Unformatted Trip Summary'!H678</f>
        <v>10.204773556999999</v>
      </c>
    </row>
    <row r="681" spans="1:8" x14ac:dyDescent="0.2">
      <c r="A681" t="str">
        <f>'Unformatted Trip Summary'!A679</f>
        <v>09 WELLINGTON</v>
      </c>
      <c r="B681" t="str">
        <f>'Unformatted Trip Summary'!J679</f>
        <v>2037/38</v>
      </c>
      <c r="C681" t="str">
        <f>'Unformatted Trip Summary'!I679</f>
        <v>Local Bus</v>
      </c>
      <c r="D681">
        <f>'Unformatted Trip Summary'!D679</f>
        <v>211</v>
      </c>
      <c r="E681">
        <f>'Unformatted Trip Summary'!E679</f>
        <v>552</v>
      </c>
      <c r="F681" s="1">
        <f>'Unformatted Trip Summary'!F679</f>
        <v>26.334150153</v>
      </c>
      <c r="G681" s="1">
        <f>'Unformatted Trip Summary'!G679</f>
        <v>204.32570204000001</v>
      </c>
      <c r="H681" s="1">
        <f>'Unformatted Trip Summary'!H679</f>
        <v>10.200671012000001</v>
      </c>
    </row>
    <row r="682" spans="1:8" x14ac:dyDescent="0.2">
      <c r="A682" t="str">
        <f>'Unformatted Trip Summary'!A680</f>
        <v>09 WELLINGTON</v>
      </c>
      <c r="B682" t="str">
        <f>'Unformatted Trip Summary'!J680</f>
        <v>2042/43</v>
      </c>
      <c r="C682" t="str">
        <f>'Unformatted Trip Summary'!I680</f>
        <v>Local Bus</v>
      </c>
      <c r="D682">
        <f>'Unformatted Trip Summary'!D680</f>
        <v>211</v>
      </c>
      <c r="E682">
        <f>'Unformatted Trip Summary'!E680</f>
        <v>552</v>
      </c>
      <c r="F682" s="1">
        <f>'Unformatted Trip Summary'!F680</f>
        <v>26.043893530999998</v>
      </c>
      <c r="G682" s="1">
        <f>'Unformatted Trip Summary'!G680</f>
        <v>203.4099812</v>
      </c>
      <c r="H682" s="1">
        <f>'Unformatted Trip Summary'!H680</f>
        <v>10.143988118999999</v>
      </c>
    </row>
    <row r="683" spans="1:8" x14ac:dyDescent="0.2">
      <c r="A683" t="str">
        <f>'Unformatted Trip Summary'!A681</f>
        <v>09 WELLINGTON</v>
      </c>
      <c r="B683" t="str">
        <f>'Unformatted Trip Summary'!J681</f>
        <v>2012/13</v>
      </c>
      <c r="C683" t="str">
        <f>'Unformatted Trip Summary'!I681</f>
        <v>Local Ferry</v>
      </c>
      <c r="D683">
        <f>'Unformatted Trip Summary'!D681</f>
        <v>2</v>
      </c>
      <c r="E683">
        <f>'Unformatted Trip Summary'!E681</f>
        <v>4</v>
      </c>
      <c r="F683" s="1">
        <f>'Unformatted Trip Summary'!F681</f>
        <v>0.22615005399999999</v>
      </c>
      <c r="G683" s="1">
        <f>'Unformatted Trip Summary'!G681</f>
        <v>0</v>
      </c>
      <c r="H683" s="1">
        <f>'Unformatted Trip Summary'!H681</f>
        <v>5.6537513499999997E-2</v>
      </c>
    </row>
    <row r="684" spans="1:8" x14ac:dyDescent="0.2">
      <c r="A684" t="str">
        <f>'Unformatted Trip Summary'!A682</f>
        <v>09 WELLINGTON</v>
      </c>
      <c r="B684" t="str">
        <f>'Unformatted Trip Summary'!J682</f>
        <v>2017/18</v>
      </c>
      <c r="C684" t="str">
        <f>'Unformatted Trip Summary'!I682</f>
        <v>Local Ferry</v>
      </c>
      <c r="D684">
        <f>'Unformatted Trip Summary'!D682</f>
        <v>2</v>
      </c>
      <c r="E684">
        <f>'Unformatted Trip Summary'!E682</f>
        <v>4</v>
      </c>
      <c r="F684" s="1">
        <f>'Unformatted Trip Summary'!F682</f>
        <v>0.26644856049999999</v>
      </c>
      <c r="G684" s="1">
        <f>'Unformatted Trip Summary'!G682</f>
        <v>0</v>
      </c>
      <c r="H684" s="1">
        <f>'Unformatted Trip Summary'!H682</f>
        <v>6.6612140099999995E-2</v>
      </c>
    </row>
    <row r="685" spans="1:8" x14ac:dyDescent="0.2">
      <c r="A685" t="str">
        <f>'Unformatted Trip Summary'!A683</f>
        <v>09 WELLINGTON</v>
      </c>
      <c r="B685" t="str">
        <f>'Unformatted Trip Summary'!J683</f>
        <v>2022/23</v>
      </c>
      <c r="C685" t="str">
        <f>'Unformatted Trip Summary'!I683</f>
        <v>Local Ferry</v>
      </c>
      <c r="D685">
        <f>'Unformatted Trip Summary'!D683</f>
        <v>2</v>
      </c>
      <c r="E685">
        <f>'Unformatted Trip Summary'!E683</f>
        <v>4</v>
      </c>
      <c r="F685" s="1">
        <f>'Unformatted Trip Summary'!F683</f>
        <v>0.29356523960000003</v>
      </c>
      <c r="G685" s="1">
        <f>'Unformatted Trip Summary'!G683</f>
        <v>0</v>
      </c>
      <c r="H685" s="1">
        <f>'Unformatted Trip Summary'!H683</f>
        <v>7.3391309900000007E-2</v>
      </c>
    </row>
    <row r="686" spans="1:8" x14ac:dyDescent="0.2">
      <c r="A686" t="str">
        <f>'Unformatted Trip Summary'!A684</f>
        <v>09 WELLINGTON</v>
      </c>
      <c r="B686" t="str">
        <f>'Unformatted Trip Summary'!J684</f>
        <v>2027/28</v>
      </c>
      <c r="C686" t="str">
        <f>'Unformatted Trip Summary'!I684</f>
        <v>Local Ferry</v>
      </c>
      <c r="D686">
        <f>'Unformatted Trip Summary'!D684</f>
        <v>2</v>
      </c>
      <c r="E686">
        <f>'Unformatted Trip Summary'!E684</f>
        <v>4</v>
      </c>
      <c r="F686" s="1">
        <f>'Unformatted Trip Summary'!F684</f>
        <v>0.30321469020000003</v>
      </c>
      <c r="G686" s="1">
        <f>'Unformatted Trip Summary'!G684</f>
        <v>0</v>
      </c>
      <c r="H686" s="1">
        <f>'Unformatted Trip Summary'!H684</f>
        <v>7.5803672500000002E-2</v>
      </c>
    </row>
    <row r="687" spans="1:8" x14ac:dyDescent="0.2">
      <c r="A687" t="str">
        <f>'Unformatted Trip Summary'!A685</f>
        <v>09 WELLINGTON</v>
      </c>
      <c r="B687" t="str">
        <f>'Unformatted Trip Summary'!J685</f>
        <v>2032/33</v>
      </c>
      <c r="C687" t="str">
        <f>'Unformatted Trip Summary'!I685</f>
        <v>Local Ferry</v>
      </c>
      <c r="D687">
        <f>'Unformatted Trip Summary'!D685</f>
        <v>2</v>
      </c>
      <c r="E687">
        <f>'Unformatted Trip Summary'!E685</f>
        <v>4</v>
      </c>
      <c r="F687" s="1">
        <f>'Unformatted Trip Summary'!F685</f>
        <v>0.31348181790000001</v>
      </c>
      <c r="G687" s="1">
        <f>'Unformatted Trip Summary'!G685</f>
        <v>0</v>
      </c>
      <c r="H687" s="1">
        <f>'Unformatted Trip Summary'!H685</f>
        <v>7.8370454500000006E-2</v>
      </c>
    </row>
    <row r="688" spans="1:8" x14ac:dyDescent="0.2">
      <c r="A688" t="str">
        <f>'Unformatted Trip Summary'!A686</f>
        <v>09 WELLINGTON</v>
      </c>
      <c r="B688" t="str">
        <f>'Unformatted Trip Summary'!J686</f>
        <v>2037/38</v>
      </c>
      <c r="C688" t="str">
        <f>'Unformatted Trip Summary'!I686</f>
        <v>Local Ferry</v>
      </c>
      <c r="D688">
        <f>'Unformatted Trip Summary'!D686</f>
        <v>2</v>
      </c>
      <c r="E688">
        <f>'Unformatted Trip Summary'!E686</f>
        <v>4</v>
      </c>
      <c r="F688" s="1">
        <f>'Unformatted Trip Summary'!F686</f>
        <v>0.33066703419999999</v>
      </c>
      <c r="G688" s="1">
        <f>'Unformatted Trip Summary'!G686</f>
        <v>0</v>
      </c>
      <c r="H688" s="1">
        <f>'Unformatted Trip Summary'!H686</f>
        <v>8.2666758500000007E-2</v>
      </c>
    </row>
    <row r="689" spans="1:8" x14ac:dyDescent="0.2">
      <c r="A689" t="str">
        <f>'Unformatted Trip Summary'!A687</f>
        <v>09 WELLINGTON</v>
      </c>
      <c r="B689" t="str">
        <f>'Unformatted Trip Summary'!J687</f>
        <v>2042/43</v>
      </c>
      <c r="C689" t="str">
        <f>'Unformatted Trip Summary'!I687</f>
        <v>Local Ferry</v>
      </c>
      <c r="D689">
        <f>'Unformatted Trip Summary'!D687</f>
        <v>2</v>
      </c>
      <c r="E689">
        <f>'Unformatted Trip Summary'!E687</f>
        <v>4</v>
      </c>
      <c r="F689" s="1">
        <f>'Unformatted Trip Summary'!F687</f>
        <v>0.34850375700000003</v>
      </c>
      <c r="G689" s="1">
        <f>'Unformatted Trip Summary'!G687</f>
        <v>0</v>
      </c>
      <c r="H689" s="1">
        <f>'Unformatted Trip Summary'!H687</f>
        <v>8.7125939299999997E-2</v>
      </c>
    </row>
    <row r="690" spans="1:8" x14ac:dyDescent="0.2">
      <c r="A690" t="str">
        <f>'Unformatted Trip Summary'!A688</f>
        <v>09 WELLINGTON</v>
      </c>
      <c r="B690" t="str">
        <f>'Unformatted Trip Summary'!J688</f>
        <v>2012/13</v>
      </c>
      <c r="C690" t="str">
        <f>'Unformatted Trip Summary'!I688</f>
        <v>Other Household Travel</v>
      </c>
      <c r="D690">
        <f>'Unformatted Trip Summary'!D688</f>
        <v>7</v>
      </c>
      <c r="E690">
        <f>'Unformatted Trip Summary'!E688</f>
        <v>10</v>
      </c>
      <c r="F690" s="1">
        <f>'Unformatted Trip Summary'!F688</f>
        <v>0.33422365529999998</v>
      </c>
      <c r="G690" s="1">
        <f>'Unformatted Trip Summary'!G688</f>
        <v>0</v>
      </c>
      <c r="H690" s="1">
        <f>'Unformatted Trip Summary'!H688</f>
        <v>0.36538599710000003</v>
      </c>
    </row>
    <row r="691" spans="1:8" x14ac:dyDescent="0.2">
      <c r="A691" t="str">
        <f>'Unformatted Trip Summary'!A689</f>
        <v>09 WELLINGTON</v>
      </c>
      <c r="B691" t="str">
        <f>'Unformatted Trip Summary'!J689</f>
        <v>2017/18</v>
      </c>
      <c r="C691" t="str">
        <f>'Unformatted Trip Summary'!I689</f>
        <v>Other Household Travel</v>
      </c>
      <c r="D691">
        <f>'Unformatted Trip Summary'!D689</f>
        <v>7</v>
      </c>
      <c r="E691">
        <f>'Unformatted Trip Summary'!E689</f>
        <v>10</v>
      </c>
      <c r="F691" s="1">
        <f>'Unformatted Trip Summary'!F689</f>
        <v>0.33821973280000001</v>
      </c>
      <c r="G691" s="1">
        <f>'Unformatted Trip Summary'!G689</f>
        <v>0</v>
      </c>
      <c r="H691" s="1">
        <f>'Unformatted Trip Summary'!H689</f>
        <v>0.34275426180000002</v>
      </c>
    </row>
    <row r="692" spans="1:8" x14ac:dyDescent="0.2">
      <c r="A692" t="str">
        <f>'Unformatted Trip Summary'!A690</f>
        <v>09 WELLINGTON</v>
      </c>
      <c r="B692" t="str">
        <f>'Unformatted Trip Summary'!J690</f>
        <v>2022/23</v>
      </c>
      <c r="C692" t="str">
        <f>'Unformatted Trip Summary'!I690</f>
        <v>Other Household Travel</v>
      </c>
      <c r="D692">
        <f>'Unformatted Trip Summary'!D690</f>
        <v>7</v>
      </c>
      <c r="E692">
        <f>'Unformatted Trip Summary'!E690</f>
        <v>10</v>
      </c>
      <c r="F692" s="1">
        <f>'Unformatted Trip Summary'!F690</f>
        <v>0.34520845900000002</v>
      </c>
      <c r="G692" s="1">
        <f>'Unformatted Trip Summary'!G690</f>
        <v>0</v>
      </c>
      <c r="H692" s="1">
        <f>'Unformatted Trip Summary'!H690</f>
        <v>0.35627908400000002</v>
      </c>
    </row>
    <row r="693" spans="1:8" x14ac:dyDescent="0.2">
      <c r="A693" t="str">
        <f>'Unformatted Trip Summary'!A691</f>
        <v>09 WELLINGTON</v>
      </c>
      <c r="B693" t="str">
        <f>'Unformatted Trip Summary'!J691</f>
        <v>2027/28</v>
      </c>
      <c r="C693" t="str">
        <f>'Unformatted Trip Summary'!I691</f>
        <v>Other Household Travel</v>
      </c>
      <c r="D693">
        <f>'Unformatted Trip Summary'!D691</f>
        <v>7</v>
      </c>
      <c r="E693">
        <f>'Unformatted Trip Summary'!E691</f>
        <v>10</v>
      </c>
      <c r="F693" s="1">
        <f>'Unformatted Trip Summary'!F691</f>
        <v>0.34928014969999999</v>
      </c>
      <c r="G693" s="1">
        <f>'Unformatted Trip Summary'!G691</f>
        <v>0</v>
      </c>
      <c r="H693" s="1">
        <f>'Unformatted Trip Summary'!H691</f>
        <v>0.39793267139999999</v>
      </c>
    </row>
    <row r="694" spans="1:8" x14ac:dyDescent="0.2">
      <c r="A694" t="str">
        <f>'Unformatted Trip Summary'!A692</f>
        <v>09 WELLINGTON</v>
      </c>
      <c r="B694" t="str">
        <f>'Unformatted Trip Summary'!J692</f>
        <v>2032/33</v>
      </c>
      <c r="C694" t="str">
        <f>'Unformatted Trip Summary'!I692</f>
        <v>Other Household Travel</v>
      </c>
      <c r="D694">
        <f>'Unformatted Trip Summary'!D692</f>
        <v>7</v>
      </c>
      <c r="E694">
        <f>'Unformatted Trip Summary'!E692</f>
        <v>10</v>
      </c>
      <c r="F694" s="1">
        <f>'Unformatted Trip Summary'!F692</f>
        <v>0.34266250520000002</v>
      </c>
      <c r="G694" s="1">
        <f>'Unformatted Trip Summary'!G692</f>
        <v>0</v>
      </c>
      <c r="H694" s="1">
        <f>'Unformatted Trip Summary'!H692</f>
        <v>0.42318565250000001</v>
      </c>
    </row>
    <row r="695" spans="1:8" x14ac:dyDescent="0.2">
      <c r="A695" t="str">
        <f>'Unformatted Trip Summary'!A693</f>
        <v>09 WELLINGTON</v>
      </c>
      <c r="B695" t="str">
        <f>'Unformatted Trip Summary'!J693</f>
        <v>2037/38</v>
      </c>
      <c r="C695" t="str">
        <f>'Unformatted Trip Summary'!I693</f>
        <v>Other Household Travel</v>
      </c>
      <c r="D695">
        <f>'Unformatted Trip Summary'!D693</f>
        <v>7</v>
      </c>
      <c r="E695">
        <f>'Unformatted Trip Summary'!E693</f>
        <v>10</v>
      </c>
      <c r="F695" s="1">
        <f>'Unformatted Trip Summary'!F693</f>
        <v>0.34017447550000002</v>
      </c>
      <c r="G695" s="1">
        <f>'Unformatted Trip Summary'!G693</f>
        <v>0</v>
      </c>
      <c r="H695" s="1">
        <f>'Unformatted Trip Summary'!H693</f>
        <v>0.41536302619999999</v>
      </c>
    </row>
    <row r="696" spans="1:8" x14ac:dyDescent="0.2">
      <c r="A696" t="str">
        <f>'Unformatted Trip Summary'!A694</f>
        <v>09 WELLINGTON</v>
      </c>
      <c r="B696" t="str">
        <f>'Unformatted Trip Summary'!J694</f>
        <v>2042/43</v>
      </c>
      <c r="C696" t="str">
        <f>'Unformatted Trip Summary'!I694</f>
        <v>Other Household Travel</v>
      </c>
      <c r="D696">
        <f>'Unformatted Trip Summary'!D694</f>
        <v>7</v>
      </c>
      <c r="E696">
        <f>'Unformatted Trip Summary'!E694</f>
        <v>10</v>
      </c>
      <c r="F696" s="1">
        <f>'Unformatted Trip Summary'!F694</f>
        <v>0.33545960260000002</v>
      </c>
      <c r="G696" s="1">
        <f>'Unformatted Trip Summary'!G694</f>
        <v>0</v>
      </c>
      <c r="H696" s="1">
        <f>'Unformatted Trip Summary'!H694</f>
        <v>0.40481265640000003</v>
      </c>
    </row>
    <row r="697" spans="1:8" x14ac:dyDescent="0.2">
      <c r="A697" t="str">
        <f>'Unformatted Trip Summary'!A695</f>
        <v>09 WELLINGTON</v>
      </c>
      <c r="B697" t="str">
        <f>'Unformatted Trip Summary'!J695</f>
        <v>2012/13</v>
      </c>
      <c r="C697" t="str">
        <f>'Unformatted Trip Summary'!I695</f>
        <v>Air/Non-Local PT</v>
      </c>
      <c r="D697">
        <f>'Unformatted Trip Summary'!D695</f>
        <v>44</v>
      </c>
      <c r="E697">
        <f>'Unformatted Trip Summary'!E695</f>
        <v>59</v>
      </c>
      <c r="F697" s="1">
        <f>'Unformatted Trip Summary'!F695</f>
        <v>2.6590020702000001</v>
      </c>
      <c r="G697" s="1">
        <f>'Unformatted Trip Summary'!G695</f>
        <v>67.715118274999995</v>
      </c>
      <c r="H697" s="1">
        <f>'Unformatted Trip Summary'!H695</f>
        <v>5.4178011538000002</v>
      </c>
    </row>
    <row r="698" spans="1:8" x14ac:dyDescent="0.2">
      <c r="A698" t="str">
        <f>'Unformatted Trip Summary'!A696</f>
        <v>09 WELLINGTON</v>
      </c>
      <c r="B698" t="str">
        <f>'Unformatted Trip Summary'!J696</f>
        <v>2017/18</v>
      </c>
      <c r="C698" t="str">
        <f>'Unformatted Trip Summary'!I696</f>
        <v>Air/Non-Local PT</v>
      </c>
      <c r="D698">
        <f>'Unformatted Trip Summary'!D696</f>
        <v>44</v>
      </c>
      <c r="E698">
        <f>'Unformatted Trip Summary'!E696</f>
        <v>59</v>
      </c>
      <c r="F698" s="1">
        <f>'Unformatted Trip Summary'!F696</f>
        <v>2.8710897917999998</v>
      </c>
      <c r="G698" s="1">
        <f>'Unformatted Trip Summary'!G696</f>
        <v>79.116258962000003</v>
      </c>
      <c r="H698" s="1">
        <f>'Unformatted Trip Summary'!H696</f>
        <v>5.9343550265999996</v>
      </c>
    </row>
    <row r="699" spans="1:8" x14ac:dyDescent="0.2">
      <c r="A699" t="str">
        <f>'Unformatted Trip Summary'!A697</f>
        <v>09 WELLINGTON</v>
      </c>
      <c r="B699" t="str">
        <f>'Unformatted Trip Summary'!J697</f>
        <v>2022/23</v>
      </c>
      <c r="C699" t="str">
        <f>'Unformatted Trip Summary'!I697</f>
        <v>Air/Non-Local PT</v>
      </c>
      <c r="D699">
        <f>'Unformatted Trip Summary'!D697</f>
        <v>44</v>
      </c>
      <c r="E699">
        <f>'Unformatted Trip Summary'!E697</f>
        <v>59</v>
      </c>
      <c r="F699" s="1">
        <f>'Unformatted Trip Summary'!F697</f>
        <v>3.0765514006000001</v>
      </c>
      <c r="G699" s="1">
        <f>'Unformatted Trip Summary'!G697</f>
        <v>87.939174520999998</v>
      </c>
      <c r="H699" s="1">
        <f>'Unformatted Trip Summary'!H697</f>
        <v>6.4863082568000001</v>
      </c>
    </row>
    <row r="700" spans="1:8" x14ac:dyDescent="0.2">
      <c r="A700" t="str">
        <f>'Unformatted Trip Summary'!A698</f>
        <v>09 WELLINGTON</v>
      </c>
      <c r="B700" t="str">
        <f>'Unformatted Trip Summary'!J698</f>
        <v>2027/28</v>
      </c>
      <c r="C700" t="str">
        <f>'Unformatted Trip Summary'!I698</f>
        <v>Air/Non-Local PT</v>
      </c>
      <c r="D700">
        <f>'Unformatted Trip Summary'!D698</f>
        <v>44</v>
      </c>
      <c r="E700">
        <f>'Unformatted Trip Summary'!E698</f>
        <v>59</v>
      </c>
      <c r="F700" s="1">
        <f>'Unformatted Trip Summary'!F698</f>
        <v>3.2618609505</v>
      </c>
      <c r="G700" s="1">
        <f>'Unformatted Trip Summary'!G698</f>
        <v>94.576790231000004</v>
      </c>
      <c r="H700" s="1">
        <f>'Unformatted Trip Summary'!H698</f>
        <v>7.0153096822999998</v>
      </c>
    </row>
    <row r="701" spans="1:8" x14ac:dyDescent="0.2">
      <c r="A701" t="str">
        <f>'Unformatted Trip Summary'!A699</f>
        <v>09 WELLINGTON</v>
      </c>
      <c r="B701" t="str">
        <f>'Unformatted Trip Summary'!J699</f>
        <v>2032/33</v>
      </c>
      <c r="C701" t="str">
        <f>'Unformatted Trip Summary'!I699</f>
        <v>Air/Non-Local PT</v>
      </c>
      <c r="D701">
        <f>'Unformatted Trip Summary'!D699</f>
        <v>44</v>
      </c>
      <c r="E701">
        <f>'Unformatted Trip Summary'!E699</f>
        <v>59</v>
      </c>
      <c r="F701" s="1">
        <f>'Unformatted Trip Summary'!F699</f>
        <v>3.3784949540000002</v>
      </c>
      <c r="G701" s="1">
        <f>'Unformatted Trip Summary'!G699</f>
        <v>98.380459169000005</v>
      </c>
      <c r="H701" s="1">
        <f>'Unformatted Trip Summary'!H699</f>
        <v>7.3381316915000001</v>
      </c>
    </row>
    <row r="702" spans="1:8" x14ac:dyDescent="0.2">
      <c r="A702" t="str">
        <f>'Unformatted Trip Summary'!A700</f>
        <v>09 WELLINGTON</v>
      </c>
      <c r="B702" t="str">
        <f>'Unformatted Trip Summary'!J700</f>
        <v>2037/38</v>
      </c>
      <c r="C702" t="str">
        <f>'Unformatted Trip Summary'!I700</f>
        <v>Air/Non-Local PT</v>
      </c>
      <c r="D702">
        <f>'Unformatted Trip Summary'!D700</f>
        <v>44</v>
      </c>
      <c r="E702">
        <f>'Unformatted Trip Summary'!E700</f>
        <v>59</v>
      </c>
      <c r="F702" s="1">
        <f>'Unformatted Trip Summary'!F700</f>
        <v>3.4129784623999999</v>
      </c>
      <c r="G702" s="1">
        <f>'Unformatted Trip Summary'!G700</f>
        <v>100.55529558000001</v>
      </c>
      <c r="H702" s="1">
        <f>'Unformatted Trip Summary'!H700</f>
        <v>7.4156492580000002</v>
      </c>
    </row>
    <row r="703" spans="1:8" x14ac:dyDescent="0.2">
      <c r="A703" t="str">
        <f>'Unformatted Trip Summary'!A701</f>
        <v>09 WELLINGTON</v>
      </c>
      <c r="B703" t="str">
        <f>'Unformatted Trip Summary'!J701</f>
        <v>2042/43</v>
      </c>
      <c r="C703" t="str">
        <f>'Unformatted Trip Summary'!I701</f>
        <v>Air/Non-Local PT</v>
      </c>
      <c r="D703">
        <f>'Unformatted Trip Summary'!D701</f>
        <v>44</v>
      </c>
      <c r="E703">
        <f>'Unformatted Trip Summary'!E701</f>
        <v>59</v>
      </c>
      <c r="F703" s="1">
        <f>'Unformatted Trip Summary'!F701</f>
        <v>3.4300480227999999</v>
      </c>
      <c r="G703" s="1">
        <f>'Unformatted Trip Summary'!G701</f>
        <v>102.44185210000001</v>
      </c>
      <c r="H703" s="1">
        <f>'Unformatted Trip Summary'!H701</f>
        <v>7.4554295731</v>
      </c>
    </row>
    <row r="704" spans="1:8" x14ac:dyDescent="0.2">
      <c r="A704" t="str">
        <f>'Unformatted Trip Summary'!A702</f>
        <v>09 WELLINGTON</v>
      </c>
      <c r="B704" t="str">
        <f>'Unformatted Trip Summary'!J702</f>
        <v>2012/13</v>
      </c>
      <c r="C704" t="str">
        <f>'Unformatted Trip Summary'!I702</f>
        <v>Non-Household Travel</v>
      </c>
      <c r="D704">
        <f>'Unformatted Trip Summary'!D702</f>
        <v>22</v>
      </c>
      <c r="E704">
        <f>'Unformatted Trip Summary'!E702</f>
        <v>115</v>
      </c>
      <c r="F704" s="1">
        <f>'Unformatted Trip Summary'!F702</f>
        <v>5.4599503292999998</v>
      </c>
      <c r="G704" s="1">
        <f>'Unformatted Trip Summary'!G702</f>
        <v>100.96436647</v>
      </c>
      <c r="H704" s="1">
        <f>'Unformatted Trip Summary'!H702</f>
        <v>1.9758448391000001</v>
      </c>
    </row>
    <row r="705" spans="1:8" x14ac:dyDescent="0.2">
      <c r="A705" t="str">
        <f>'Unformatted Trip Summary'!A703</f>
        <v>09 WELLINGTON</v>
      </c>
      <c r="B705" t="str">
        <f>'Unformatted Trip Summary'!J703</f>
        <v>2017/18</v>
      </c>
      <c r="C705" t="str">
        <f>'Unformatted Trip Summary'!I703</f>
        <v>Non-Household Travel</v>
      </c>
      <c r="D705">
        <f>'Unformatted Trip Summary'!D703</f>
        <v>22</v>
      </c>
      <c r="E705">
        <f>'Unformatted Trip Summary'!E703</f>
        <v>115</v>
      </c>
      <c r="F705" s="1">
        <f>'Unformatted Trip Summary'!F703</f>
        <v>5.65413985</v>
      </c>
      <c r="G705" s="1">
        <f>'Unformatted Trip Summary'!G703</f>
        <v>114.8172015</v>
      </c>
      <c r="H705" s="1">
        <f>'Unformatted Trip Summary'!H703</f>
        <v>2.1944772420000001</v>
      </c>
    </row>
    <row r="706" spans="1:8" x14ac:dyDescent="0.2">
      <c r="A706" t="str">
        <f>'Unformatted Trip Summary'!A704</f>
        <v>09 WELLINGTON</v>
      </c>
      <c r="B706" t="str">
        <f>'Unformatted Trip Summary'!J704</f>
        <v>2022/23</v>
      </c>
      <c r="C706" t="str">
        <f>'Unformatted Trip Summary'!I704</f>
        <v>Non-Household Travel</v>
      </c>
      <c r="D706">
        <f>'Unformatted Trip Summary'!D704</f>
        <v>22</v>
      </c>
      <c r="E706">
        <f>'Unformatted Trip Summary'!E704</f>
        <v>115</v>
      </c>
      <c r="F706" s="1">
        <f>'Unformatted Trip Summary'!F704</f>
        <v>5.6992245069000003</v>
      </c>
      <c r="G706" s="1">
        <f>'Unformatted Trip Summary'!G704</f>
        <v>122.25507487</v>
      </c>
      <c r="H706" s="1">
        <f>'Unformatted Trip Summary'!H704</f>
        <v>2.3066151080999999</v>
      </c>
    </row>
    <row r="707" spans="1:8" x14ac:dyDescent="0.2">
      <c r="A707" t="str">
        <f>'Unformatted Trip Summary'!A705</f>
        <v>09 WELLINGTON</v>
      </c>
      <c r="B707" t="str">
        <f>'Unformatted Trip Summary'!J705</f>
        <v>2027/28</v>
      </c>
      <c r="C707" t="str">
        <f>'Unformatted Trip Summary'!I705</f>
        <v>Non-Household Travel</v>
      </c>
      <c r="D707">
        <f>'Unformatted Trip Summary'!D705</f>
        <v>22</v>
      </c>
      <c r="E707">
        <f>'Unformatted Trip Summary'!E705</f>
        <v>115</v>
      </c>
      <c r="F707" s="1">
        <f>'Unformatted Trip Summary'!F705</f>
        <v>5.6763564341999997</v>
      </c>
      <c r="G707" s="1">
        <f>'Unformatted Trip Summary'!G705</f>
        <v>124.13831163</v>
      </c>
      <c r="H707" s="1">
        <f>'Unformatted Trip Summary'!H705</f>
        <v>2.3245727718000002</v>
      </c>
    </row>
    <row r="708" spans="1:8" x14ac:dyDescent="0.2">
      <c r="A708" t="str">
        <f>'Unformatted Trip Summary'!A706</f>
        <v>09 WELLINGTON</v>
      </c>
      <c r="B708" t="str">
        <f>'Unformatted Trip Summary'!J706</f>
        <v>2032/33</v>
      </c>
      <c r="C708" t="str">
        <f>'Unformatted Trip Summary'!I706</f>
        <v>Non-Household Travel</v>
      </c>
      <c r="D708">
        <f>'Unformatted Trip Summary'!D706</f>
        <v>22</v>
      </c>
      <c r="E708">
        <f>'Unformatted Trip Summary'!E706</f>
        <v>115</v>
      </c>
      <c r="F708" s="1">
        <f>'Unformatted Trip Summary'!F706</f>
        <v>5.7491834899000001</v>
      </c>
      <c r="G708" s="1">
        <f>'Unformatted Trip Summary'!G706</f>
        <v>124.50463849</v>
      </c>
      <c r="H708" s="1">
        <f>'Unformatted Trip Summary'!H706</f>
        <v>2.3439009941000002</v>
      </c>
    </row>
    <row r="709" spans="1:8" x14ac:dyDescent="0.2">
      <c r="A709" t="str">
        <f>'Unformatted Trip Summary'!A707</f>
        <v>09 WELLINGTON</v>
      </c>
      <c r="B709" t="str">
        <f>'Unformatted Trip Summary'!J707</f>
        <v>2037/38</v>
      </c>
      <c r="C709" t="str">
        <f>'Unformatted Trip Summary'!I707</f>
        <v>Non-Household Travel</v>
      </c>
      <c r="D709">
        <f>'Unformatted Trip Summary'!D707</f>
        <v>22</v>
      </c>
      <c r="E709">
        <f>'Unformatted Trip Summary'!E707</f>
        <v>115</v>
      </c>
      <c r="F709" s="1">
        <f>'Unformatted Trip Summary'!F707</f>
        <v>5.9159738944000004</v>
      </c>
      <c r="G709" s="1">
        <f>'Unformatted Trip Summary'!G707</f>
        <v>126.89965497999999</v>
      </c>
      <c r="H709" s="1">
        <f>'Unformatted Trip Summary'!H707</f>
        <v>2.4143817348000001</v>
      </c>
    </row>
    <row r="710" spans="1:8" x14ac:dyDescent="0.2">
      <c r="A710" t="str">
        <f>'Unformatted Trip Summary'!A708</f>
        <v>09 WELLINGTON</v>
      </c>
      <c r="B710" t="str">
        <f>'Unformatted Trip Summary'!J708</f>
        <v>2042/43</v>
      </c>
      <c r="C710" t="str">
        <f>'Unformatted Trip Summary'!I708</f>
        <v>Non-Household Travel</v>
      </c>
      <c r="D710">
        <f>'Unformatted Trip Summary'!D708</f>
        <v>22</v>
      </c>
      <c r="E710">
        <f>'Unformatted Trip Summary'!E708</f>
        <v>115</v>
      </c>
      <c r="F710" s="1">
        <f>'Unformatted Trip Summary'!F708</f>
        <v>6.1043932312999996</v>
      </c>
      <c r="G710" s="1">
        <f>'Unformatted Trip Summary'!G708</f>
        <v>129.52517130999999</v>
      </c>
      <c r="H710" s="1">
        <f>'Unformatted Trip Summary'!H708</f>
        <v>2.4895480445999998</v>
      </c>
    </row>
    <row r="711" spans="1:8" x14ac:dyDescent="0.2">
      <c r="A711" t="str">
        <f>'Unformatted Trip Summary'!A709</f>
        <v>10 NELS-MARLB-TAS</v>
      </c>
      <c r="B711" t="str">
        <f>'Unformatted Trip Summary'!J709</f>
        <v>2012/13</v>
      </c>
      <c r="C711" t="str">
        <f>'Unformatted Trip Summary'!I709</f>
        <v>Pedestrian</v>
      </c>
      <c r="D711">
        <f>'Unformatted Trip Summary'!D709</f>
        <v>333</v>
      </c>
      <c r="E711">
        <f>'Unformatted Trip Summary'!E709</f>
        <v>1184</v>
      </c>
      <c r="F711" s="1">
        <f>'Unformatted Trip Summary'!F709</f>
        <v>34.609993433</v>
      </c>
      <c r="G711" s="1">
        <f>'Unformatted Trip Summary'!G709</f>
        <v>28.582749250999999</v>
      </c>
      <c r="H711" s="1">
        <f>'Unformatted Trip Summary'!H709</f>
        <v>7.2640217022</v>
      </c>
    </row>
    <row r="712" spans="1:8" x14ac:dyDescent="0.2">
      <c r="A712" t="str">
        <f>'Unformatted Trip Summary'!A710</f>
        <v>10 NELS-MARLB-TAS</v>
      </c>
      <c r="B712" t="str">
        <f>'Unformatted Trip Summary'!J710</f>
        <v>2017/18</v>
      </c>
      <c r="C712" t="str">
        <f>'Unformatted Trip Summary'!I710</f>
        <v>Pedestrian</v>
      </c>
      <c r="D712">
        <f>'Unformatted Trip Summary'!D710</f>
        <v>333</v>
      </c>
      <c r="E712">
        <f>'Unformatted Trip Summary'!E710</f>
        <v>1184</v>
      </c>
      <c r="F712" s="1">
        <f>'Unformatted Trip Summary'!F710</f>
        <v>35.739429977</v>
      </c>
      <c r="G712" s="1">
        <f>'Unformatted Trip Summary'!G710</f>
        <v>29.487039233000001</v>
      </c>
      <c r="H712" s="1">
        <f>'Unformatted Trip Summary'!H710</f>
        <v>7.4869509170999997</v>
      </c>
    </row>
    <row r="713" spans="1:8" x14ac:dyDescent="0.2">
      <c r="A713" t="str">
        <f>'Unformatted Trip Summary'!A711</f>
        <v>10 NELS-MARLB-TAS</v>
      </c>
      <c r="B713" t="str">
        <f>'Unformatted Trip Summary'!J711</f>
        <v>2022/23</v>
      </c>
      <c r="C713" t="str">
        <f>'Unformatted Trip Summary'!I711</f>
        <v>Pedestrian</v>
      </c>
      <c r="D713">
        <f>'Unformatted Trip Summary'!D711</f>
        <v>333</v>
      </c>
      <c r="E713">
        <f>'Unformatted Trip Summary'!E711</f>
        <v>1184</v>
      </c>
      <c r="F713" s="1">
        <f>'Unformatted Trip Summary'!F711</f>
        <v>36.836215271999997</v>
      </c>
      <c r="G713" s="1">
        <f>'Unformatted Trip Summary'!G711</f>
        <v>30.493250413999998</v>
      </c>
      <c r="H713" s="1">
        <f>'Unformatted Trip Summary'!H711</f>
        <v>7.7382291097999998</v>
      </c>
    </row>
    <row r="714" spans="1:8" x14ac:dyDescent="0.2">
      <c r="A714" t="str">
        <f>'Unformatted Trip Summary'!A712</f>
        <v>10 NELS-MARLB-TAS</v>
      </c>
      <c r="B714" t="str">
        <f>'Unformatted Trip Summary'!J712</f>
        <v>2027/28</v>
      </c>
      <c r="C714" t="str">
        <f>'Unformatted Trip Summary'!I712</f>
        <v>Pedestrian</v>
      </c>
      <c r="D714">
        <f>'Unformatted Trip Summary'!D712</f>
        <v>333</v>
      </c>
      <c r="E714">
        <f>'Unformatted Trip Summary'!E712</f>
        <v>1184</v>
      </c>
      <c r="F714" s="1">
        <f>'Unformatted Trip Summary'!F712</f>
        <v>37.991627766000001</v>
      </c>
      <c r="G714" s="1">
        <f>'Unformatted Trip Summary'!G712</f>
        <v>31.764734746999999</v>
      </c>
      <c r="H714" s="1">
        <f>'Unformatted Trip Summary'!H712</f>
        <v>8.0388537298999996</v>
      </c>
    </row>
    <row r="715" spans="1:8" x14ac:dyDescent="0.2">
      <c r="A715" t="str">
        <f>'Unformatted Trip Summary'!A713</f>
        <v>10 NELS-MARLB-TAS</v>
      </c>
      <c r="B715" t="str">
        <f>'Unformatted Trip Summary'!J713</f>
        <v>2032/33</v>
      </c>
      <c r="C715" t="str">
        <f>'Unformatted Trip Summary'!I713</f>
        <v>Pedestrian</v>
      </c>
      <c r="D715">
        <f>'Unformatted Trip Summary'!D713</f>
        <v>333</v>
      </c>
      <c r="E715">
        <f>'Unformatted Trip Summary'!E713</f>
        <v>1184</v>
      </c>
      <c r="F715" s="1">
        <f>'Unformatted Trip Summary'!F713</f>
        <v>38.390554428999998</v>
      </c>
      <c r="G715" s="1">
        <f>'Unformatted Trip Summary'!G713</f>
        <v>32.467291529000001</v>
      </c>
      <c r="H715" s="1">
        <f>'Unformatted Trip Summary'!H713</f>
        <v>8.1712114590000002</v>
      </c>
    </row>
    <row r="716" spans="1:8" x14ac:dyDescent="0.2">
      <c r="A716" t="str">
        <f>'Unformatted Trip Summary'!A714</f>
        <v>10 NELS-MARLB-TAS</v>
      </c>
      <c r="B716" t="str">
        <f>'Unformatted Trip Summary'!J714</f>
        <v>2037/38</v>
      </c>
      <c r="C716" t="str">
        <f>'Unformatted Trip Summary'!I714</f>
        <v>Pedestrian</v>
      </c>
      <c r="D716">
        <f>'Unformatted Trip Summary'!D714</f>
        <v>333</v>
      </c>
      <c r="E716">
        <f>'Unformatted Trip Summary'!E714</f>
        <v>1184</v>
      </c>
      <c r="F716" s="1">
        <f>'Unformatted Trip Summary'!F714</f>
        <v>38.361479203000002</v>
      </c>
      <c r="G716" s="1">
        <f>'Unformatted Trip Summary'!G714</f>
        <v>32.538125057999999</v>
      </c>
      <c r="H716" s="1">
        <f>'Unformatted Trip Summary'!H714</f>
        <v>8.1488084288000007</v>
      </c>
    </row>
    <row r="717" spans="1:8" x14ac:dyDescent="0.2">
      <c r="A717" t="str">
        <f>'Unformatted Trip Summary'!A715</f>
        <v>10 NELS-MARLB-TAS</v>
      </c>
      <c r="B717" t="str">
        <f>'Unformatted Trip Summary'!J715</f>
        <v>2042/43</v>
      </c>
      <c r="C717" t="str">
        <f>'Unformatted Trip Summary'!I715</f>
        <v>Pedestrian</v>
      </c>
      <c r="D717">
        <f>'Unformatted Trip Summary'!D715</f>
        <v>333</v>
      </c>
      <c r="E717">
        <f>'Unformatted Trip Summary'!E715</f>
        <v>1184</v>
      </c>
      <c r="F717" s="1">
        <f>'Unformatted Trip Summary'!F715</f>
        <v>38.169145102000002</v>
      </c>
      <c r="G717" s="1">
        <f>'Unformatted Trip Summary'!G715</f>
        <v>32.44515225</v>
      </c>
      <c r="H717" s="1">
        <f>'Unformatted Trip Summary'!H715</f>
        <v>8.0772329497000008</v>
      </c>
    </row>
    <row r="718" spans="1:8" x14ac:dyDescent="0.2">
      <c r="A718" t="str">
        <f>'Unformatted Trip Summary'!A716</f>
        <v>10 NELS-MARLB-TAS</v>
      </c>
      <c r="B718" t="str">
        <f>'Unformatted Trip Summary'!J716</f>
        <v>2012/13</v>
      </c>
      <c r="C718" t="str">
        <f>'Unformatted Trip Summary'!I716</f>
        <v>Cyclist</v>
      </c>
      <c r="D718">
        <f>'Unformatted Trip Summary'!D716</f>
        <v>42</v>
      </c>
      <c r="E718">
        <f>'Unformatted Trip Summary'!E716</f>
        <v>121</v>
      </c>
      <c r="F718" s="1">
        <f>'Unformatted Trip Summary'!F716</f>
        <v>2.9519642961999999</v>
      </c>
      <c r="G718" s="1">
        <f>'Unformatted Trip Summary'!G716</f>
        <v>10.809874027999999</v>
      </c>
      <c r="H718" s="1">
        <f>'Unformatted Trip Summary'!H716</f>
        <v>1.0417220854</v>
      </c>
    </row>
    <row r="719" spans="1:8" x14ac:dyDescent="0.2">
      <c r="A719" t="str">
        <f>'Unformatted Trip Summary'!A717</f>
        <v>10 NELS-MARLB-TAS</v>
      </c>
      <c r="B719" t="str">
        <f>'Unformatted Trip Summary'!J717</f>
        <v>2017/18</v>
      </c>
      <c r="C719" t="str">
        <f>'Unformatted Trip Summary'!I717</f>
        <v>Cyclist</v>
      </c>
      <c r="D719">
        <f>'Unformatted Trip Summary'!D717</f>
        <v>42</v>
      </c>
      <c r="E719">
        <f>'Unformatted Trip Summary'!E717</f>
        <v>121</v>
      </c>
      <c r="F719" s="1">
        <f>'Unformatted Trip Summary'!F717</f>
        <v>2.9272629232999998</v>
      </c>
      <c r="G719" s="1">
        <f>'Unformatted Trip Summary'!G717</f>
        <v>11.025910378000001</v>
      </c>
      <c r="H719" s="1">
        <f>'Unformatted Trip Summary'!H717</f>
        <v>1.0512672296000001</v>
      </c>
    </row>
    <row r="720" spans="1:8" x14ac:dyDescent="0.2">
      <c r="A720" t="str">
        <f>'Unformatted Trip Summary'!A718</f>
        <v>10 NELS-MARLB-TAS</v>
      </c>
      <c r="B720" t="str">
        <f>'Unformatted Trip Summary'!J718</f>
        <v>2022/23</v>
      </c>
      <c r="C720" t="str">
        <f>'Unformatted Trip Summary'!I718</f>
        <v>Cyclist</v>
      </c>
      <c r="D720">
        <f>'Unformatted Trip Summary'!D718</f>
        <v>42</v>
      </c>
      <c r="E720">
        <f>'Unformatted Trip Summary'!E718</f>
        <v>121</v>
      </c>
      <c r="F720" s="1">
        <f>'Unformatted Trip Summary'!F718</f>
        <v>2.9601852376000002</v>
      </c>
      <c r="G720" s="1">
        <f>'Unformatted Trip Summary'!G718</f>
        <v>11.263563236</v>
      </c>
      <c r="H720" s="1">
        <f>'Unformatted Trip Summary'!H718</f>
        <v>1.0825931442000001</v>
      </c>
    </row>
    <row r="721" spans="1:8" x14ac:dyDescent="0.2">
      <c r="A721" t="str">
        <f>'Unformatted Trip Summary'!A719</f>
        <v>10 NELS-MARLB-TAS</v>
      </c>
      <c r="B721" t="str">
        <f>'Unformatted Trip Summary'!J719</f>
        <v>2027/28</v>
      </c>
      <c r="C721" t="str">
        <f>'Unformatted Trip Summary'!I719</f>
        <v>Cyclist</v>
      </c>
      <c r="D721">
        <f>'Unformatted Trip Summary'!D719</f>
        <v>42</v>
      </c>
      <c r="E721">
        <f>'Unformatted Trip Summary'!E719</f>
        <v>121</v>
      </c>
      <c r="F721" s="1">
        <f>'Unformatted Trip Summary'!F719</f>
        <v>3.0514857581000001</v>
      </c>
      <c r="G721" s="1">
        <f>'Unformatted Trip Summary'!G719</f>
        <v>11.436236825</v>
      </c>
      <c r="H721" s="1">
        <f>'Unformatted Trip Summary'!H719</f>
        <v>1.1176479324999999</v>
      </c>
    </row>
    <row r="722" spans="1:8" x14ac:dyDescent="0.2">
      <c r="A722" t="str">
        <f>'Unformatted Trip Summary'!A720</f>
        <v>10 NELS-MARLB-TAS</v>
      </c>
      <c r="B722" t="str">
        <f>'Unformatted Trip Summary'!J720</f>
        <v>2032/33</v>
      </c>
      <c r="C722" t="str">
        <f>'Unformatted Trip Summary'!I720</f>
        <v>Cyclist</v>
      </c>
      <c r="D722">
        <f>'Unformatted Trip Summary'!D720</f>
        <v>42</v>
      </c>
      <c r="E722">
        <f>'Unformatted Trip Summary'!E720</f>
        <v>121</v>
      </c>
      <c r="F722" s="1">
        <f>'Unformatted Trip Summary'!F720</f>
        <v>3.1478205416999998</v>
      </c>
      <c r="G722" s="1">
        <f>'Unformatted Trip Summary'!G720</f>
        <v>11.750432175</v>
      </c>
      <c r="H722" s="1">
        <f>'Unformatted Trip Summary'!H720</f>
        <v>1.1480287511</v>
      </c>
    </row>
    <row r="723" spans="1:8" x14ac:dyDescent="0.2">
      <c r="A723" t="str">
        <f>'Unformatted Trip Summary'!A721</f>
        <v>10 NELS-MARLB-TAS</v>
      </c>
      <c r="B723" t="str">
        <f>'Unformatted Trip Summary'!J721</f>
        <v>2037/38</v>
      </c>
      <c r="C723" t="str">
        <f>'Unformatted Trip Summary'!I721</f>
        <v>Cyclist</v>
      </c>
      <c r="D723">
        <f>'Unformatted Trip Summary'!D721</f>
        <v>42</v>
      </c>
      <c r="E723">
        <f>'Unformatted Trip Summary'!E721</f>
        <v>121</v>
      </c>
      <c r="F723" s="1">
        <f>'Unformatted Trip Summary'!F721</f>
        <v>3.2322538525</v>
      </c>
      <c r="G723" s="1">
        <f>'Unformatted Trip Summary'!G721</f>
        <v>12.267119198</v>
      </c>
      <c r="H723" s="1">
        <f>'Unformatted Trip Summary'!H721</f>
        <v>1.1823073119</v>
      </c>
    </row>
    <row r="724" spans="1:8" x14ac:dyDescent="0.2">
      <c r="A724" t="str">
        <f>'Unformatted Trip Summary'!A722</f>
        <v>10 NELS-MARLB-TAS</v>
      </c>
      <c r="B724" t="str">
        <f>'Unformatted Trip Summary'!J722</f>
        <v>2042/43</v>
      </c>
      <c r="C724" t="str">
        <f>'Unformatted Trip Summary'!I722</f>
        <v>Cyclist</v>
      </c>
      <c r="D724">
        <f>'Unformatted Trip Summary'!D722</f>
        <v>42</v>
      </c>
      <c r="E724">
        <f>'Unformatted Trip Summary'!E722</f>
        <v>121</v>
      </c>
      <c r="F724" s="1">
        <f>'Unformatted Trip Summary'!F722</f>
        <v>3.3078283426000001</v>
      </c>
      <c r="G724" s="1">
        <f>'Unformatted Trip Summary'!G722</f>
        <v>12.799462023</v>
      </c>
      <c r="H724" s="1">
        <f>'Unformatted Trip Summary'!H722</f>
        <v>1.2148336276</v>
      </c>
    </row>
    <row r="725" spans="1:8" x14ac:dyDescent="0.2">
      <c r="A725" t="str">
        <f>'Unformatted Trip Summary'!A723</f>
        <v>10 NELS-MARLB-TAS</v>
      </c>
      <c r="B725" t="str">
        <f>'Unformatted Trip Summary'!J723</f>
        <v>2012/13</v>
      </c>
      <c r="C725" t="str">
        <f>'Unformatted Trip Summary'!I723</f>
        <v>Light Vehicle Driver</v>
      </c>
      <c r="D725">
        <f>'Unformatted Trip Summary'!D723</f>
        <v>480</v>
      </c>
      <c r="E725">
        <f>'Unformatted Trip Summary'!E723</f>
        <v>3377</v>
      </c>
      <c r="F725" s="1">
        <f>'Unformatted Trip Summary'!F723</f>
        <v>98.206986838999995</v>
      </c>
      <c r="G725" s="1">
        <f>'Unformatted Trip Summary'!G723</f>
        <v>1012.1329009999999</v>
      </c>
      <c r="H725" s="1">
        <f>'Unformatted Trip Summary'!H723</f>
        <v>23.635435057999999</v>
      </c>
    </row>
    <row r="726" spans="1:8" x14ac:dyDescent="0.2">
      <c r="A726" t="str">
        <f>'Unformatted Trip Summary'!A724</f>
        <v>10 NELS-MARLB-TAS</v>
      </c>
      <c r="B726" t="str">
        <f>'Unformatted Trip Summary'!J724</f>
        <v>2017/18</v>
      </c>
      <c r="C726" t="str">
        <f>'Unformatted Trip Summary'!I724</f>
        <v>Light Vehicle Driver</v>
      </c>
      <c r="D726">
        <f>'Unformatted Trip Summary'!D724</f>
        <v>480</v>
      </c>
      <c r="E726">
        <f>'Unformatted Trip Summary'!E724</f>
        <v>3377</v>
      </c>
      <c r="F726" s="1">
        <f>'Unformatted Trip Summary'!F724</f>
        <v>101.90443017</v>
      </c>
      <c r="G726" s="1">
        <f>'Unformatted Trip Summary'!G724</f>
        <v>1039.4358823</v>
      </c>
      <c r="H726" s="1">
        <f>'Unformatted Trip Summary'!H724</f>
        <v>24.440879338999999</v>
      </c>
    </row>
    <row r="727" spans="1:8" x14ac:dyDescent="0.2">
      <c r="A727" t="str">
        <f>'Unformatted Trip Summary'!A725</f>
        <v>10 NELS-MARLB-TAS</v>
      </c>
      <c r="B727" t="str">
        <f>'Unformatted Trip Summary'!J725</f>
        <v>2022/23</v>
      </c>
      <c r="C727" t="str">
        <f>'Unformatted Trip Summary'!I725</f>
        <v>Light Vehicle Driver</v>
      </c>
      <c r="D727">
        <f>'Unformatted Trip Summary'!D725</f>
        <v>480</v>
      </c>
      <c r="E727">
        <f>'Unformatted Trip Summary'!E725</f>
        <v>3377</v>
      </c>
      <c r="F727" s="1">
        <f>'Unformatted Trip Summary'!F725</f>
        <v>104.04353268</v>
      </c>
      <c r="G727" s="1">
        <f>'Unformatted Trip Summary'!G725</f>
        <v>1047.1023041999999</v>
      </c>
      <c r="H727" s="1">
        <f>'Unformatted Trip Summary'!H725</f>
        <v>24.816542319</v>
      </c>
    </row>
    <row r="728" spans="1:8" x14ac:dyDescent="0.2">
      <c r="A728" t="str">
        <f>'Unformatted Trip Summary'!A726</f>
        <v>10 NELS-MARLB-TAS</v>
      </c>
      <c r="B728" t="str">
        <f>'Unformatted Trip Summary'!J726</f>
        <v>2027/28</v>
      </c>
      <c r="C728" t="str">
        <f>'Unformatted Trip Summary'!I726</f>
        <v>Light Vehicle Driver</v>
      </c>
      <c r="D728">
        <f>'Unformatted Trip Summary'!D726</f>
        <v>480</v>
      </c>
      <c r="E728">
        <f>'Unformatted Trip Summary'!E726</f>
        <v>3377</v>
      </c>
      <c r="F728" s="1">
        <f>'Unformatted Trip Summary'!F726</f>
        <v>105.11237644000001</v>
      </c>
      <c r="G728" s="1">
        <f>'Unformatted Trip Summary'!G726</f>
        <v>1038.5408978999999</v>
      </c>
      <c r="H728" s="1">
        <f>'Unformatted Trip Summary'!H726</f>
        <v>24.826557576999999</v>
      </c>
    </row>
    <row r="729" spans="1:8" x14ac:dyDescent="0.2">
      <c r="A729" t="str">
        <f>'Unformatted Trip Summary'!A727</f>
        <v>10 NELS-MARLB-TAS</v>
      </c>
      <c r="B729" t="str">
        <f>'Unformatted Trip Summary'!J727</f>
        <v>2032/33</v>
      </c>
      <c r="C729" t="str">
        <f>'Unformatted Trip Summary'!I727</f>
        <v>Light Vehicle Driver</v>
      </c>
      <c r="D729">
        <f>'Unformatted Trip Summary'!D727</f>
        <v>480</v>
      </c>
      <c r="E729">
        <f>'Unformatted Trip Summary'!E727</f>
        <v>3377</v>
      </c>
      <c r="F729" s="1">
        <f>'Unformatted Trip Summary'!F727</f>
        <v>106.04870525</v>
      </c>
      <c r="G729" s="1">
        <f>'Unformatted Trip Summary'!G727</f>
        <v>1029.0749077999999</v>
      </c>
      <c r="H729" s="1">
        <f>'Unformatted Trip Summary'!H727</f>
        <v>24.775649181999999</v>
      </c>
    </row>
    <row r="730" spans="1:8" x14ac:dyDescent="0.2">
      <c r="A730" t="str">
        <f>'Unformatted Trip Summary'!A728</f>
        <v>10 NELS-MARLB-TAS</v>
      </c>
      <c r="B730" t="str">
        <f>'Unformatted Trip Summary'!J728</f>
        <v>2037/38</v>
      </c>
      <c r="C730" t="str">
        <f>'Unformatted Trip Summary'!I728</f>
        <v>Light Vehicle Driver</v>
      </c>
      <c r="D730">
        <f>'Unformatted Trip Summary'!D728</f>
        <v>480</v>
      </c>
      <c r="E730">
        <f>'Unformatted Trip Summary'!E728</f>
        <v>3377</v>
      </c>
      <c r="F730" s="1">
        <f>'Unformatted Trip Summary'!F728</f>
        <v>106.01700341999999</v>
      </c>
      <c r="G730" s="1">
        <f>'Unformatted Trip Summary'!G728</f>
        <v>1012.2548518</v>
      </c>
      <c r="H730" s="1">
        <f>'Unformatted Trip Summary'!H728</f>
        <v>24.540691998</v>
      </c>
    </row>
    <row r="731" spans="1:8" x14ac:dyDescent="0.2">
      <c r="A731" t="str">
        <f>'Unformatted Trip Summary'!A729</f>
        <v>10 NELS-MARLB-TAS</v>
      </c>
      <c r="B731" t="str">
        <f>'Unformatted Trip Summary'!J729</f>
        <v>2042/43</v>
      </c>
      <c r="C731" t="str">
        <f>'Unformatted Trip Summary'!I729</f>
        <v>Light Vehicle Driver</v>
      </c>
      <c r="D731">
        <f>'Unformatted Trip Summary'!D729</f>
        <v>480</v>
      </c>
      <c r="E731">
        <f>'Unformatted Trip Summary'!E729</f>
        <v>3377</v>
      </c>
      <c r="F731" s="1">
        <f>'Unformatted Trip Summary'!F729</f>
        <v>105.69000303</v>
      </c>
      <c r="G731" s="1">
        <f>'Unformatted Trip Summary'!G729</f>
        <v>993.79964559999996</v>
      </c>
      <c r="H731" s="1">
        <f>'Unformatted Trip Summary'!H729</f>
        <v>24.24987733</v>
      </c>
    </row>
    <row r="732" spans="1:8" x14ac:dyDescent="0.2">
      <c r="A732" t="str">
        <f>'Unformatted Trip Summary'!A730</f>
        <v>10 NELS-MARLB-TAS</v>
      </c>
      <c r="B732" t="str">
        <f>'Unformatted Trip Summary'!J730</f>
        <v>2012/13</v>
      </c>
      <c r="C732" t="str">
        <f>'Unformatted Trip Summary'!I730</f>
        <v>Light Vehicle Passenger</v>
      </c>
      <c r="D732">
        <f>'Unformatted Trip Summary'!D730</f>
        <v>346</v>
      </c>
      <c r="E732">
        <f>'Unformatted Trip Summary'!E730</f>
        <v>1569</v>
      </c>
      <c r="F732" s="1">
        <f>'Unformatted Trip Summary'!F730</f>
        <v>45.895773310999999</v>
      </c>
      <c r="G732" s="1">
        <f>'Unformatted Trip Summary'!G730</f>
        <v>528.66856442999995</v>
      </c>
      <c r="H732" s="1">
        <f>'Unformatted Trip Summary'!H730</f>
        <v>11.910351560000001</v>
      </c>
    </row>
    <row r="733" spans="1:8" x14ac:dyDescent="0.2">
      <c r="A733" t="str">
        <f>'Unformatted Trip Summary'!A731</f>
        <v>10 NELS-MARLB-TAS</v>
      </c>
      <c r="B733" t="str">
        <f>'Unformatted Trip Summary'!J731</f>
        <v>2017/18</v>
      </c>
      <c r="C733" t="str">
        <f>'Unformatted Trip Summary'!I731</f>
        <v>Light Vehicle Passenger</v>
      </c>
      <c r="D733">
        <f>'Unformatted Trip Summary'!D731</f>
        <v>346</v>
      </c>
      <c r="E733">
        <f>'Unformatted Trip Summary'!E731</f>
        <v>1569</v>
      </c>
      <c r="F733" s="1">
        <f>'Unformatted Trip Summary'!F731</f>
        <v>45.364700202999998</v>
      </c>
      <c r="G733" s="1">
        <f>'Unformatted Trip Summary'!G731</f>
        <v>523.16512147000003</v>
      </c>
      <c r="H733" s="1">
        <f>'Unformatted Trip Summary'!H731</f>
        <v>11.856549141</v>
      </c>
    </row>
    <row r="734" spans="1:8" x14ac:dyDescent="0.2">
      <c r="A734" t="str">
        <f>'Unformatted Trip Summary'!A732</f>
        <v>10 NELS-MARLB-TAS</v>
      </c>
      <c r="B734" t="str">
        <f>'Unformatted Trip Summary'!J732</f>
        <v>2022/23</v>
      </c>
      <c r="C734" t="str">
        <f>'Unformatted Trip Summary'!I732</f>
        <v>Light Vehicle Passenger</v>
      </c>
      <c r="D734">
        <f>'Unformatted Trip Summary'!D732</f>
        <v>346</v>
      </c>
      <c r="E734">
        <f>'Unformatted Trip Summary'!E732</f>
        <v>1569</v>
      </c>
      <c r="F734" s="1">
        <f>'Unformatted Trip Summary'!F732</f>
        <v>44.728948893000002</v>
      </c>
      <c r="G734" s="1">
        <f>'Unformatted Trip Summary'!G732</f>
        <v>514.45301027999994</v>
      </c>
      <c r="H734" s="1">
        <f>'Unformatted Trip Summary'!H732</f>
        <v>11.753762188</v>
      </c>
    </row>
    <row r="735" spans="1:8" x14ac:dyDescent="0.2">
      <c r="A735" t="str">
        <f>'Unformatted Trip Summary'!A733</f>
        <v>10 NELS-MARLB-TAS</v>
      </c>
      <c r="B735" t="str">
        <f>'Unformatted Trip Summary'!J733</f>
        <v>2027/28</v>
      </c>
      <c r="C735" t="str">
        <f>'Unformatted Trip Summary'!I733</f>
        <v>Light Vehicle Passenger</v>
      </c>
      <c r="D735">
        <f>'Unformatted Trip Summary'!D733</f>
        <v>346</v>
      </c>
      <c r="E735">
        <f>'Unformatted Trip Summary'!E733</f>
        <v>1569</v>
      </c>
      <c r="F735" s="1">
        <f>'Unformatted Trip Summary'!F733</f>
        <v>44.073514424999999</v>
      </c>
      <c r="G735" s="1">
        <f>'Unformatted Trip Summary'!G733</f>
        <v>507.56907154999999</v>
      </c>
      <c r="H735" s="1">
        <f>'Unformatted Trip Summary'!H733</f>
        <v>11.651296749</v>
      </c>
    </row>
    <row r="736" spans="1:8" x14ac:dyDescent="0.2">
      <c r="A736" t="str">
        <f>'Unformatted Trip Summary'!A734</f>
        <v>10 NELS-MARLB-TAS</v>
      </c>
      <c r="B736" t="str">
        <f>'Unformatted Trip Summary'!J734</f>
        <v>2032/33</v>
      </c>
      <c r="C736" t="str">
        <f>'Unformatted Trip Summary'!I734</f>
        <v>Light Vehicle Passenger</v>
      </c>
      <c r="D736">
        <f>'Unformatted Trip Summary'!D734</f>
        <v>346</v>
      </c>
      <c r="E736">
        <f>'Unformatted Trip Summary'!E734</f>
        <v>1569</v>
      </c>
      <c r="F736" s="1">
        <f>'Unformatted Trip Summary'!F734</f>
        <v>42.974961794999999</v>
      </c>
      <c r="G736" s="1">
        <f>'Unformatted Trip Summary'!G734</f>
        <v>496.85654599999998</v>
      </c>
      <c r="H736" s="1">
        <f>'Unformatted Trip Summary'!H734</f>
        <v>11.406632253</v>
      </c>
    </row>
    <row r="737" spans="1:8" x14ac:dyDescent="0.2">
      <c r="A737" t="str">
        <f>'Unformatted Trip Summary'!A735</f>
        <v>10 NELS-MARLB-TAS</v>
      </c>
      <c r="B737" t="str">
        <f>'Unformatted Trip Summary'!J735</f>
        <v>2037/38</v>
      </c>
      <c r="C737" t="str">
        <f>'Unformatted Trip Summary'!I735</f>
        <v>Light Vehicle Passenger</v>
      </c>
      <c r="D737">
        <f>'Unformatted Trip Summary'!D735</f>
        <v>346</v>
      </c>
      <c r="E737">
        <f>'Unformatted Trip Summary'!E735</f>
        <v>1569</v>
      </c>
      <c r="F737" s="1">
        <f>'Unformatted Trip Summary'!F735</f>
        <v>41.782343599999997</v>
      </c>
      <c r="G737" s="1">
        <f>'Unformatted Trip Summary'!G735</f>
        <v>479.67705539999997</v>
      </c>
      <c r="H737" s="1">
        <f>'Unformatted Trip Summary'!H735</f>
        <v>11.055537635</v>
      </c>
    </row>
    <row r="738" spans="1:8" x14ac:dyDescent="0.2">
      <c r="A738" t="str">
        <f>'Unformatted Trip Summary'!A736</f>
        <v>10 NELS-MARLB-TAS</v>
      </c>
      <c r="B738" t="str">
        <f>'Unformatted Trip Summary'!J736</f>
        <v>2042/43</v>
      </c>
      <c r="C738" t="str">
        <f>'Unformatted Trip Summary'!I736</f>
        <v>Light Vehicle Passenger</v>
      </c>
      <c r="D738">
        <f>'Unformatted Trip Summary'!D736</f>
        <v>346</v>
      </c>
      <c r="E738">
        <f>'Unformatted Trip Summary'!E736</f>
        <v>1569</v>
      </c>
      <c r="F738" s="1">
        <f>'Unformatted Trip Summary'!F736</f>
        <v>40.470879342000003</v>
      </c>
      <c r="G738" s="1">
        <f>'Unformatted Trip Summary'!G736</f>
        <v>461.58232865999997</v>
      </c>
      <c r="H738" s="1">
        <f>'Unformatted Trip Summary'!H736</f>
        <v>10.676194917</v>
      </c>
    </row>
    <row r="739" spans="1:8" x14ac:dyDescent="0.2">
      <c r="A739" t="str">
        <f>'Unformatted Trip Summary'!A737</f>
        <v>10 NELS-MARLB-TAS</v>
      </c>
      <c r="B739" t="str">
        <f>'Unformatted Trip Summary'!J737</f>
        <v>2012/13</v>
      </c>
      <c r="C739" t="str">
        <f>'Unformatted Trip Summary'!I737</f>
        <v>Taxi/Vehicle Share</v>
      </c>
      <c r="D739">
        <f>'Unformatted Trip Summary'!D737</f>
        <v>9</v>
      </c>
      <c r="E739">
        <f>'Unformatted Trip Summary'!E737</f>
        <v>16</v>
      </c>
      <c r="F739" s="1">
        <f>'Unformatted Trip Summary'!F737</f>
        <v>0.40359339709999997</v>
      </c>
      <c r="G739" s="1">
        <f>'Unformatted Trip Summary'!G737</f>
        <v>2.5483198348</v>
      </c>
      <c r="H739" s="1">
        <f>'Unformatted Trip Summary'!H737</f>
        <v>8.1526233300000001E-2</v>
      </c>
    </row>
    <row r="740" spans="1:8" x14ac:dyDescent="0.2">
      <c r="A740" t="str">
        <f>'Unformatted Trip Summary'!A738</f>
        <v>10 NELS-MARLB-TAS</v>
      </c>
      <c r="B740" t="str">
        <f>'Unformatted Trip Summary'!J738</f>
        <v>2017/18</v>
      </c>
      <c r="C740" t="str">
        <f>'Unformatted Trip Summary'!I738</f>
        <v>Taxi/Vehicle Share</v>
      </c>
      <c r="D740">
        <f>'Unformatted Trip Summary'!D738</f>
        <v>9</v>
      </c>
      <c r="E740">
        <f>'Unformatted Trip Summary'!E738</f>
        <v>16</v>
      </c>
      <c r="F740" s="1">
        <f>'Unformatted Trip Summary'!F738</f>
        <v>0.48413812909999998</v>
      </c>
      <c r="G740" s="1">
        <f>'Unformatted Trip Summary'!G738</f>
        <v>2.9184411004999999</v>
      </c>
      <c r="H740" s="1">
        <f>'Unformatted Trip Summary'!H738</f>
        <v>9.5882577699999999E-2</v>
      </c>
    </row>
    <row r="741" spans="1:8" x14ac:dyDescent="0.2">
      <c r="A741" t="str">
        <f>'Unformatted Trip Summary'!A739</f>
        <v>10 NELS-MARLB-TAS</v>
      </c>
      <c r="B741" t="str">
        <f>'Unformatted Trip Summary'!J739</f>
        <v>2022/23</v>
      </c>
      <c r="C741" t="str">
        <f>'Unformatted Trip Summary'!I739</f>
        <v>Taxi/Vehicle Share</v>
      </c>
      <c r="D741">
        <f>'Unformatted Trip Summary'!D739</f>
        <v>9</v>
      </c>
      <c r="E741">
        <f>'Unformatted Trip Summary'!E739</f>
        <v>16</v>
      </c>
      <c r="F741" s="1">
        <f>'Unformatted Trip Summary'!F739</f>
        <v>0.56193139650000001</v>
      </c>
      <c r="G741" s="1">
        <f>'Unformatted Trip Summary'!G739</f>
        <v>3.1743211404</v>
      </c>
      <c r="H741" s="1">
        <f>'Unformatted Trip Summary'!H739</f>
        <v>0.10908681119999999</v>
      </c>
    </row>
    <row r="742" spans="1:8" x14ac:dyDescent="0.2">
      <c r="A742" t="str">
        <f>'Unformatted Trip Summary'!A740</f>
        <v>10 NELS-MARLB-TAS</v>
      </c>
      <c r="B742" t="str">
        <f>'Unformatted Trip Summary'!J740</f>
        <v>2027/28</v>
      </c>
      <c r="C742" t="str">
        <f>'Unformatted Trip Summary'!I740</f>
        <v>Taxi/Vehicle Share</v>
      </c>
      <c r="D742">
        <f>'Unformatted Trip Summary'!D740</f>
        <v>9</v>
      </c>
      <c r="E742">
        <f>'Unformatted Trip Summary'!E740</f>
        <v>16</v>
      </c>
      <c r="F742" s="1">
        <f>'Unformatted Trip Summary'!F740</f>
        <v>0.62154304019999995</v>
      </c>
      <c r="G742" s="1">
        <f>'Unformatted Trip Summary'!G740</f>
        <v>3.2982721249</v>
      </c>
      <c r="H742" s="1">
        <f>'Unformatted Trip Summary'!H740</f>
        <v>0.1187521423</v>
      </c>
    </row>
    <row r="743" spans="1:8" x14ac:dyDescent="0.2">
      <c r="A743" t="str">
        <f>'Unformatted Trip Summary'!A741</f>
        <v>10 NELS-MARLB-TAS</v>
      </c>
      <c r="B743" t="str">
        <f>'Unformatted Trip Summary'!J741</f>
        <v>2032/33</v>
      </c>
      <c r="C743" t="str">
        <f>'Unformatted Trip Summary'!I741</f>
        <v>Taxi/Vehicle Share</v>
      </c>
      <c r="D743">
        <f>'Unformatted Trip Summary'!D741</f>
        <v>9</v>
      </c>
      <c r="E743">
        <f>'Unformatted Trip Summary'!E741</f>
        <v>16</v>
      </c>
      <c r="F743" s="1">
        <f>'Unformatted Trip Summary'!F741</f>
        <v>0.66566231409999999</v>
      </c>
      <c r="G743" s="1">
        <f>'Unformatted Trip Summary'!G741</f>
        <v>3.4050587388000002</v>
      </c>
      <c r="H743" s="1">
        <f>'Unformatted Trip Summary'!H741</f>
        <v>0.12622076400000001</v>
      </c>
    </row>
    <row r="744" spans="1:8" x14ac:dyDescent="0.2">
      <c r="A744" t="str">
        <f>'Unformatted Trip Summary'!A742</f>
        <v>10 NELS-MARLB-TAS</v>
      </c>
      <c r="B744" t="str">
        <f>'Unformatted Trip Summary'!J742</f>
        <v>2037/38</v>
      </c>
      <c r="C744" t="str">
        <f>'Unformatted Trip Summary'!I742</f>
        <v>Taxi/Vehicle Share</v>
      </c>
      <c r="D744">
        <f>'Unformatted Trip Summary'!D742</f>
        <v>9</v>
      </c>
      <c r="E744">
        <f>'Unformatted Trip Summary'!E742</f>
        <v>16</v>
      </c>
      <c r="F744" s="1">
        <f>'Unformatted Trip Summary'!F742</f>
        <v>0.68826710440000005</v>
      </c>
      <c r="G744" s="1">
        <f>'Unformatted Trip Summary'!G742</f>
        <v>3.4104089606999999</v>
      </c>
      <c r="H744" s="1">
        <f>'Unformatted Trip Summary'!H742</f>
        <v>0.12939914750000001</v>
      </c>
    </row>
    <row r="745" spans="1:8" x14ac:dyDescent="0.2">
      <c r="A745" t="str">
        <f>'Unformatted Trip Summary'!A743</f>
        <v>10 NELS-MARLB-TAS</v>
      </c>
      <c r="B745" t="str">
        <f>'Unformatted Trip Summary'!J743</f>
        <v>2042/43</v>
      </c>
      <c r="C745" t="str">
        <f>'Unformatted Trip Summary'!I743</f>
        <v>Taxi/Vehicle Share</v>
      </c>
      <c r="D745">
        <f>'Unformatted Trip Summary'!D743</f>
        <v>9</v>
      </c>
      <c r="E745">
        <f>'Unformatted Trip Summary'!E743</f>
        <v>16</v>
      </c>
      <c r="F745" s="1">
        <f>'Unformatted Trip Summary'!F743</f>
        <v>0.70838963079999995</v>
      </c>
      <c r="G745" s="1">
        <f>'Unformatted Trip Summary'!G743</f>
        <v>3.4105036838</v>
      </c>
      <c r="H745" s="1">
        <f>'Unformatted Trip Summary'!H743</f>
        <v>0.13215056080000001</v>
      </c>
    </row>
    <row r="746" spans="1:8" x14ac:dyDescent="0.2">
      <c r="A746" t="str">
        <f>'Unformatted Trip Summary'!A744</f>
        <v>10 NELS-MARLB-TAS</v>
      </c>
      <c r="B746" t="str">
        <f>'Unformatted Trip Summary'!J744</f>
        <v>2012/13</v>
      </c>
      <c r="C746" t="str">
        <f>'Unformatted Trip Summary'!I744</f>
        <v>Motorcyclist</v>
      </c>
      <c r="D746">
        <f>'Unformatted Trip Summary'!D744</f>
        <v>14</v>
      </c>
      <c r="E746">
        <f>'Unformatted Trip Summary'!E744</f>
        <v>52</v>
      </c>
      <c r="F746" s="1">
        <f>'Unformatted Trip Summary'!F744</f>
        <v>1.5095151791999999</v>
      </c>
      <c r="G746" s="1">
        <f>'Unformatted Trip Summary'!G744</f>
        <v>34.127286998000002</v>
      </c>
      <c r="H746" s="1">
        <f>'Unformatted Trip Summary'!H744</f>
        <v>0.60769230029999999</v>
      </c>
    </row>
    <row r="747" spans="1:8" x14ac:dyDescent="0.2">
      <c r="A747" t="str">
        <f>'Unformatted Trip Summary'!A745</f>
        <v>10 NELS-MARLB-TAS</v>
      </c>
      <c r="B747" t="str">
        <f>'Unformatted Trip Summary'!J745</f>
        <v>2017/18</v>
      </c>
      <c r="C747" t="str">
        <f>'Unformatted Trip Summary'!I745</f>
        <v>Motorcyclist</v>
      </c>
      <c r="D747">
        <f>'Unformatted Trip Summary'!D745</f>
        <v>14</v>
      </c>
      <c r="E747">
        <f>'Unformatted Trip Summary'!E745</f>
        <v>52</v>
      </c>
      <c r="F747" s="1">
        <f>'Unformatted Trip Summary'!F745</f>
        <v>1.5494975394999999</v>
      </c>
      <c r="G747" s="1">
        <f>'Unformatted Trip Summary'!G745</f>
        <v>35.040064723</v>
      </c>
      <c r="H747" s="1">
        <f>'Unformatted Trip Summary'!H745</f>
        <v>0.61994083300000002</v>
      </c>
    </row>
    <row r="748" spans="1:8" x14ac:dyDescent="0.2">
      <c r="A748" t="str">
        <f>'Unformatted Trip Summary'!A746</f>
        <v>10 NELS-MARLB-TAS</v>
      </c>
      <c r="B748" t="str">
        <f>'Unformatted Trip Summary'!J746</f>
        <v>2022/23</v>
      </c>
      <c r="C748" t="str">
        <f>'Unformatted Trip Summary'!I746</f>
        <v>Motorcyclist</v>
      </c>
      <c r="D748">
        <f>'Unformatted Trip Summary'!D746</f>
        <v>14</v>
      </c>
      <c r="E748">
        <f>'Unformatted Trip Summary'!E746</f>
        <v>52</v>
      </c>
      <c r="F748" s="1">
        <f>'Unformatted Trip Summary'!F746</f>
        <v>1.5930694798</v>
      </c>
      <c r="G748" s="1">
        <f>'Unformatted Trip Summary'!G746</f>
        <v>35.756166774</v>
      </c>
      <c r="H748" s="1">
        <f>'Unformatted Trip Summary'!H746</f>
        <v>0.63011481609999997</v>
      </c>
    </row>
    <row r="749" spans="1:8" x14ac:dyDescent="0.2">
      <c r="A749" t="str">
        <f>'Unformatted Trip Summary'!A747</f>
        <v>10 NELS-MARLB-TAS</v>
      </c>
      <c r="B749" t="str">
        <f>'Unformatted Trip Summary'!J747</f>
        <v>2027/28</v>
      </c>
      <c r="C749" t="str">
        <f>'Unformatted Trip Summary'!I747</f>
        <v>Motorcyclist</v>
      </c>
      <c r="D749">
        <f>'Unformatted Trip Summary'!D747</f>
        <v>14</v>
      </c>
      <c r="E749">
        <f>'Unformatted Trip Summary'!E747</f>
        <v>52</v>
      </c>
      <c r="F749" s="1">
        <f>'Unformatted Trip Summary'!F747</f>
        <v>1.6212081843999999</v>
      </c>
      <c r="G749" s="1">
        <f>'Unformatted Trip Summary'!G747</f>
        <v>35.632496912000001</v>
      </c>
      <c r="H749" s="1">
        <f>'Unformatted Trip Summary'!H747</f>
        <v>0.62676260179999999</v>
      </c>
    </row>
    <row r="750" spans="1:8" x14ac:dyDescent="0.2">
      <c r="A750" t="str">
        <f>'Unformatted Trip Summary'!A748</f>
        <v>10 NELS-MARLB-TAS</v>
      </c>
      <c r="B750" t="str">
        <f>'Unformatted Trip Summary'!J748</f>
        <v>2032/33</v>
      </c>
      <c r="C750" t="str">
        <f>'Unformatted Trip Summary'!I748</f>
        <v>Motorcyclist</v>
      </c>
      <c r="D750">
        <f>'Unformatted Trip Summary'!D748</f>
        <v>14</v>
      </c>
      <c r="E750">
        <f>'Unformatted Trip Summary'!E748</f>
        <v>52</v>
      </c>
      <c r="F750" s="1">
        <f>'Unformatted Trip Summary'!F748</f>
        <v>1.6284029529999999</v>
      </c>
      <c r="G750" s="1">
        <f>'Unformatted Trip Summary'!G748</f>
        <v>36.012328945999997</v>
      </c>
      <c r="H750" s="1">
        <f>'Unformatted Trip Summary'!H748</f>
        <v>0.63102937160000006</v>
      </c>
    </row>
    <row r="751" spans="1:8" x14ac:dyDescent="0.2">
      <c r="A751" t="str">
        <f>'Unformatted Trip Summary'!A749</f>
        <v>10 NELS-MARLB-TAS</v>
      </c>
      <c r="B751" t="str">
        <f>'Unformatted Trip Summary'!J749</f>
        <v>2037/38</v>
      </c>
      <c r="C751" t="str">
        <f>'Unformatted Trip Summary'!I749</f>
        <v>Motorcyclist</v>
      </c>
      <c r="D751">
        <f>'Unformatted Trip Summary'!D749</f>
        <v>14</v>
      </c>
      <c r="E751">
        <f>'Unformatted Trip Summary'!E749</f>
        <v>52</v>
      </c>
      <c r="F751" s="1">
        <f>'Unformatted Trip Summary'!F749</f>
        <v>1.5971082313</v>
      </c>
      <c r="G751" s="1">
        <f>'Unformatted Trip Summary'!G749</f>
        <v>36.205974521999998</v>
      </c>
      <c r="H751" s="1">
        <f>'Unformatted Trip Summary'!H749</f>
        <v>0.63190398530000003</v>
      </c>
    </row>
    <row r="752" spans="1:8" x14ac:dyDescent="0.2">
      <c r="A752" t="str">
        <f>'Unformatted Trip Summary'!A750</f>
        <v>10 NELS-MARLB-TAS</v>
      </c>
      <c r="B752" t="str">
        <f>'Unformatted Trip Summary'!J750</f>
        <v>2042/43</v>
      </c>
      <c r="C752" t="str">
        <f>'Unformatted Trip Summary'!I750</f>
        <v>Motorcyclist</v>
      </c>
      <c r="D752">
        <f>'Unformatted Trip Summary'!D750</f>
        <v>14</v>
      </c>
      <c r="E752">
        <f>'Unformatted Trip Summary'!E750</f>
        <v>52</v>
      </c>
      <c r="F752" s="1">
        <f>'Unformatted Trip Summary'!F750</f>
        <v>1.5620769088999999</v>
      </c>
      <c r="G752" s="1">
        <f>'Unformatted Trip Summary'!G750</f>
        <v>36.242441687000003</v>
      </c>
      <c r="H752" s="1">
        <f>'Unformatted Trip Summary'!H750</f>
        <v>0.63024294530000002</v>
      </c>
    </row>
    <row r="753" spans="1:8" x14ac:dyDescent="0.2">
      <c r="A753" t="str">
        <f>'Unformatted Trip Summary'!A751</f>
        <v>10 NELS-MARLB-TAS</v>
      </c>
      <c r="B753" t="str">
        <f>'Unformatted Trip Summary'!J751</f>
        <v>2012/13</v>
      </c>
      <c r="C753" t="str">
        <f>'Unformatted Trip Summary'!I751</f>
        <v>Local Train</v>
      </c>
      <c r="D753">
        <f>'Unformatted Trip Summary'!D751</f>
        <v>1</v>
      </c>
      <c r="E753">
        <f>'Unformatted Trip Summary'!E751</f>
        <v>4</v>
      </c>
      <c r="F753" s="1">
        <f>'Unformatted Trip Summary'!F751</f>
        <v>0.1284956481</v>
      </c>
      <c r="G753" s="1">
        <f>'Unformatted Trip Summary'!G751</f>
        <v>5.3733082988999996</v>
      </c>
      <c r="H753" s="1">
        <f>'Unformatted Trip Summary'!H751</f>
        <v>9.9048728700000005E-2</v>
      </c>
    </row>
    <row r="754" spans="1:8" x14ac:dyDescent="0.2">
      <c r="A754" t="str">
        <f>'Unformatted Trip Summary'!A752</f>
        <v>10 NELS-MARLB-TAS</v>
      </c>
      <c r="B754" t="str">
        <f>'Unformatted Trip Summary'!J752</f>
        <v>2017/18</v>
      </c>
      <c r="C754" t="str">
        <f>'Unformatted Trip Summary'!I752</f>
        <v>Local Train</v>
      </c>
      <c r="D754">
        <f>'Unformatted Trip Summary'!D752</f>
        <v>1</v>
      </c>
      <c r="E754">
        <f>'Unformatted Trip Summary'!E752</f>
        <v>4</v>
      </c>
      <c r="F754" s="1">
        <f>'Unformatted Trip Summary'!F752</f>
        <v>0.1149261832</v>
      </c>
      <c r="G754" s="1">
        <f>'Unformatted Trip Summary'!G752</f>
        <v>4.8058733740999999</v>
      </c>
      <c r="H754" s="1">
        <f>'Unformatted Trip Summary'!H752</f>
        <v>8.85889329E-2</v>
      </c>
    </row>
    <row r="755" spans="1:8" x14ac:dyDescent="0.2">
      <c r="A755" t="str">
        <f>'Unformatted Trip Summary'!A753</f>
        <v>10 NELS-MARLB-TAS</v>
      </c>
      <c r="B755" t="str">
        <f>'Unformatted Trip Summary'!J753</f>
        <v>2022/23</v>
      </c>
      <c r="C755" t="str">
        <f>'Unformatted Trip Summary'!I753</f>
        <v>Local Train</v>
      </c>
      <c r="D755">
        <f>'Unformatted Trip Summary'!D753</f>
        <v>1</v>
      </c>
      <c r="E755">
        <f>'Unformatted Trip Summary'!E753</f>
        <v>4</v>
      </c>
      <c r="F755" s="1">
        <f>'Unformatted Trip Summary'!F753</f>
        <v>9.6525807899999996E-2</v>
      </c>
      <c r="G755" s="1">
        <f>'Unformatted Trip Summary'!G753</f>
        <v>4.0364240529000002</v>
      </c>
      <c r="H755" s="1">
        <f>'Unformatted Trip Summary'!H753</f>
        <v>7.4405310299999999E-2</v>
      </c>
    </row>
    <row r="756" spans="1:8" x14ac:dyDescent="0.2">
      <c r="A756" t="str">
        <f>'Unformatted Trip Summary'!A754</f>
        <v>10 NELS-MARLB-TAS</v>
      </c>
      <c r="B756" t="str">
        <f>'Unformatted Trip Summary'!J754</f>
        <v>2027/28</v>
      </c>
      <c r="C756" t="str">
        <f>'Unformatted Trip Summary'!I754</f>
        <v>Local Train</v>
      </c>
      <c r="D756">
        <f>'Unformatted Trip Summary'!D754</f>
        <v>1</v>
      </c>
      <c r="E756">
        <f>'Unformatted Trip Summary'!E754</f>
        <v>4</v>
      </c>
      <c r="F756" s="1">
        <f>'Unformatted Trip Summary'!F754</f>
        <v>8.1570599999999993E-2</v>
      </c>
      <c r="G756" s="1">
        <f>'Unformatted Trip Summary'!G754</f>
        <v>3.4110414519000001</v>
      </c>
      <c r="H756" s="1">
        <f>'Unformatted Trip Summary'!H754</f>
        <v>6.2877337500000005E-2</v>
      </c>
    </row>
    <row r="757" spans="1:8" x14ac:dyDescent="0.2">
      <c r="A757" t="str">
        <f>'Unformatted Trip Summary'!A755</f>
        <v>10 NELS-MARLB-TAS</v>
      </c>
      <c r="B757" t="str">
        <f>'Unformatted Trip Summary'!J755</f>
        <v>2032/33</v>
      </c>
      <c r="C757" t="str">
        <f>'Unformatted Trip Summary'!I755</f>
        <v>Local Train</v>
      </c>
      <c r="D757">
        <f>'Unformatted Trip Summary'!D755</f>
        <v>1</v>
      </c>
      <c r="E757">
        <f>'Unformatted Trip Summary'!E755</f>
        <v>4</v>
      </c>
      <c r="F757" s="1">
        <f>'Unformatted Trip Summary'!F755</f>
        <v>7.5910885600000005E-2</v>
      </c>
      <c r="G757" s="1">
        <f>'Unformatted Trip Summary'!G755</f>
        <v>3.1743689171999998</v>
      </c>
      <c r="H757" s="1">
        <f>'Unformatted Trip Summary'!H755</f>
        <v>5.8514640899999998E-2</v>
      </c>
    </row>
    <row r="758" spans="1:8" x14ac:dyDescent="0.2">
      <c r="A758" t="str">
        <f>'Unformatted Trip Summary'!A756</f>
        <v>10 NELS-MARLB-TAS</v>
      </c>
      <c r="B758" t="str">
        <f>'Unformatted Trip Summary'!J756</f>
        <v>2037/38</v>
      </c>
      <c r="C758" t="str">
        <f>'Unformatted Trip Summary'!I756</f>
        <v>Local Train</v>
      </c>
      <c r="D758">
        <f>'Unformatted Trip Summary'!D756</f>
        <v>1</v>
      </c>
      <c r="E758">
        <f>'Unformatted Trip Summary'!E756</f>
        <v>4</v>
      </c>
      <c r="F758" s="1">
        <f>'Unformatted Trip Summary'!F756</f>
        <v>7.7899959599999999E-2</v>
      </c>
      <c r="G758" s="1">
        <f>'Unformatted Trip Summary'!G756</f>
        <v>3.2575461151999998</v>
      </c>
      <c r="H758" s="1">
        <f>'Unformatted Trip Summary'!H756</f>
        <v>6.0047885500000002E-2</v>
      </c>
    </row>
    <row r="759" spans="1:8" x14ac:dyDescent="0.2">
      <c r="A759" t="str">
        <f>'Unformatted Trip Summary'!A757</f>
        <v>10 NELS-MARLB-TAS</v>
      </c>
      <c r="B759" t="str">
        <f>'Unformatted Trip Summary'!J757</f>
        <v>2042/43</v>
      </c>
      <c r="C759" t="str">
        <f>'Unformatted Trip Summary'!I757</f>
        <v>Local Train</v>
      </c>
      <c r="D759">
        <f>'Unformatted Trip Summary'!D757</f>
        <v>1</v>
      </c>
      <c r="E759">
        <f>'Unformatted Trip Summary'!E757</f>
        <v>4</v>
      </c>
      <c r="F759" s="1">
        <f>'Unformatted Trip Summary'!F757</f>
        <v>7.6936588599999994E-2</v>
      </c>
      <c r="G759" s="1">
        <f>'Unformatted Trip Summary'!G757</f>
        <v>3.2172607883</v>
      </c>
      <c r="H759" s="1">
        <f>'Unformatted Trip Summary'!H757</f>
        <v>5.93052871E-2</v>
      </c>
    </row>
    <row r="760" spans="1:8" x14ac:dyDescent="0.2">
      <c r="A760" t="str">
        <f>'Unformatted Trip Summary'!A758</f>
        <v>10 NELS-MARLB-TAS</v>
      </c>
      <c r="B760" t="str">
        <f>'Unformatted Trip Summary'!J758</f>
        <v>2012/13</v>
      </c>
      <c r="C760" t="str">
        <f>'Unformatted Trip Summary'!I758</f>
        <v>Local Bus</v>
      </c>
      <c r="D760">
        <f>'Unformatted Trip Summary'!D758</f>
        <v>38</v>
      </c>
      <c r="E760">
        <f>'Unformatted Trip Summary'!E758</f>
        <v>79</v>
      </c>
      <c r="F760" s="1">
        <f>'Unformatted Trip Summary'!F758</f>
        <v>2.0764681202999999</v>
      </c>
      <c r="G760" s="1">
        <f>'Unformatted Trip Summary'!G758</f>
        <v>19.807462209000001</v>
      </c>
      <c r="H760" s="1">
        <f>'Unformatted Trip Summary'!H758</f>
        <v>0.94491203199999996</v>
      </c>
    </row>
    <row r="761" spans="1:8" x14ac:dyDescent="0.2">
      <c r="A761" t="str">
        <f>'Unformatted Trip Summary'!A759</f>
        <v>10 NELS-MARLB-TAS</v>
      </c>
      <c r="B761" t="str">
        <f>'Unformatted Trip Summary'!J759</f>
        <v>2017/18</v>
      </c>
      <c r="C761" t="str">
        <f>'Unformatted Trip Summary'!I759</f>
        <v>Local Bus</v>
      </c>
      <c r="D761">
        <f>'Unformatted Trip Summary'!D759</f>
        <v>38</v>
      </c>
      <c r="E761">
        <f>'Unformatted Trip Summary'!E759</f>
        <v>79</v>
      </c>
      <c r="F761" s="1">
        <f>'Unformatted Trip Summary'!F759</f>
        <v>1.9663352094</v>
      </c>
      <c r="G761" s="1">
        <f>'Unformatted Trip Summary'!G759</f>
        <v>18.134141539000002</v>
      </c>
      <c r="H761" s="1">
        <f>'Unformatted Trip Summary'!H759</f>
        <v>0.86609546530000003</v>
      </c>
    </row>
    <row r="762" spans="1:8" x14ac:dyDescent="0.2">
      <c r="A762" t="str">
        <f>'Unformatted Trip Summary'!A760</f>
        <v>10 NELS-MARLB-TAS</v>
      </c>
      <c r="B762" t="str">
        <f>'Unformatted Trip Summary'!J760</f>
        <v>2022/23</v>
      </c>
      <c r="C762" t="str">
        <f>'Unformatted Trip Summary'!I760</f>
        <v>Local Bus</v>
      </c>
      <c r="D762">
        <f>'Unformatted Trip Summary'!D760</f>
        <v>38</v>
      </c>
      <c r="E762">
        <f>'Unformatted Trip Summary'!E760</f>
        <v>79</v>
      </c>
      <c r="F762" s="1">
        <f>'Unformatted Trip Summary'!F760</f>
        <v>1.8994059554</v>
      </c>
      <c r="G762" s="1">
        <f>'Unformatted Trip Summary'!G760</f>
        <v>16.935144326</v>
      </c>
      <c r="H762" s="1">
        <f>'Unformatted Trip Summary'!H760</f>
        <v>0.81117791429999997</v>
      </c>
    </row>
    <row r="763" spans="1:8" x14ac:dyDescent="0.2">
      <c r="A763" t="str">
        <f>'Unformatted Trip Summary'!A761</f>
        <v>10 NELS-MARLB-TAS</v>
      </c>
      <c r="B763" t="str">
        <f>'Unformatted Trip Summary'!J761</f>
        <v>2027/28</v>
      </c>
      <c r="C763" t="str">
        <f>'Unformatted Trip Summary'!I761</f>
        <v>Local Bus</v>
      </c>
      <c r="D763">
        <f>'Unformatted Trip Summary'!D761</f>
        <v>38</v>
      </c>
      <c r="E763">
        <f>'Unformatted Trip Summary'!E761</f>
        <v>79</v>
      </c>
      <c r="F763" s="1">
        <f>'Unformatted Trip Summary'!F761</f>
        <v>1.8898351215</v>
      </c>
      <c r="G763" s="1">
        <f>'Unformatted Trip Summary'!G761</f>
        <v>16.341535078</v>
      </c>
      <c r="H763" s="1">
        <f>'Unformatted Trip Summary'!H761</f>
        <v>0.78636050769999999</v>
      </c>
    </row>
    <row r="764" spans="1:8" x14ac:dyDescent="0.2">
      <c r="A764" t="str">
        <f>'Unformatted Trip Summary'!A762</f>
        <v>10 NELS-MARLB-TAS</v>
      </c>
      <c r="B764" t="str">
        <f>'Unformatted Trip Summary'!J762</f>
        <v>2032/33</v>
      </c>
      <c r="C764" t="str">
        <f>'Unformatted Trip Summary'!I762</f>
        <v>Local Bus</v>
      </c>
      <c r="D764">
        <f>'Unformatted Trip Summary'!D762</f>
        <v>38</v>
      </c>
      <c r="E764">
        <f>'Unformatted Trip Summary'!E762</f>
        <v>79</v>
      </c>
      <c r="F764" s="1">
        <f>'Unformatted Trip Summary'!F762</f>
        <v>1.778771439</v>
      </c>
      <c r="G764" s="1">
        <f>'Unformatted Trip Summary'!G762</f>
        <v>15.110227087</v>
      </c>
      <c r="H764" s="1">
        <f>'Unformatted Trip Summary'!H762</f>
        <v>0.73109088349999996</v>
      </c>
    </row>
    <row r="765" spans="1:8" x14ac:dyDescent="0.2">
      <c r="A765" t="str">
        <f>'Unformatted Trip Summary'!A763</f>
        <v>10 NELS-MARLB-TAS</v>
      </c>
      <c r="B765" t="str">
        <f>'Unformatted Trip Summary'!J763</f>
        <v>2037/38</v>
      </c>
      <c r="C765" t="str">
        <f>'Unformatted Trip Summary'!I763</f>
        <v>Local Bus</v>
      </c>
      <c r="D765">
        <f>'Unformatted Trip Summary'!D763</f>
        <v>38</v>
      </c>
      <c r="E765">
        <f>'Unformatted Trip Summary'!E763</f>
        <v>79</v>
      </c>
      <c r="F765" s="1">
        <f>'Unformatted Trip Summary'!F763</f>
        <v>1.7761901705000001</v>
      </c>
      <c r="G765" s="1">
        <f>'Unformatted Trip Summary'!G763</f>
        <v>14.719039219000001</v>
      </c>
      <c r="H765" s="1">
        <f>'Unformatted Trip Summary'!H763</f>
        <v>0.71267597029999996</v>
      </c>
    </row>
    <row r="766" spans="1:8" x14ac:dyDescent="0.2">
      <c r="A766" t="str">
        <f>'Unformatted Trip Summary'!A764</f>
        <v>10 NELS-MARLB-TAS</v>
      </c>
      <c r="B766" t="str">
        <f>'Unformatted Trip Summary'!J764</f>
        <v>2042/43</v>
      </c>
      <c r="C766" t="str">
        <f>'Unformatted Trip Summary'!I764</f>
        <v>Local Bus</v>
      </c>
      <c r="D766">
        <f>'Unformatted Trip Summary'!D764</f>
        <v>38</v>
      </c>
      <c r="E766">
        <f>'Unformatted Trip Summary'!E764</f>
        <v>79</v>
      </c>
      <c r="F766" s="1">
        <f>'Unformatted Trip Summary'!F764</f>
        <v>1.7664474362</v>
      </c>
      <c r="G766" s="1">
        <f>'Unformatted Trip Summary'!G764</f>
        <v>14.309672047999999</v>
      </c>
      <c r="H766" s="1">
        <f>'Unformatted Trip Summary'!H764</f>
        <v>0.69308254120000001</v>
      </c>
    </row>
    <row r="767" spans="1:8" x14ac:dyDescent="0.2">
      <c r="A767" t="str">
        <f>'Unformatted Trip Summary'!A765</f>
        <v>10 NELS-MARLB-TAS</v>
      </c>
      <c r="B767" t="str">
        <f>'Unformatted Trip Summary'!J765</f>
        <v>2012/13</v>
      </c>
      <c r="C767" t="str">
        <f>'Unformatted Trip Summary'!I765</f>
        <v>Other Household Travel</v>
      </c>
      <c r="D767">
        <f>'Unformatted Trip Summary'!D765</f>
        <v>24</v>
      </c>
      <c r="E767">
        <f>'Unformatted Trip Summary'!E765</f>
        <v>56</v>
      </c>
      <c r="F767" s="1">
        <f>'Unformatted Trip Summary'!F765</f>
        <v>1.495105957</v>
      </c>
      <c r="G767" s="1">
        <f>'Unformatted Trip Summary'!G765</f>
        <v>0</v>
      </c>
      <c r="H767" s="1">
        <f>'Unformatted Trip Summary'!H765</f>
        <v>0.51346004550000002</v>
      </c>
    </row>
    <row r="768" spans="1:8" x14ac:dyDescent="0.2">
      <c r="A768" t="str">
        <f>'Unformatted Trip Summary'!A766</f>
        <v>10 NELS-MARLB-TAS</v>
      </c>
      <c r="B768" t="str">
        <f>'Unformatted Trip Summary'!J766</f>
        <v>2017/18</v>
      </c>
      <c r="C768" t="str">
        <f>'Unformatted Trip Summary'!I766</f>
        <v>Other Household Travel</v>
      </c>
      <c r="D768">
        <f>'Unformatted Trip Summary'!D766</f>
        <v>24</v>
      </c>
      <c r="E768">
        <f>'Unformatted Trip Summary'!E766</f>
        <v>56</v>
      </c>
      <c r="F768" s="1">
        <f>'Unformatted Trip Summary'!F766</f>
        <v>1.4979112155000001</v>
      </c>
      <c r="G768" s="1">
        <f>'Unformatted Trip Summary'!G766</f>
        <v>0</v>
      </c>
      <c r="H768" s="1">
        <f>'Unformatted Trip Summary'!H766</f>
        <v>0.51017048190000003</v>
      </c>
    </row>
    <row r="769" spans="1:8" x14ac:dyDescent="0.2">
      <c r="A769" t="str">
        <f>'Unformatted Trip Summary'!A767</f>
        <v>10 NELS-MARLB-TAS</v>
      </c>
      <c r="B769" t="str">
        <f>'Unformatted Trip Summary'!J767</f>
        <v>2022/23</v>
      </c>
      <c r="C769" t="str">
        <f>'Unformatted Trip Summary'!I767</f>
        <v>Other Household Travel</v>
      </c>
      <c r="D769">
        <f>'Unformatted Trip Summary'!D767</f>
        <v>24</v>
      </c>
      <c r="E769">
        <f>'Unformatted Trip Summary'!E767</f>
        <v>56</v>
      </c>
      <c r="F769" s="1">
        <f>'Unformatted Trip Summary'!F767</f>
        <v>1.5048342263000001</v>
      </c>
      <c r="G769" s="1">
        <f>'Unformatted Trip Summary'!G767</f>
        <v>0</v>
      </c>
      <c r="H769" s="1">
        <f>'Unformatted Trip Summary'!H767</f>
        <v>0.51148348899999996</v>
      </c>
    </row>
    <row r="770" spans="1:8" x14ac:dyDescent="0.2">
      <c r="A770" t="str">
        <f>'Unformatted Trip Summary'!A768</f>
        <v>10 NELS-MARLB-TAS</v>
      </c>
      <c r="B770" t="str">
        <f>'Unformatted Trip Summary'!J768</f>
        <v>2027/28</v>
      </c>
      <c r="C770" t="str">
        <f>'Unformatted Trip Summary'!I768</f>
        <v>Other Household Travel</v>
      </c>
      <c r="D770">
        <f>'Unformatted Trip Summary'!D768</f>
        <v>24</v>
      </c>
      <c r="E770">
        <f>'Unformatted Trip Summary'!E768</f>
        <v>56</v>
      </c>
      <c r="F770" s="1">
        <f>'Unformatted Trip Summary'!F768</f>
        <v>1.5270437851000001</v>
      </c>
      <c r="G770" s="1">
        <f>'Unformatted Trip Summary'!G768</f>
        <v>0</v>
      </c>
      <c r="H770" s="1">
        <f>'Unformatted Trip Summary'!H768</f>
        <v>0.51551951409999996</v>
      </c>
    </row>
    <row r="771" spans="1:8" x14ac:dyDescent="0.2">
      <c r="A771" t="str">
        <f>'Unformatted Trip Summary'!A769</f>
        <v>10 NELS-MARLB-TAS</v>
      </c>
      <c r="B771" t="str">
        <f>'Unformatted Trip Summary'!J769</f>
        <v>2032/33</v>
      </c>
      <c r="C771" t="str">
        <f>'Unformatted Trip Summary'!I769</f>
        <v>Other Household Travel</v>
      </c>
      <c r="D771">
        <f>'Unformatted Trip Summary'!D769</f>
        <v>24</v>
      </c>
      <c r="E771">
        <f>'Unformatted Trip Summary'!E769</f>
        <v>56</v>
      </c>
      <c r="F771" s="1">
        <f>'Unformatted Trip Summary'!F769</f>
        <v>1.5375857278</v>
      </c>
      <c r="G771" s="1">
        <f>'Unformatted Trip Summary'!G769</f>
        <v>0</v>
      </c>
      <c r="H771" s="1">
        <f>'Unformatted Trip Summary'!H769</f>
        <v>0.51118786189999998</v>
      </c>
    </row>
    <row r="772" spans="1:8" x14ac:dyDescent="0.2">
      <c r="A772" t="str">
        <f>'Unformatted Trip Summary'!A770</f>
        <v>10 NELS-MARLB-TAS</v>
      </c>
      <c r="B772" t="str">
        <f>'Unformatted Trip Summary'!J770</f>
        <v>2037/38</v>
      </c>
      <c r="C772" t="str">
        <f>'Unformatted Trip Summary'!I770</f>
        <v>Other Household Travel</v>
      </c>
      <c r="D772">
        <f>'Unformatted Trip Summary'!D770</f>
        <v>24</v>
      </c>
      <c r="E772">
        <f>'Unformatted Trip Summary'!E770</f>
        <v>56</v>
      </c>
      <c r="F772" s="1">
        <f>'Unformatted Trip Summary'!F770</f>
        <v>1.5789573075000001</v>
      </c>
      <c r="G772" s="1">
        <f>'Unformatted Trip Summary'!G770</f>
        <v>0</v>
      </c>
      <c r="H772" s="1">
        <f>'Unformatted Trip Summary'!H770</f>
        <v>0.52048441249999999</v>
      </c>
    </row>
    <row r="773" spans="1:8" x14ac:dyDescent="0.2">
      <c r="A773" t="str">
        <f>'Unformatted Trip Summary'!A771</f>
        <v>10 NELS-MARLB-TAS</v>
      </c>
      <c r="B773" t="str">
        <f>'Unformatted Trip Summary'!J771</f>
        <v>2042/43</v>
      </c>
      <c r="C773" t="str">
        <f>'Unformatted Trip Summary'!I771</f>
        <v>Other Household Travel</v>
      </c>
      <c r="D773">
        <f>'Unformatted Trip Summary'!D771</f>
        <v>24</v>
      </c>
      <c r="E773">
        <f>'Unformatted Trip Summary'!E771</f>
        <v>56</v>
      </c>
      <c r="F773" s="1">
        <f>'Unformatted Trip Summary'!F771</f>
        <v>1.6029930688</v>
      </c>
      <c r="G773" s="1">
        <f>'Unformatted Trip Summary'!G771</f>
        <v>0</v>
      </c>
      <c r="H773" s="1">
        <f>'Unformatted Trip Summary'!H771</f>
        <v>0.52499527930000001</v>
      </c>
    </row>
    <row r="774" spans="1:8" x14ac:dyDescent="0.2">
      <c r="A774" t="str">
        <f>'Unformatted Trip Summary'!A772</f>
        <v>10 NELS-MARLB-TAS</v>
      </c>
      <c r="B774" t="str">
        <f>'Unformatted Trip Summary'!J772</f>
        <v>2012/13</v>
      </c>
      <c r="C774" t="str">
        <f>'Unformatted Trip Summary'!I772</f>
        <v>Air/Non-Local PT</v>
      </c>
      <c r="D774">
        <f>'Unformatted Trip Summary'!D772</f>
        <v>11</v>
      </c>
      <c r="E774">
        <f>'Unformatted Trip Summary'!E772</f>
        <v>13</v>
      </c>
      <c r="F774" s="1">
        <f>'Unformatted Trip Summary'!F772</f>
        <v>0.38277994659999998</v>
      </c>
      <c r="G774" s="1">
        <f>'Unformatted Trip Summary'!G772</f>
        <v>0</v>
      </c>
      <c r="H774" s="1">
        <f>'Unformatted Trip Summary'!H772</f>
        <v>0.45211944030000001</v>
      </c>
    </row>
    <row r="775" spans="1:8" x14ac:dyDescent="0.2">
      <c r="A775" t="str">
        <f>'Unformatted Trip Summary'!A773</f>
        <v>10 NELS-MARLB-TAS</v>
      </c>
      <c r="B775" t="str">
        <f>'Unformatted Trip Summary'!J773</f>
        <v>2017/18</v>
      </c>
      <c r="C775" t="str">
        <f>'Unformatted Trip Summary'!I773</f>
        <v>Air/Non-Local PT</v>
      </c>
      <c r="D775">
        <f>'Unformatted Trip Summary'!D773</f>
        <v>11</v>
      </c>
      <c r="E775">
        <f>'Unformatted Trip Summary'!E773</f>
        <v>13</v>
      </c>
      <c r="F775" s="1">
        <f>'Unformatted Trip Summary'!F773</f>
        <v>0.40264213589999998</v>
      </c>
      <c r="G775" s="1">
        <f>'Unformatted Trip Summary'!G773</f>
        <v>0</v>
      </c>
      <c r="H775" s="1">
        <f>'Unformatted Trip Summary'!H773</f>
        <v>0.46613795159999999</v>
      </c>
    </row>
    <row r="776" spans="1:8" x14ac:dyDescent="0.2">
      <c r="A776" t="str">
        <f>'Unformatted Trip Summary'!A774</f>
        <v>10 NELS-MARLB-TAS</v>
      </c>
      <c r="B776" t="str">
        <f>'Unformatted Trip Summary'!J774</f>
        <v>2022/23</v>
      </c>
      <c r="C776" t="str">
        <f>'Unformatted Trip Summary'!I774</f>
        <v>Air/Non-Local PT</v>
      </c>
      <c r="D776">
        <f>'Unformatted Trip Summary'!D774</f>
        <v>11</v>
      </c>
      <c r="E776">
        <f>'Unformatted Trip Summary'!E774</f>
        <v>13</v>
      </c>
      <c r="F776" s="1">
        <f>'Unformatted Trip Summary'!F774</f>
        <v>0.41210854740000002</v>
      </c>
      <c r="G776" s="1">
        <f>'Unformatted Trip Summary'!G774</f>
        <v>0</v>
      </c>
      <c r="H776" s="1">
        <f>'Unformatted Trip Summary'!H774</f>
        <v>0.47248051590000001</v>
      </c>
    </row>
    <row r="777" spans="1:8" x14ac:dyDescent="0.2">
      <c r="A777" t="str">
        <f>'Unformatted Trip Summary'!A775</f>
        <v>10 NELS-MARLB-TAS</v>
      </c>
      <c r="B777" t="str">
        <f>'Unformatted Trip Summary'!J775</f>
        <v>2027/28</v>
      </c>
      <c r="C777" t="str">
        <f>'Unformatted Trip Summary'!I775</f>
        <v>Air/Non-Local PT</v>
      </c>
      <c r="D777">
        <f>'Unformatted Trip Summary'!D775</f>
        <v>11</v>
      </c>
      <c r="E777">
        <f>'Unformatted Trip Summary'!E775</f>
        <v>13</v>
      </c>
      <c r="F777" s="1">
        <f>'Unformatted Trip Summary'!F775</f>
        <v>0.41403560560000002</v>
      </c>
      <c r="G777" s="1">
        <f>'Unformatted Trip Summary'!G775</f>
        <v>0</v>
      </c>
      <c r="H777" s="1">
        <f>'Unformatted Trip Summary'!H775</f>
        <v>0.46701935849999998</v>
      </c>
    </row>
    <row r="778" spans="1:8" x14ac:dyDescent="0.2">
      <c r="A778" t="str">
        <f>'Unformatted Trip Summary'!A776</f>
        <v>10 NELS-MARLB-TAS</v>
      </c>
      <c r="B778" t="str">
        <f>'Unformatted Trip Summary'!J776</f>
        <v>2032/33</v>
      </c>
      <c r="C778" t="str">
        <f>'Unformatted Trip Summary'!I776</f>
        <v>Air/Non-Local PT</v>
      </c>
      <c r="D778">
        <f>'Unformatted Trip Summary'!D776</f>
        <v>11</v>
      </c>
      <c r="E778">
        <f>'Unformatted Trip Summary'!E776</f>
        <v>13</v>
      </c>
      <c r="F778" s="1">
        <f>'Unformatted Trip Summary'!F776</f>
        <v>0.41451133080000002</v>
      </c>
      <c r="G778" s="1">
        <f>'Unformatted Trip Summary'!G776</f>
        <v>0</v>
      </c>
      <c r="H778" s="1">
        <f>'Unformatted Trip Summary'!H776</f>
        <v>0.44462086649999999</v>
      </c>
    </row>
    <row r="779" spans="1:8" x14ac:dyDescent="0.2">
      <c r="A779" t="str">
        <f>'Unformatted Trip Summary'!A777</f>
        <v>10 NELS-MARLB-TAS</v>
      </c>
      <c r="B779" t="str">
        <f>'Unformatted Trip Summary'!J777</f>
        <v>2037/38</v>
      </c>
      <c r="C779" t="str">
        <f>'Unformatted Trip Summary'!I777</f>
        <v>Air/Non-Local PT</v>
      </c>
      <c r="D779">
        <f>'Unformatted Trip Summary'!D777</f>
        <v>11</v>
      </c>
      <c r="E779">
        <f>'Unformatted Trip Summary'!E777</f>
        <v>13</v>
      </c>
      <c r="F779" s="1">
        <f>'Unformatted Trip Summary'!F777</f>
        <v>0.40777855019999998</v>
      </c>
      <c r="G779" s="1">
        <f>'Unformatted Trip Summary'!G777</f>
        <v>0</v>
      </c>
      <c r="H779" s="1">
        <f>'Unformatted Trip Summary'!H777</f>
        <v>0.40691504119999999</v>
      </c>
    </row>
    <row r="780" spans="1:8" x14ac:dyDescent="0.2">
      <c r="A780" t="str">
        <f>'Unformatted Trip Summary'!A778</f>
        <v>10 NELS-MARLB-TAS</v>
      </c>
      <c r="B780" t="str">
        <f>'Unformatted Trip Summary'!J778</f>
        <v>2042/43</v>
      </c>
      <c r="C780" t="str">
        <f>'Unformatted Trip Summary'!I778</f>
        <v>Air/Non-Local PT</v>
      </c>
      <c r="D780">
        <f>'Unformatted Trip Summary'!D778</f>
        <v>11</v>
      </c>
      <c r="E780">
        <f>'Unformatted Trip Summary'!E778</f>
        <v>13</v>
      </c>
      <c r="F780" s="1">
        <f>'Unformatted Trip Summary'!F778</f>
        <v>0.39925086980000002</v>
      </c>
      <c r="G780" s="1">
        <f>'Unformatted Trip Summary'!G778</f>
        <v>0</v>
      </c>
      <c r="H780" s="1">
        <f>'Unformatted Trip Summary'!H778</f>
        <v>0.37088294579999997</v>
      </c>
    </row>
    <row r="781" spans="1:8" x14ac:dyDescent="0.2">
      <c r="A781" t="str">
        <f>'Unformatted Trip Summary'!A779</f>
        <v>10 NELS-MARLB-TAS</v>
      </c>
      <c r="B781" t="str">
        <f>'Unformatted Trip Summary'!J779</f>
        <v>2012/13</v>
      </c>
      <c r="C781" t="str">
        <f>'Unformatted Trip Summary'!I779</f>
        <v>Non-Household Travel</v>
      </c>
      <c r="D781">
        <f>'Unformatted Trip Summary'!D779</f>
        <v>10</v>
      </c>
      <c r="E781">
        <f>'Unformatted Trip Summary'!E779</f>
        <v>59</v>
      </c>
      <c r="F781" s="1">
        <f>'Unformatted Trip Summary'!F779</f>
        <v>1.9294573958000001</v>
      </c>
      <c r="G781" s="1">
        <f>'Unformatted Trip Summary'!G779</f>
        <v>30.128221894999999</v>
      </c>
      <c r="H781" s="1">
        <f>'Unformatted Trip Summary'!H779</f>
        <v>0.79809006319999998</v>
      </c>
    </row>
    <row r="782" spans="1:8" x14ac:dyDescent="0.2">
      <c r="A782" t="str">
        <f>'Unformatted Trip Summary'!A780</f>
        <v>10 NELS-MARLB-TAS</v>
      </c>
      <c r="B782" t="str">
        <f>'Unformatted Trip Summary'!J780</f>
        <v>2017/18</v>
      </c>
      <c r="C782" t="str">
        <f>'Unformatted Trip Summary'!I780</f>
        <v>Non-Household Travel</v>
      </c>
      <c r="D782">
        <f>'Unformatted Trip Summary'!D780</f>
        <v>10</v>
      </c>
      <c r="E782">
        <f>'Unformatted Trip Summary'!E780</f>
        <v>59</v>
      </c>
      <c r="F782" s="1">
        <f>'Unformatted Trip Summary'!F780</f>
        <v>1.7953095885999999</v>
      </c>
      <c r="G782" s="1">
        <f>'Unformatted Trip Summary'!G780</f>
        <v>30.770294766999999</v>
      </c>
      <c r="H782" s="1">
        <f>'Unformatted Trip Summary'!H780</f>
        <v>0.80546878879999995</v>
      </c>
    </row>
    <row r="783" spans="1:8" x14ac:dyDescent="0.2">
      <c r="A783" t="str">
        <f>'Unformatted Trip Summary'!A781</f>
        <v>10 NELS-MARLB-TAS</v>
      </c>
      <c r="B783" t="str">
        <f>'Unformatted Trip Summary'!J781</f>
        <v>2022/23</v>
      </c>
      <c r="C783" t="str">
        <f>'Unformatted Trip Summary'!I781</f>
        <v>Non-Household Travel</v>
      </c>
      <c r="D783">
        <f>'Unformatted Trip Summary'!D781</f>
        <v>10</v>
      </c>
      <c r="E783">
        <f>'Unformatted Trip Summary'!E781</f>
        <v>59</v>
      </c>
      <c r="F783" s="1">
        <f>'Unformatted Trip Summary'!F781</f>
        <v>1.6252712969000001</v>
      </c>
      <c r="G783" s="1">
        <f>'Unformatted Trip Summary'!G781</f>
        <v>30.20281211</v>
      </c>
      <c r="H783" s="1">
        <f>'Unformatted Trip Summary'!H781</f>
        <v>0.77744629170000001</v>
      </c>
    </row>
    <row r="784" spans="1:8" x14ac:dyDescent="0.2">
      <c r="A784" t="str">
        <f>'Unformatted Trip Summary'!A782</f>
        <v>10 NELS-MARLB-TAS</v>
      </c>
      <c r="B784" t="str">
        <f>'Unformatted Trip Summary'!J782</f>
        <v>2027/28</v>
      </c>
      <c r="C784" t="str">
        <f>'Unformatted Trip Summary'!I782</f>
        <v>Non-Household Travel</v>
      </c>
      <c r="D784">
        <f>'Unformatted Trip Summary'!D782</f>
        <v>10</v>
      </c>
      <c r="E784">
        <f>'Unformatted Trip Summary'!E782</f>
        <v>59</v>
      </c>
      <c r="F784" s="1">
        <f>'Unformatted Trip Summary'!F782</f>
        <v>1.482947835</v>
      </c>
      <c r="G784" s="1">
        <f>'Unformatted Trip Summary'!G782</f>
        <v>28.286901778000001</v>
      </c>
      <c r="H784" s="1">
        <f>'Unformatted Trip Summary'!H782</f>
        <v>0.72078453720000002</v>
      </c>
    </row>
    <row r="785" spans="1:8" x14ac:dyDescent="0.2">
      <c r="A785" t="str">
        <f>'Unformatted Trip Summary'!A783</f>
        <v>10 NELS-MARLB-TAS</v>
      </c>
      <c r="B785" t="str">
        <f>'Unformatted Trip Summary'!J783</f>
        <v>2032/33</v>
      </c>
      <c r="C785" t="str">
        <f>'Unformatted Trip Summary'!I783</f>
        <v>Non-Household Travel</v>
      </c>
      <c r="D785">
        <f>'Unformatted Trip Summary'!D783</f>
        <v>10</v>
      </c>
      <c r="E785">
        <f>'Unformatted Trip Summary'!E783</f>
        <v>59</v>
      </c>
      <c r="F785" s="1">
        <f>'Unformatted Trip Summary'!F783</f>
        <v>1.4175786797000001</v>
      </c>
      <c r="G785" s="1">
        <f>'Unformatted Trip Summary'!G783</f>
        <v>25.857582742999998</v>
      </c>
      <c r="H785" s="1">
        <f>'Unformatted Trip Summary'!H783</f>
        <v>0.66220305010000002</v>
      </c>
    </row>
    <row r="786" spans="1:8" x14ac:dyDescent="0.2">
      <c r="A786" t="str">
        <f>'Unformatted Trip Summary'!A784</f>
        <v>10 NELS-MARLB-TAS</v>
      </c>
      <c r="B786" t="str">
        <f>'Unformatted Trip Summary'!J784</f>
        <v>2037/38</v>
      </c>
      <c r="C786" t="str">
        <f>'Unformatted Trip Summary'!I784</f>
        <v>Non-Household Travel</v>
      </c>
      <c r="D786">
        <f>'Unformatted Trip Summary'!D784</f>
        <v>10</v>
      </c>
      <c r="E786">
        <f>'Unformatted Trip Summary'!E784</f>
        <v>59</v>
      </c>
      <c r="F786" s="1">
        <f>'Unformatted Trip Summary'!F784</f>
        <v>1.4374661921</v>
      </c>
      <c r="G786" s="1">
        <f>'Unformatted Trip Summary'!G784</f>
        <v>23.396999486999999</v>
      </c>
      <c r="H786" s="1">
        <f>'Unformatted Trip Summary'!H784</f>
        <v>0.61119138610000001</v>
      </c>
    </row>
    <row r="787" spans="1:8" x14ac:dyDescent="0.2">
      <c r="A787" t="str">
        <f>'Unformatted Trip Summary'!A785</f>
        <v>10 NELS-MARLB-TAS</v>
      </c>
      <c r="B787" t="str">
        <f>'Unformatted Trip Summary'!J785</f>
        <v>2042/43</v>
      </c>
      <c r="C787" t="str">
        <f>'Unformatted Trip Summary'!I785</f>
        <v>Non-Household Travel</v>
      </c>
      <c r="D787">
        <f>'Unformatted Trip Summary'!D785</f>
        <v>10</v>
      </c>
      <c r="E787">
        <f>'Unformatted Trip Summary'!E785</f>
        <v>59</v>
      </c>
      <c r="F787" s="1">
        <f>'Unformatted Trip Summary'!F785</f>
        <v>1.4370015287</v>
      </c>
      <c r="G787" s="1">
        <f>'Unformatted Trip Summary'!G785</f>
        <v>21.010484274</v>
      </c>
      <c r="H787" s="1">
        <f>'Unformatted Trip Summary'!H785</f>
        <v>0.5593524406</v>
      </c>
    </row>
    <row r="788" spans="1:8" x14ac:dyDescent="0.2">
      <c r="A788" t="str">
        <f>'Unformatted Trip Summary'!A786</f>
        <v>12 WEST COAST</v>
      </c>
      <c r="B788" t="str">
        <f>'Unformatted Trip Summary'!J786</f>
        <v>2012/13</v>
      </c>
      <c r="C788" t="str">
        <f>'Unformatted Trip Summary'!I786</f>
        <v>Pedestrian</v>
      </c>
      <c r="D788">
        <f>'Unformatted Trip Summary'!D786</f>
        <v>145</v>
      </c>
      <c r="E788">
        <f>'Unformatted Trip Summary'!E786</f>
        <v>451</v>
      </c>
      <c r="F788" s="1">
        <f>'Unformatted Trip Summary'!F786</f>
        <v>5.2699511529</v>
      </c>
      <c r="G788" s="1">
        <f>'Unformatted Trip Summary'!G786</f>
        <v>4.6474841125999999</v>
      </c>
      <c r="H788" s="1">
        <f>'Unformatted Trip Summary'!H786</f>
        <v>1.1518220776999999</v>
      </c>
    </row>
    <row r="789" spans="1:8" x14ac:dyDescent="0.2">
      <c r="A789" t="str">
        <f>'Unformatted Trip Summary'!A787</f>
        <v>12 WEST COAST</v>
      </c>
      <c r="B789" t="str">
        <f>'Unformatted Trip Summary'!J787</f>
        <v>2017/18</v>
      </c>
      <c r="C789" t="str">
        <f>'Unformatted Trip Summary'!I787</f>
        <v>Pedestrian</v>
      </c>
      <c r="D789">
        <f>'Unformatted Trip Summary'!D787</f>
        <v>145</v>
      </c>
      <c r="E789">
        <f>'Unformatted Trip Summary'!E787</f>
        <v>451</v>
      </c>
      <c r="F789" s="1">
        <f>'Unformatted Trip Summary'!F787</f>
        <v>4.9393026970999996</v>
      </c>
      <c r="G789" s="1">
        <f>'Unformatted Trip Summary'!G787</f>
        <v>4.4414568081999999</v>
      </c>
      <c r="H789" s="1">
        <f>'Unformatted Trip Summary'!H787</f>
        <v>1.1138050035</v>
      </c>
    </row>
    <row r="790" spans="1:8" x14ac:dyDescent="0.2">
      <c r="A790" t="str">
        <f>'Unformatted Trip Summary'!A788</f>
        <v>12 WEST COAST</v>
      </c>
      <c r="B790" t="str">
        <f>'Unformatted Trip Summary'!J788</f>
        <v>2022/23</v>
      </c>
      <c r="C790" t="str">
        <f>'Unformatted Trip Summary'!I788</f>
        <v>Pedestrian</v>
      </c>
      <c r="D790">
        <f>'Unformatted Trip Summary'!D788</f>
        <v>145</v>
      </c>
      <c r="E790">
        <f>'Unformatted Trip Summary'!E788</f>
        <v>451</v>
      </c>
      <c r="F790" s="1">
        <f>'Unformatted Trip Summary'!F788</f>
        <v>4.5050644939</v>
      </c>
      <c r="G790" s="1">
        <f>'Unformatted Trip Summary'!G788</f>
        <v>4.084577393</v>
      </c>
      <c r="H790" s="1">
        <f>'Unformatted Trip Summary'!H788</f>
        <v>1.0389175137</v>
      </c>
    </row>
    <row r="791" spans="1:8" x14ac:dyDescent="0.2">
      <c r="A791" t="str">
        <f>'Unformatted Trip Summary'!A789</f>
        <v>12 WEST COAST</v>
      </c>
      <c r="B791" t="str">
        <f>'Unformatted Trip Summary'!J789</f>
        <v>2027/28</v>
      </c>
      <c r="C791" t="str">
        <f>'Unformatted Trip Summary'!I789</f>
        <v>Pedestrian</v>
      </c>
      <c r="D791">
        <f>'Unformatted Trip Summary'!D789</f>
        <v>145</v>
      </c>
      <c r="E791">
        <f>'Unformatted Trip Summary'!E789</f>
        <v>451</v>
      </c>
      <c r="F791" s="1">
        <f>'Unformatted Trip Summary'!F789</f>
        <v>4.2988840582999996</v>
      </c>
      <c r="G791" s="1">
        <f>'Unformatted Trip Summary'!G789</f>
        <v>3.9346455683000001</v>
      </c>
      <c r="H791" s="1">
        <f>'Unformatted Trip Summary'!H789</f>
        <v>1.0053988699</v>
      </c>
    </row>
    <row r="792" spans="1:8" x14ac:dyDescent="0.2">
      <c r="A792" t="str">
        <f>'Unformatted Trip Summary'!A790</f>
        <v>12 WEST COAST</v>
      </c>
      <c r="B792" t="str">
        <f>'Unformatted Trip Summary'!J790</f>
        <v>2032/33</v>
      </c>
      <c r="C792" t="str">
        <f>'Unformatted Trip Summary'!I790</f>
        <v>Pedestrian</v>
      </c>
      <c r="D792">
        <f>'Unformatted Trip Summary'!D790</f>
        <v>145</v>
      </c>
      <c r="E792">
        <f>'Unformatted Trip Summary'!E790</f>
        <v>451</v>
      </c>
      <c r="F792" s="1">
        <f>'Unformatted Trip Summary'!F790</f>
        <v>4.0522791148000001</v>
      </c>
      <c r="G792" s="1">
        <f>'Unformatted Trip Summary'!G790</f>
        <v>3.7422715271999998</v>
      </c>
      <c r="H792" s="1">
        <f>'Unformatted Trip Summary'!H790</f>
        <v>0.95786105239999997</v>
      </c>
    </row>
    <row r="793" spans="1:8" x14ac:dyDescent="0.2">
      <c r="A793" t="str">
        <f>'Unformatted Trip Summary'!A791</f>
        <v>12 WEST COAST</v>
      </c>
      <c r="B793" t="str">
        <f>'Unformatted Trip Summary'!J791</f>
        <v>2037/38</v>
      </c>
      <c r="C793" t="str">
        <f>'Unformatted Trip Summary'!I791</f>
        <v>Pedestrian</v>
      </c>
      <c r="D793">
        <f>'Unformatted Trip Summary'!D791</f>
        <v>145</v>
      </c>
      <c r="E793">
        <f>'Unformatted Trip Summary'!E791</f>
        <v>451</v>
      </c>
      <c r="F793" s="1">
        <f>'Unformatted Trip Summary'!F791</f>
        <v>3.791696704</v>
      </c>
      <c r="G793" s="1">
        <f>'Unformatted Trip Summary'!G791</f>
        <v>3.543936236</v>
      </c>
      <c r="H793" s="1">
        <f>'Unformatted Trip Summary'!H791</f>
        <v>0.90786938179999999</v>
      </c>
    </row>
    <row r="794" spans="1:8" x14ac:dyDescent="0.2">
      <c r="A794" t="str">
        <f>'Unformatted Trip Summary'!A792</f>
        <v>12 WEST COAST</v>
      </c>
      <c r="B794" t="str">
        <f>'Unformatted Trip Summary'!J792</f>
        <v>2042/43</v>
      </c>
      <c r="C794" t="str">
        <f>'Unformatted Trip Summary'!I792</f>
        <v>Pedestrian</v>
      </c>
      <c r="D794">
        <f>'Unformatted Trip Summary'!D792</f>
        <v>145</v>
      </c>
      <c r="E794">
        <f>'Unformatted Trip Summary'!E792</f>
        <v>451</v>
      </c>
      <c r="F794" s="1">
        <f>'Unformatted Trip Summary'!F792</f>
        <v>3.5522238145</v>
      </c>
      <c r="G794" s="1">
        <f>'Unformatted Trip Summary'!G792</f>
        <v>3.3654930918999999</v>
      </c>
      <c r="H794" s="1">
        <f>'Unformatted Trip Summary'!H792</f>
        <v>0.8617852895</v>
      </c>
    </row>
    <row r="795" spans="1:8" x14ac:dyDescent="0.2">
      <c r="A795" t="str">
        <f>'Unformatted Trip Summary'!A793</f>
        <v>12 WEST COAST</v>
      </c>
      <c r="B795" t="str">
        <f>'Unformatted Trip Summary'!J793</f>
        <v>2012/13</v>
      </c>
      <c r="C795" t="str">
        <f>'Unformatted Trip Summary'!I793</f>
        <v>Cyclist</v>
      </c>
      <c r="D795">
        <f>'Unformatted Trip Summary'!D793</f>
        <v>23</v>
      </c>
      <c r="E795">
        <f>'Unformatted Trip Summary'!E793</f>
        <v>75</v>
      </c>
      <c r="F795" s="1">
        <f>'Unformatted Trip Summary'!F793</f>
        <v>0.73381292249999996</v>
      </c>
      <c r="G795" s="1">
        <f>'Unformatted Trip Summary'!G793</f>
        <v>1.9571055828999999</v>
      </c>
      <c r="H795" s="1">
        <f>'Unformatted Trip Summary'!H793</f>
        <v>0.17528853950000001</v>
      </c>
    </row>
    <row r="796" spans="1:8" x14ac:dyDescent="0.2">
      <c r="A796" t="str">
        <f>'Unformatted Trip Summary'!A794</f>
        <v>12 WEST COAST</v>
      </c>
      <c r="B796" t="str">
        <f>'Unformatted Trip Summary'!J794</f>
        <v>2017/18</v>
      </c>
      <c r="C796" t="str">
        <f>'Unformatted Trip Summary'!I794</f>
        <v>Cyclist</v>
      </c>
      <c r="D796">
        <f>'Unformatted Trip Summary'!D794</f>
        <v>23</v>
      </c>
      <c r="E796">
        <f>'Unformatted Trip Summary'!E794</f>
        <v>75</v>
      </c>
      <c r="F796" s="1">
        <f>'Unformatted Trip Summary'!F794</f>
        <v>0.71255864130000002</v>
      </c>
      <c r="G796" s="1">
        <f>'Unformatted Trip Summary'!G794</f>
        <v>1.9829750068000001</v>
      </c>
      <c r="H796" s="1">
        <f>'Unformatted Trip Summary'!H794</f>
        <v>0.1710125626</v>
      </c>
    </row>
    <row r="797" spans="1:8" x14ac:dyDescent="0.2">
      <c r="A797" t="str">
        <f>'Unformatted Trip Summary'!A795</f>
        <v>12 WEST COAST</v>
      </c>
      <c r="B797" t="str">
        <f>'Unformatted Trip Summary'!J795</f>
        <v>2022/23</v>
      </c>
      <c r="C797" t="str">
        <f>'Unformatted Trip Summary'!I795</f>
        <v>Cyclist</v>
      </c>
      <c r="D797">
        <f>'Unformatted Trip Summary'!D795</f>
        <v>23</v>
      </c>
      <c r="E797">
        <f>'Unformatted Trip Summary'!E795</f>
        <v>75</v>
      </c>
      <c r="F797" s="1">
        <f>'Unformatted Trip Summary'!F795</f>
        <v>0.67154599199999998</v>
      </c>
      <c r="G797" s="1">
        <f>'Unformatted Trip Summary'!G795</f>
        <v>1.9435373278000001</v>
      </c>
      <c r="H797" s="1">
        <f>'Unformatted Trip Summary'!H795</f>
        <v>0.1624746916</v>
      </c>
    </row>
    <row r="798" spans="1:8" x14ac:dyDescent="0.2">
      <c r="A798" t="str">
        <f>'Unformatted Trip Summary'!A796</f>
        <v>12 WEST COAST</v>
      </c>
      <c r="B798" t="str">
        <f>'Unformatted Trip Summary'!J796</f>
        <v>2027/28</v>
      </c>
      <c r="C798" t="str">
        <f>'Unformatted Trip Summary'!I796</f>
        <v>Cyclist</v>
      </c>
      <c r="D798">
        <f>'Unformatted Trip Summary'!D796</f>
        <v>23</v>
      </c>
      <c r="E798">
        <f>'Unformatted Trip Summary'!E796</f>
        <v>75</v>
      </c>
      <c r="F798" s="1">
        <f>'Unformatted Trip Summary'!F796</f>
        <v>0.64979389399999998</v>
      </c>
      <c r="G798" s="1">
        <f>'Unformatted Trip Summary'!G796</f>
        <v>1.846950251</v>
      </c>
      <c r="H798" s="1">
        <f>'Unformatted Trip Summary'!H796</f>
        <v>0.15472230249999999</v>
      </c>
    </row>
    <row r="799" spans="1:8" x14ac:dyDescent="0.2">
      <c r="A799" t="str">
        <f>'Unformatted Trip Summary'!A797</f>
        <v>12 WEST COAST</v>
      </c>
      <c r="B799" t="str">
        <f>'Unformatted Trip Summary'!J797</f>
        <v>2032/33</v>
      </c>
      <c r="C799" t="str">
        <f>'Unformatted Trip Summary'!I797</f>
        <v>Cyclist</v>
      </c>
      <c r="D799">
        <f>'Unformatted Trip Summary'!D797</f>
        <v>23</v>
      </c>
      <c r="E799">
        <f>'Unformatted Trip Summary'!E797</f>
        <v>75</v>
      </c>
      <c r="F799" s="1">
        <f>'Unformatted Trip Summary'!F797</f>
        <v>0.60379421219999996</v>
      </c>
      <c r="G799" s="1">
        <f>'Unformatted Trip Summary'!G797</f>
        <v>1.7599470812</v>
      </c>
      <c r="H799" s="1">
        <f>'Unformatted Trip Summary'!H797</f>
        <v>0.14470744560000001</v>
      </c>
    </row>
    <row r="800" spans="1:8" x14ac:dyDescent="0.2">
      <c r="A800" t="str">
        <f>'Unformatted Trip Summary'!A798</f>
        <v>12 WEST COAST</v>
      </c>
      <c r="B800" t="str">
        <f>'Unformatted Trip Summary'!J798</f>
        <v>2037/38</v>
      </c>
      <c r="C800" t="str">
        <f>'Unformatted Trip Summary'!I798</f>
        <v>Cyclist</v>
      </c>
      <c r="D800">
        <f>'Unformatted Trip Summary'!D798</f>
        <v>23</v>
      </c>
      <c r="E800">
        <f>'Unformatted Trip Summary'!E798</f>
        <v>75</v>
      </c>
      <c r="F800" s="1">
        <f>'Unformatted Trip Summary'!F798</f>
        <v>0.56604590180000003</v>
      </c>
      <c r="G800" s="1">
        <f>'Unformatted Trip Summary'!G798</f>
        <v>1.7803038049</v>
      </c>
      <c r="H800" s="1">
        <f>'Unformatted Trip Summary'!H798</f>
        <v>0.138821046</v>
      </c>
    </row>
    <row r="801" spans="1:8" x14ac:dyDescent="0.2">
      <c r="A801" t="str">
        <f>'Unformatted Trip Summary'!A799</f>
        <v>12 WEST COAST</v>
      </c>
      <c r="B801" t="str">
        <f>'Unformatted Trip Summary'!J799</f>
        <v>2042/43</v>
      </c>
      <c r="C801" t="str">
        <f>'Unformatted Trip Summary'!I799</f>
        <v>Cyclist</v>
      </c>
      <c r="D801">
        <f>'Unformatted Trip Summary'!D799</f>
        <v>23</v>
      </c>
      <c r="E801">
        <f>'Unformatted Trip Summary'!E799</f>
        <v>75</v>
      </c>
      <c r="F801" s="1">
        <f>'Unformatted Trip Summary'!F799</f>
        <v>0.52664727950000001</v>
      </c>
      <c r="G801" s="1">
        <f>'Unformatted Trip Summary'!G799</f>
        <v>1.7850135654999999</v>
      </c>
      <c r="H801" s="1">
        <f>'Unformatted Trip Summary'!H799</f>
        <v>0.13235067110000001</v>
      </c>
    </row>
    <row r="802" spans="1:8" x14ac:dyDescent="0.2">
      <c r="A802" t="str">
        <f>'Unformatted Trip Summary'!A800</f>
        <v>12 WEST COAST</v>
      </c>
      <c r="B802" t="str">
        <f>'Unformatted Trip Summary'!J800</f>
        <v>2012/13</v>
      </c>
      <c r="C802" t="str">
        <f>'Unformatted Trip Summary'!I800</f>
        <v>Light Vehicle Driver</v>
      </c>
      <c r="D802">
        <f>'Unformatted Trip Summary'!D800</f>
        <v>269</v>
      </c>
      <c r="E802">
        <f>'Unformatted Trip Summary'!E800</f>
        <v>1828</v>
      </c>
      <c r="F802" s="1">
        <f>'Unformatted Trip Summary'!F800</f>
        <v>21.329902885999999</v>
      </c>
      <c r="G802" s="1">
        <f>'Unformatted Trip Summary'!G800</f>
        <v>226.22434741999999</v>
      </c>
      <c r="H802" s="1">
        <f>'Unformatted Trip Summary'!H800</f>
        <v>5.0852916584000001</v>
      </c>
    </row>
    <row r="803" spans="1:8" x14ac:dyDescent="0.2">
      <c r="A803" t="str">
        <f>'Unformatted Trip Summary'!A801</f>
        <v>12 WEST COAST</v>
      </c>
      <c r="B803" t="str">
        <f>'Unformatted Trip Summary'!J801</f>
        <v>2017/18</v>
      </c>
      <c r="C803" t="str">
        <f>'Unformatted Trip Summary'!I801</f>
        <v>Light Vehicle Driver</v>
      </c>
      <c r="D803">
        <f>'Unformatted Trip Summary'!D801</f>
        <v>269</v>
      </c>
      <c r="E803">
        <f>'Unformatted Trip Summary'!E801</f>
        <v>1828</v>
      </c>
      <c r="F803" s="1">
        <f>'Unformatted Trip Summary'!F801</f>
        <v>21.173677544</v>
      </c>
      <c r="G803" s="1">
        <f>'Unformatted Trip Summary'!G801</f>
        <v>229.12692038</v>
      </c>
      <c r="H803" s="1">
        <f>'Unformatted Trip Summary'!H801</f>
        <v>5.1135673342999999</v>
      </c>
    </row>
    <row r="804" spans="1:8" x14ac:dyDescent="0.2">
      <c r="A804" t="str">
        <f>'Unformatted Trip Summary'!A802</f>
        <v>12 WEST COAST</v>
      </c>
      <c r="B804" t="str">
        <f>'Unformatted Trip Summary'!J802</f>
        <v>2022/23</v>
      </c>
      <c r="C804" t="str">
        <f>'Unformatted Trip Summary'!I802</f>
        <v>Light Vehicle Driver</v>
      </c>
      <c r="D804">
        <f>'Unformatted Trip Summary'!D802</f>
        <v>269</v>
      </c>
      <c r="E804">
        <f>'Unformatted Trip Summary'!E802</f>
        <v>1828</v>
      </c>
      <c r="F804" s="1">
        <f>'Unformatted Trip Summary'!F802</f>
        <v>20.184921593999999</v>
      </c>
      <c r="G804" s="1">
        <f>'Unformatted Trip Summary'!G802</f>
        <v>223.16558164</v>
      </c>
      <c r="H804" s="1">
        <f>'Unformatted Trip Summary'!H802</f>
        <v>4.9364098557</v>
      </c>
    </row>
    <row r="805" spans="1:8" x14ac:dyDescent="0.2">
      <c r="A805" t="str">
        <f>'Unformatted Trip Summary'!A803</f>
        <v>12 WEST COAST</v>
      </c>
      <c r="B805" t="str">
        <f>'Unformatted Trip Summary'!J803</f>
        <v>2027/28</v>
      </c>
      <c r="C805" t="str">
        <f>'Unformatted Trip Summary'!I803</f>
        <v>Light Vehicle Driver</v>
      </c>
      <c r="D805">
        <f>'Unformatted Trip Summary'!D803</f>
        <v>269</v>
      </c>
      <c r="E805">
        <f>'Unformatted Trip Summary'!E803</f>
        <v>1828</v>
      </c>
      <c r="F805" s="1">
        <f>'Unformatted Trip Summary'!F803</f>
        <v>19.524990466999999</v>
      </c>
      <c r="G805" s="1">
        <f>'Unformatted Trip Summary'!G803</f>
        <v>218.50345934000001</v>
      </c>
      <c r="H805" s="1">
        <f>'Unformatted Trip Summary'!H803</f>
        <v>4.8105852725</v>
      </c>
    </row>
    <row r="806" spans="1:8" x14ac:dyDescent="0.2">
      <c r="A806" t="str">
        <f>'Unformatted Trip Summary'!A804</f>
        <v>12 WEST COAST</v>
      </c>
      <c r="B806" t="str">
        <f>'Unformatted Trip Summary'!J804</f>
        <v>2032/33</v>
      </c>
      <c r="C806" t="str">
        <f>'Unformatted Trip Summary'!I804</f>
        <v>Light Vehicle Driver</v>
      </c>
      <c r="D806">
        <f>'Unformatted Trip Summary'!D804</f>
        <v>269</v>
      </c>
      <c r="E806">
        <f>'Unformatted Trip Summary'!E804</f>
        <v>1828</v>
      </c>
      <c r="F806" s="1">
        <f>'Unformatted Trip Summary'!F804</f>
        <v>18.561013673000001</v>
      </c>
      <c r="G806" s="1">
        <f>'Unformatted Trip Summary'!G804</f>
        <v>209.72816198999999</v>
      </c>
      <c r="H806" s="1">
        <f>'Unformatted Trip Summary'!H804</f>
        <v>4.5971553331999999</v>
      </c>
    </row>
    <row r="807" spans="1:8" x14ac:dyDescent="0.2">
      <c r="A807" t="str">
        <f>'Unformatted Trip Summary'!A805</f>
        <v>12 WEST COAST</v>
      </c>
      <c r="B807" t="str">
        <f>'Unformatted Trip Summary'!J805</f>
        <v>2037/38</v>
      </c>
      <c r="C807" t="str">
        <f>'Unformatted Trip Summary'!I805</f>
        <v>Light Vehicle Driver</v>
      </c>
      <c r="D807">
        <f>'Unformatted Trip Summary'!D805</f>
        <v>269</v>
      </c>
      <c r="E807">
        <f>'Unformatted Trip Summary'!E805</f>
        <v>1828</v>
      </c>
      <c r="F807" s="1">
        <f>'Unformatted Trip Summary'!F805</f>
        <v>17.904437155</v>
      </c>
      <c r="G807" s="1">
        <f>'Unformatted Trip Summary'!G805</f>
        <v>205.19390440000001</v>
      </c>
      <c r="H807" s="1">
        <f>'Unformatted Trip Summary'!H805</f>
        <v>4.4695559648999996</v>
      </c>
    </row>
    <row r="808" spans="1:8" x14ac:dyDescent="0.2">
      <c r="A808" t="str">
        <f>'Unformatted Trip Summary'!A806</f>
        <v>12 WEST COAST</v>
      </c>
      <c r="B808" t="str">
        <f>'Unformatted Trip Summary'!J806</f>
        <v>2042/43</v>
      </c>
      <c r="C808" t="str">
        <f>'Unformatted Trip Summary'!I806</f>
        <v>Light Vehicle Driver</v>
      </c>
      <c r="D808">
        <f>'Unformatted Trip Summary'!D806</f>
        <v>269</v>
      </c>
      <c r="E808">
        <f>'Unformatted Trip Summary'!E806</f>
        <v>1828</v>
      </c>
      <c r="F808" s="1">
        <f>'Unformatted Trip Summary'!F806</f>
        <v>17.229808722000001</v>
      </c>
      <c r="G808" s="1">
        <f>'Unformatted Trip Summary'!G806</f>
        <v>200.76895583999999</v>
      </c>
      <c r="H808" s="1">
        <f>'Unformatted Trip Summary'!H806</f>
        <v>4.3403804645999999</v>
      </c>
    </row>
    <row r="809" spans="1:8" x14ac:dyDescent="0.2">
      <c r="A809" t="str">
        <f>'Unformatted Trip Summary'!A807</f>
        <v>12 WEST COAST</v>
      </c>
      <c r="B809" t="str">
        <f>'Unformatted Trip Summary'!J807</f>
        <v>2012/13</v>
      </c>
      <c r="C809" t="str">
        <f>'Unformatted Trip Summary'!I807</f>
        <v>Light Vehicle Passenger</v>
      </c>
      <c r="D809">
        <f>'Unformatted Trip Summary'!D807</f>
        <v>210</v>
      </c>
      <c r="E809">
        <f>'Unformatted Trip Summary'!E807</f>
        <v>1017</v>
      </c>
      <c r="F809" s="1">
        <f>'Unformatted Trip Summary'!F807</f>
        <v>11.090105214999999</v>
      </c>
      <c r="G809" s="1">
        <f>'Unformatted Trip Summary'!G807</f>
        <v>160.37072223999999</v>
      </c>
      <c r="H809" s="1">
        <f>'Unformatted Trip Summary'!H807</f>
        <v>3.4140139011000001</v>
      </c>
    </row>
    <row r="810" spans="1:8" x14ac:dyDescent="0.2">
      <c r="A810" t="str">
        <f>'Unformatted Trip Summary'!A808</f>
        <v>12 WEST COAST</v>
      </c>
      <c r="B810" t="str">
        <f>'Unformatted Trip Summary'!J808</f>
        <v>2017/18</v>
      </c>
      <c r="C810" t="str">
        <f>'Unformatted Trip Summary'!I808</f>
        <v>Light Vehicle Passenger</v>
      </c>
      <c r="D810">
        <f>'Unformatted Trip Summary'!D808</f>
        <v>210</v>
      </c>
      <c r="E810">
        <f>'Unformatted Trip Summary'!E808</f>
        <v>1017</v>
      </c>
      <c r="F810" s="1">
        <f>'Unformatted Trip Summary'!F808</f>
        <v>10.39494741</v>
      </c>
      <c r="G810" s="1">
        <f>'Unformatted Trip Summary'!G808</f>
        <v>158.73684238999999</v>
      </c>
      <c r="H810" s="1">
        <f>'Unformatted Trip Summary'!H808</f>
        <v>3.3665539956999999</v>
      </c>
    </row>
    <row r="811" spans="1:8" x14ac:dyDescent="0.2">
      <c r="A811" t="str">
        <f>'Unformatted Trip Summary'!A809</f>
        <v>12 WEST COAST</v>
      </c>
      <c r="B811" t="str">
        <f>'Unformatted Trip Summary'!J809</f>
        <v>2022/23</v>
      </c>
      <c r="C811" t="str">
        <f>'Unformatted Trip Summary'!I809</f>
        <v>Light Vehicle Passenger</v>
      </c>
      <c r="D811">
        <f>'Unformatted Trip Summary'!D809</f>
        <v>210</v>
      </c>
      <c r="E811">
        <f>'Unformatted Trip Summary'!E809</f>
        <v>1017</v>
      </c>
      <c r="F811" s="1">
        <f>'Unformatted Trip Summary'!F809</f>
        <v>9.5583679216000004</v>
      </c>
      <c r="G811" s="1">
        <f>'Unformatted Trip Summary'!G809</f>
        <v>150.53198166999999</v>
      </c>
      <c r="H811" s="1">
        <f>'Unformatted Trip Summary'!H809</f>
        <v>3.1992041257000001</v>
      </c>
    </row>
    <row r="812" spans="1:8" x14ac:dyDescent="0.2">
      <c r="A812" t="str">
        <f>'Unformatted Trip Summary'!A810</f>
        <v>12 WEST COAST</v>
      </c>
      <c r="B812" t="str">
        <f>'Unformatted Trip Summary'!J810</f>
        <v>2027/28</v>
      </c>
      <c r="C812" t="str">
        <f>'Unformatted Trip Summary'!I810</f>
        <v>Light Vehicle Passenger</v>
      </c>
      <c r="D812">
        <f>'Unformatted Trip Summary'!D810</f>
        <v>210</v>
      </c>
      <c r="E812">
        <f>'Unformatted Trip Summary'!E810</f>
        <v>1017</v>
      </c>
      <c r="F812" s="1">
        <f>'Unformatted Trip Summary'!F810</f>
        <v>9.1890569186000004</v>
      </c>
      <c r="G812" s="1">
        <f>'Unformatted Trip Summary'!G810</f>
        <v>149.11608672</v>
      </c>
      <c r="H812" s="1">
        <f>'Unformatted Trip Summary'!H810</f>
        <v>3.1690068988000002</v>
      </c>
    </row>
    <row r="813" spans="1:8" x14ac:dyDescent="0.2">
      <c r="A813" t="str">
        <f>'Unformatted Trip Summary'!A811</f>
        <v>12 WEST COAST</v>
      </c>
      <c r="B813" t="str">
        <f>'Unformatted Trip Summary'!J811</f>
        <v>2032/33</v>
      </c>
      <c r="C813" t="str">
        <f>'Unformatted Trip Summary'!I811</f>
        <v>Light Vehicle Passenger</v>
      </c>
      <c r="D813">
        <f>'Unformatted Trip Summary'!D811</f>
        <v>210</v>
      </c>
      <c r="E813">
        <f>'Unformatted Trip Summary'!E811</f>
        <v>1017</v>
      </c>
      <c r="F813" s="1">
        <f>'Unformatted Trip Summary'!F811</f>
        <v>8.6176490158999997</v>
      </c>
      <c r="G813" s="1">
        <f>'Unformatted Trip Summary'!G811</f>
        <v>141.17923217000001</v>
      </c>
      <c r="H813" s="1">
        <f>'Unformatted Trip Summary'!H811</f>
        <v>3.0220415174999999</v>
      </c>
    </row>
    <row r="814" spans="1:8" x14ac:dyDescent="0.2">
      <c r="A814" t="str">
        <f>'Unformatted Trip Summary'!A812</f>
        <v>12 WEST COAST</v>
      </c>
      <c r="B814" t="str">
        <f>'Unformatted Trip Summary'!J812</f>
        <v>2037/38</v>
      </c>
      <c r="C814" t="str">
        <f>'Unformatted Trip Summary'!I812</f>
        <v>Light Vehicle Passenger</v>
      </c>
      <c r="D814">
        <f>'Unformatted Trip Summary'!D812</f>
        <v>210</v>
      </c>
      <c r="E814">
        <f>'Unformatted Trip Summary'!E812</f>
        <v>1017</v>
      </c>
      <c r="F814" s="1">
        <f>'Unformatted Trip Summary'!F812</f>
        <v>7.9986833519999996</v>
      </c>
      <c r="G814" s="1">
        <f>'Unformatted Trip Summary'!G812</f>
        <v>132.9732204</v>
      </c>
      <c r="H814" s="1">
        <f>'Unformatted Trip Summary'!H812</f>
        <v>2.8455904475999998</v>
      </c>
    </row>
    <row r="815" spans="1:8" x14ac:dyDescent="0.2">
      <c r="A815" t="str">
        <f>'Unformatted Trip Summary'!A813</f>
        <v>12 WEST COAST</v>
      </c>
      <c r="B815" t="str">
        <f>'Unformatted Trip Summary'!J813</f>
        <v>2042/43</v>
      </c>
      <c r="C815" t="str">
        <f>'Unformatted Trip Summary'!I813</f>
        <v>Light Vehicle Passenger</v>
      </c>
      <c r="D815">
        <f>'Unformatted Trip Summary'!D813</f>
        <v>210</v>
      </c>
      <c r="E815">
        <f>'Unformatted Trip Summary'!E813</f>
        <v>1017</v>
      </c>
      <c r="F815" s="1">
        <f>'Unformatted Trip Summary'!F813</f>
        <v>7.3779661343000003</v>
      </c>
      <c r="G815" s="1">
        <f>'Unformatted Trip Summary'!G813</f>
        <v>124.55648246</v>
      </c>
      <c r="H815" s="1">
        <f>'Unformatted Trip Summary'!H813</f>
        <v>2.6608210016</v>
      </c>
    </row>
    <row r="816" spans="1:8" x14ac:dyDescent="0.2">
      <c r="A816" t="str">
        <f>'Unformatted Trip Summary'!A814</f>
        <v>12 WEST COAST</v>
      </c>
      <c r="B816" t="str">
        <f>'Unformatted Trip Summary'!J814</f>
        <v>2012/13</v>
      </c>
      <c r="C816" t="str">
        <f>'Unformatted Trip Summary'!I814</f>
        <v>Taxi/Vehicle Share</v>
      </c>
      <c r="D816">
        <f>'Unformatted Trip Summary'!D814</f>
        <v>12</v>
      </c>
      <c r="E816">
        <f>'Unformatted Trip Summary'!E814</f>
        <v>23</v>
      </c>
      <c r="F816" s="1">
        <f>'Unformatted Trip Summary'!F814</f>
        <v>0.29973375209999997</v>
      </c>
      <c r="G816" s="1">
        <f>'Unformatted Trip Summary'!G814</f>
        <v>1.6916956777000001</v>
      </c>
      <c r="H816" s="1">
        <f>'Unformatted Trip Summary'!H814</f>
        <v>6.5507808299999998E-2</v>
      </c>
    </row>
    <row r="817" spans="1:8" x14ac:dyDescent="0.2">
      <c r="A817" t="str">
        <f>'Unformatted Trip Summary'!A815</f>
        <v>12 WEST COAST</v>
      </c>
      <c r="B817" t="str">
        <f>'Unformatted Trip Summary'!J815</f>
        <v>2017/18</v>
      </c>
      <c r="C817" t="str">
        <f>'Unformatted Trip Summary'!I815</f>
        <v>Taxi/Vehicle Share</v>
      </c>
      <c r="D817">
        <f>'Unformatted Trip Summary'!D815</f>
        <v>12</v>
      </c>
      <c r="E817">
        <f>'Unformatted Trip Summary'!E815</f>
        <v>23</v>
      </c>
      <c r="F817" s="1">
        <f>'Unformatted Trip Summary'!F815</f>
        <v>0.35018449550000003</v>
      </c>
      <c r="G817" s="1">
        <f>'Unformatted Trip Summary'!G815</f>
        <v>1.9366105358000001</v>
      </c>
      <c r="H817" s="1">
        <f>'Unformatted Trip Summary'!H815</f>
        <v>7.7040997700000002E-2</v>
      </c>
    </row>
    <row r="818" spans="1:8" x14ac:dyDescent="0.2">
      <c r="A818" t="str">
        <f>'Unformatted Trip Summary'!A816</f>
        <v>12 WEST COAST</v>
      </c>
      <c r="B818" t="str">
        <f>'Unformatted Trip Summary'!J816</f>
        <v>2022/23</v>
      </c>
      <c r="C818" t="str">
        <f>'Unformatted Trip Summary'!I816</f>
        <v>Taxi/Vehicle Share</v>
      </c>
      <c r="D818">
        <f>'Unformatted Trip Summary'!D816</f>
        <v>12</v>
      </c>
      <c r="E818">
        <f>'Unformatted Trip Summary'!E816</f>
        <v>23</v>
      </c>
      <c r="F818" s="1">
        <f>'Unformatted Trip Summary'!F816</f>
        <v>0.38063343199999999</v>
      </c>
      <c r="G818" s="1">
        <f>'Unformatted Trip Summary'!G816</f>
        <v>2.0571599365000002</v>
      </c>
      <c r="H818" s="1">
        <f>'Unformatted Trip Summary'!H816</f>
        <v>8.4058343699999996E-2</v>
      </c>
    </row>
    <row r="819" spans="1:8" x14ac:dyDescent="0.2">
      <c r="A819" t="str">
        <f>'Unformatted Trip Summary'!A817</f>
        <v>12 WEST COAST</v>
      </c>
      <c r="B819" t="str">
        <f>'Unformatted Trip Summary'!J817</f>
        <v>2027/28</v>
      </c>
      <c r="C819" t="str">
        <f>'Unformatted Trip Summary'!I817</f>
        <v>Taxi/Vehicle Share</v>
      </c>
      <c r="D819">
        <f>'Unformatted Trip Summary'!D817</f>
        <v>12</v>
      </c>
      <c r="E819">
        <f>'Unformatted Trip Summary'!E817</f>
        <v>23</v>
      </c>
      <c r="F819" s="1">
        <f>'Unformatted Trip Summary'!F817</f>
        <v>0.39296628030000003</v>
      </c>
      <c r="G819" s="1">
        <f>'Unformatted Trip Summary'!G817</f>
        <v>2.2315444195</v>
      </c>
      <c r="H819" s="1">
        <f>'Unformatted Trip Summary'!H817</f>
        <v>8.7939973800000001E-2</v>
      </c>
    </row>
    <row r="820" spans="1:8" x14ac:dyDescent="0.2">
      <c r="A820" t="str">
        <f>'Unformatted Trip Summary'!A818</f>
        <v>12 WEST COAST</v>
      </c>
      <c r="B820" t="str">
        <f>'Unformatted Trip Summary'!J818</f>
        <v>2032/33</v>
      </c>
      <c r="C820" t="str">
        <f>'Unformatted Trip Summary'!I818</f>
        <v>Taxi/Vehicle Share</v>
      </c>
      <c r="D820">
        <f>'Unformatted Trip Summary'!D818</f>
        <v>12</v>
      </c>
      <c r="E820">
        <f>'Unformatted Trip Summary'!E818</f>
        <v>23</v>
      </c>
      <c r="F820" s="1">
        <f>'Unformatted Trip Summary'!F818</f>
        <v>0.38583403890000001</v>
      </c>
      <c r="G820" s="1">
        <f>'Unformatted Trip Summary'!G818</f>
        <v>2.1772159063999998</v>
      </c>
      <c r="H820" s="1">
        <f>'Unformatted Trip Summary'!H818</f>
        <v>8.59956375E-2</v>
      </c>
    </row>
    <row r="821" spans="1:8" x14ac:dyDescent="0.2">
      <c r="A821" t="str">
        <f>'Unformatted Trip Summary'!A819</f>
        <v>12 WEST COAST</v>
      </c>
      <c r="B821" t="str">
        <f>'Unformatted Trip Summary'!J819</f>
        <v>2037/38</v>
      </c>
      <c r="C821" t="str">
        <f>'Unformatted Trip Summary'!I819</f>
        <v>Taxi/Vehicle Share</v>
      </c>
      <c r="D821">
        <f>'Unformatted Trip Summary'!D819</f>
        <v>12</v>
      </c>
      <c r="E821">
        <f>'Unformatted Trip Summary'!E819</f>
        <v>23</v>
      </c>
      <c r="F821" s="1">
        <f>'Unformatted Trip Summary'!F819</f>
        <v>0.38333093200000001</v>
      </c>
      <c r="G821" s="1">
        <f>'Unformatted Trip Summary'!G819</f>
        <v>2.1756387959999999</v>
      </c>
      <c r="H821" s="1">
        <f>'Unformatted Trip Summary'!H819</f>
        <v>8.5453895700000004E-2</v>
      </c>
    </row>
    <row r="822" spans="1:8" x14ac:dyDescent="0.2">
      <c r="A822" t="str">
        <f>'Unformatted Trip Summary'!A820</f>
        <v>12 WEST COAST</v>
      </c>
      <c r="B822" t="str">
        <f>'Unformatted Trip Summary'!J820</f>
        <v>2042/43</v>
      </c>
      <c r="C822" t="str">
        <f>'Unformatted Trip Summary'!I820</f>
        <v>Taxi/Vehicle Share</v>
      </c>
      <c r="D822">
        <f>'Unformatted Trip Summary'!D820</f>
        <v>12</v>
      </c>
      <c r="E822">
        <f>'Unformatted Trip Summary'!E820</f>
        <v>23</v>
      </c>
      <c r="F822" s="1">
        <f>'Unformatted Trip Summary'!F820</f>
        <v>0.37606985059999998</v>
      </c>
      <c r="G822" s="1">
        <f>'Unformatted Trip Summary'!G820</f>
        <v>2.1338476257000001</v>
      </c>
      <c r="H822" s="1">
        <f>'Unformatted Trip Summary'!H820</f>
        <v>8.3834992799999994E-2</v>
      </c>
    </row>
    <row r="823" spans="1:8" x14ac:dyDescent="0.2">
      <c r="A823" t="str">
        <f>'Unformatted Trip Summary'!A821</f>
        <v>12 WEST COAST</v>
      </c>
      <c r="B823" t="str">
        <f>'Unformatted Trip Summary'!J821</f>
        <v>2012/13</v>
      </c>
      <c r="C823" t="str">
        <f>'Unformatted Trip Summary'!I821</f>
        <v>Motorcyclist</v>
      </c>
      <c r="D823">
        <f>'Unformatted Trip Summary'!D821</f>
        <v>2</v>
      </c>
      <c r="E823">
        <f>'Unformatted Trip Summary'!E821</f>
        <v>5</v>
      </c>
      <c r="F823" s="1">
        <f>'Unformatted Trip Summary'!F821</f>
        <v>6.1723256599999998E-2</v>
      </c>
      <c r="G823" s="1">
        <f>'Unformatted Trip Summary'!G821</f>
        <v>0.29466348679999999</v>
      </c>
      <c r="H823" s="1">
        <f>'Unformatted Trip Summary'!H821</f>
        <v>9.7989774000000005E-3</v>
      </c>
    </row>
    <row r="824" spans="1:8" x14ac:dyDescent="0.2">
      <c r="A824" t="str">
        <f>'Unformatted Trip Summary'!A822</f>
        <v>12 WEST COAST</v>
      </c>
      <c r="B824" t="str">
        <f>'Unformatted Trip Summary'!J822</f>
        <v>2017/18</v>
      </c>
      <c r="C824" t="str">
        <f>'Unformatted Trip Summary'!I822</f>
        <v>Motorcyclist</v>
      </c>
      <c r="D824">
        <f>'Unformatted Trip Summary'!D822</f>
        <v>2</v>
      </c>
      <c r="E824">
        <f>'Unformatted Trip Summary'!E822</f>
        <v>5</v>
      </c>
      <c r="F824" s="1">
        <f>'Unformatted Trip Summary'!F822</f>
        <v>7.0212227599999996E-2</v>
      </c>
      <c r="G824" s="1">
        <f>'Unformatted Trip Summary'!G822</f>
        <v>0.33762341019999997</v>
      </c>
      <c r="H824" s="1">
        <f>'Unformatted Trip Summary'!H822</f>
        <v>1.1208358E-2</v>
      </c>
    </row>
    <row r="825" spans="1:8" x14ac:dyDescent="0.2">
      <c r="A825" t="str">
        <f>'Unformatted Trip Summary'!A823</f>
        <v>12 WEST COAST</v>
      </c>
      <c r="B825" t="str">
        <f>'Unformatted Trip Summary'!J823</f>
        <v>2022/23</v>
      </c>
      <c r="C825" t="str">
        <f>'Unformatted Trip Summary'!I823</f>
        <v>Motorcyclist</v>
      </c>
      <c r="D825">
        <f>'Unformatted Trip Summary'!D823</f>
        <v>2</v>
      </c>
      <c r="E825">
        <f>'Unformatted Trip Summary'!E823</f>
        <v>5</v>
      </c>
      <c r="F825" s="1">
        <f>'Unformatted Trip Summary'!F823</f>
        <v>7.5101134200000003E-2</v>
      </c>
      <c r="G825" s="1">
        <f>'Unformatted Trip Summary'!G823</f>
        <v>0.3399369169</v>
      </c>
      <c r="H825" s="1">
        <f>'Unformatted Trip Summary'!H823</f>
        <v>1.1451522400000001E-2</v>
      </c>
    </row>
    <row r="826" spans="1:8" x14ac:dyDescent="0.2">
      <c r="A826" t="str">
        <f>'Unformatted Trip Summary'!A824</f>
        <v>12 WEST COAST</v>
      </c>
      <c r="B826" t="str">
        <f>'Unformatted Trip Summary'!J824</f>
        <v>2027/28</v>
      </c>
      <c r="C826" t="str">
        <f>'Unformatted Trip Summary'!I824</f>
        <v>Motorcyclist</v>
      </c>
      <c r="D826">
        <f>'Unformatted Trip Summary'!D824</f>
        <v>2</v>
      </c>
      <c r="E826">
        <f>'Unformatted Trip Summary'!E824</f>
        <v>5</v>
      </c>
      <c r="F826" s="1">
        <f>'Unformatted Trip Summary'!F824</f>
        <v>7.9002041999999995E-2</v>
      </c>
      <c r="G826" s="1">
        <f>'Unformatted Trip Summary'!G824</f>
        <v>0.35314842689999998</v>
      </c>
      <c r="H826" s="1">
        <f>'Unformatted Trip Summary'!H824</f>
        <v>1.19336493E-2</v>
      </c>
    </row>
    <row r="827" spans="1:8" x14ac:dyDescent="0.2">
      <c r="A827" t="str">
        <f>'Unformatted Trip Summary'!A825</f>
        <v>12 WEST COAST</v>
      </c>
      <c r="B827" t="str">
        <f>'Unformatted Trip Summary'!J825</f>
        <v>2032/33</v>
      </c>
      <c r="C827" t="str">
        <f>'Unformatted Trip Summary'!I825</f>
        <v>Motorcyclist</v>
      </c>
      <c r="D827">
        <f>'Unformatted Trip Summary'!D825</f>
        <v>2</v>
      </c>
      <c r="E827">
        <f>'Unformatted Trip Summary'!E825</f>
        <v>5</v>
      </c>
      <c r="F827" s="1">
        <f>'Unformatted Trip Summary'!F825</f>
        <v>8.3092883800000003E-2</v>
      </c>
      <c r="G827" s="1">
        <f>'Unformatted Trip Summary'!G825</f>
        <v>0.38050061219999998</v>
      </c>
      <c r="H827" s="1">
        <f>'Unformatted Trip Summary'!H825</f>
        <v>1.27813949E-2</v>
      </c>
    </row>
    <row r="828" spans="1:8" x14ac:dyDescent="0.2">
      <c r="A828" t="str">
        <f>'Unformatted Trip Summary'!A826</f>
        <v>12 WEST COAST</v>
      </c>
      <c r="B828" t="str">
        <f>'Unformatted Trip Summary'!J826</f>
        <v>2037/38</v>
      </c>
      <c r="C828" t="str">
        <f>'Unformatted Trip Summary'!I826</f>
        <v>Motorcyclist</v>
      </c>
      <c r="D828">
        <f>'Unformatted Trip Summary'!D826</f>
        <v>2</v>
      </c>
      <c r="E828">
        <f>'Unformatted Trip Summary'!E826</f>
        <v>5</v>
      </c>
      <c r="F828" s="1">
        <f>'Unformatted Trip Summary'!F826</f>
        <v>9.00575084E-2</v>
      </c>
      <c r="G828" s="1">
        <f>'Unformatted Trip Summary'!G826</f>
        <v>0.41793959409999998</v>
      </c>
      <c r="H828" s="1">
        <f>'Unformatted Trip Summary'!H826</f>
        <v>1.3993293299999999E-2</v>
      </c>
    </row>
    <row r="829" spans="1:8" x14ac:dyDescent="0.2">
      <c r="A829" t="str">
        <f>'Unformatted Trip Summary'!A827</f>
        <v>12 WEST COAST</v>
      </c>
      <c r="B829" t="str">
        <f>'Unformatted Trip Summary'!J827</f>
        <v>2042/43</v>
      </c>
      <c r="C829" t="str">
        <f>'Unformatted Trip Summary'!I827</f>
        <v>Motorcyclist</v>
      </c>
      <c r="D829">
        <f>'Unformatted Trip Summary'!D827</f>
        <v>2</v>
      </c>
      <c r="E829">
        <f>'Unformatted Trip Summary'!E827</f>
        <v>5</v>
      </c>
      <c r="F829" s="1">
        <f>'Unformatted Trip Summary'!F827</f>
        <v>9.4113766000000001E-2</v>
      </c>
      <c r="G829" s="1">
        <f>'Unformatted Trip Summary'!G827</f>
        <v>0.4417144502</v>
      </c>
      <c r="H829" s="1">
        <f>'Unformatted Trip Summary'!H827</f>
        <v>1.47490524E-2</v>
      </c>
    </row>
    <row r="830" spans="1:8" x14ac:dyDescent="0.2">
      <c r="A830" t="str">
        <f>'Unformatted Trip Summary'!A828</f>
        <v>12 WEST COAST</v>
      </c>
      <c r="B830" t="str">
        <f>'Unformatted Trip Summary'!J828</f>
        <v>2012/13</v>
      </c>
      <c r="C830" t="str">
        <f>'Unformatted Trip Summary'!I828</f>
        <v>Local Bus</v>
      </c>
      <c r="D830">
        <f>'Unformatted Trip Summary'!D828</f>
        <v>15</v>
      </c>
      <c r="E830">
        <f>'Unformatted Trip Summary'!E828</f>
        <v>42</v>
      </c>
      <c r="F830" s="1">
        <f>'Unformatted Trip Summary'!F828</f>
        <v>0.50805546800000001</v>
      </c>
      <c r="G830" s="1">
        <f>'Unformatted Trip Summary'!G828</f>
        <v>6.0600083682000001</v>
      </c>
      <c r="H830" s="1">
        <f>'Unformatted Trip Summary'!H828</f>
        <v>0.18249519829999999</v>
      </c>
    </row>
    <row r="831" spans="1:8" x14ac:dyDescent="0.2">
      <c r="A831" t="str">
        <f>'Unformatted Trip Summary'!A829</f>
        <v>12 WEST COAST</v>
      </c>
      <c r="B831" t="str">
        <f>'Unformatted Trip Summary'!J829</f>
        <v>2017/18</v>
      </c>
      <c r="C831" t="str">
        <f>'Unformatted Trip Summary'!I829</f>
        <v>Local Bus</v>
      </c>
      <c r="D831">
        <f>'Unformatted Trip Summary'!D829</f>
        <v>15</v>
      </c>
      <c r="E831">
        <f>'Unformatted Trip Summary'!E829</f>
        <v>42</v>
      </c>
      <c r="F831" s="1">
        <f>'Unformatted Trip Summary'!F829</f>
        <v>0.48281976609999999</v>
      </c>
      <c r="G831" s="1">
        <f>'Unformatted Trip Summary'!G829</f>
        <v>5.7737770516999998</v>
      </c>
      <c r="H831" s="1">
        <f>'Unformatted Trip Summary'!H829</f>
        <v>0.17265670820000001</v>
      </c>
    </row>
    <row r="832" spans="1:8" x14ac:dyDescent="0.2">
      <c r="A832" t="str">
        <f>'Unformatted Trip Summary'!A830</f>
        <v>12 WEST COAST</v>
      </c>
      <c r="B832" t="str">
        <f>'Unformatted Trip Summary'!J830</f>
        <v>2022/23</v>
      </c>
      <c r="C832" t="str">
        <f>'Unformatted Trip Summary'!I830</f>
        <v>Local Bus</v>
      </c>
      <c r="D832">
        <f>'Unformatted Trip Summary'!D830</f>
        <v>15</v>
      </c>
      <c r="E832">
        <f>'Unformatted Trip Summary'!E830</f>
        <v>42</v>
      </c>
      <c r="F832" s="1">
        <f>'Unformatted Trip Summary'!F830</f>
        <v>0.43908924269999999</v>
      </c>
      <c r="G832" s="1">
        <f>'Unformatted Trip Summary'!G830</f>
        <v>5.2927871269000004</v>
      </c>
      <c r="H832" s="1">
        <f>'Unformatted Trip Summary'!H830</f>
        <v>0.15689643980000001</v>
      </c>
    </row>
    <row r="833" spans="1:8" x14ac:dyDescent="0.2">
      <c r="A833" t="str">
        <f>'Unformatted Trip Summary'!A831</f>
        <v>12 WEST COAST</v>
      </c>
      <c r="B833" t="str">
        <f>'Unformatted Trip Summary'!J831</f>
        <v>2027/28</v>
      </c>
      <c r="C833" t="str">
        <f>'Unformatted Trip Summary'!I831</f>
        <v>Local Bus</v>
      </c>
      <c r="D833">
        <f>'Unformatted Trip Summary'!D831</f>
        <v>15</v>
      </c>
      <c r="E833">
        <f>'Unformatted Trip Summary'!E831</f>
        <v>42</v>
      </c>
      <c r="F833" s="1">
        <f>'Unformatted Trip Summary'!F831</f>
        <v>0.41298249460000003</v>
      </c>
      <c r="G833" s="1">
        <f>'Unformatted Trip Summary'!G831</f>
        <v>5.0106129143000002</v>
      </c>
      <c r="H833" s="1">
        <f>'Unformatted Trip Summary'!H831</f>
        <v>0.14837905039999999</v>
      </c>
    </row>
    <row r="834" spans="1:8" x14ac:dyDescent="0.2">
      <c r="A834" t="str">
        <f>'Unformatted Trip Summary'!A832</f>
        <v>12 WEST COAST</v>
      </c>
      <c r="B834" t="str">
        <f>'Unformatted Trip Summary'!J832</f>
        <v>2032/33</v>
      </c>
      <c r="C834" t="str">
        <f>'Unformatted Trip Summary'!I832</f>
        <v>Local Bus</v>
      </c>
      <c r="D834">
        <f>'Unformatted Trip Summary'!D832</f>
        <v>15</v>
      </c>
      <c r="E834">
        <f>'Unformatted Trip Summary'!E832</f>
        <v>42</v>
      </c>
      <c r="F834" s="1">
        <f>'Unformatted Trip Summary'!F832</f>
        <v>0.3772257222</v>
      </c>
      <c r="G834" s="1">
        <f>'Unformatted Trip Summary'!G832</f>
        <v>4.7190409752000004</v>
      </c>
      <c r="H834" s="1">
        <f>'Unformatted Trip Summary'!H832</f>
        <v>0.1377886499</v>
      </c>
    </row>
    <row r="835" spans="1:8" x14ac:dyDescent="0.2">
      <c r="A835" t="str">
        <f>'Unformatted Trip Summary'!A833</f>
        <v>12 WEST COAST</v>
      </c>
      <c r="B835" t="str">
        <f>'Unformatted Trip Summary'!J833</f>
        <v>2037/38</v>
      </c>
      <c r="C835" t="str">
        <f>'Unformatted Trip Summary'!I833</f>
        <v>Local Bus</v>
      </c>
      <c r="D835">
        <f>'Unformatted Trip Summary'!D833</f>
        <v>15</v>
      </c>
      <c r="E835">
        <f>'Unformatted Trip Summary'!E833</f>
        <v>42</v>
      </c>
      <c r="F835" s="1">
        <f>'Unformatted Trip Summary'!F833</f>
        <v>0.33844422010000003</v>
      </c>
      <c r="G835" s="1">
        <f>'Unformatted Trip Summary'!G833</f>
        <v>4.4612394631000001</v>
      </c>
      <c r="H835" s="1">
        <f>'Unformatted Trip Summary'!H833</f>
        <v>0.12698719</v>
      </c>
    </row>
    <row r="836" spans="1:8" x14ac:dyDescent="0.2">
      <c r="A836" t="str">
        <f>'Unformatted Trip Summary'!A834</f>
        <v>12 WEST COAST</v>
      </c>
      <c r="B836" t="str">
        <f>'Unformatted Trip Summary'!J834</f>
        <v>2042/43</v>
      </c>
      <c r="C836" t="str">
        <f>'Unformatted Trip Summary'!I834</f>
        <v>Local Bus</v>
      </c>
      <c r="D836">
        <f>'Unformatted Trip Summary'!D834</f>
        <v>15</v>
      </c>
      <c r="E836">
        <f>'Unformatted Trip Summary'!E834</f>
        <v>42</v>
      </c>
      <c r="F836" s="1">
        <f>'Unformatted Trip Summary'!F834</f>
        <v>0.30199544439999998</v>
      </c>
      <c r="G836" s="1">
        <f>'Unformatted Trip Summary'!G834</f>
        <v>4.2566500745000004</v>
      </c>
      <c r="H836" s="1">
        <f>'Unformatted Trip Summary'!H834</f>
        <v>0.11739739389999999</v>
      </c>
    </row>
    <row r="837" spans="1:8" x14ac:dyDescent="0.2">
      <c r="A837" t="str">
        <f>'Unformatted Trip Summary'!A835</f>
        <v>12 WEST COAST</v>
      </c>
      <c r="B837" t="str">
        <f>'Unformatted Trip Summary'!J835</f>
        <v>2012/13</v>
      </c>
      <c r="C837" t="str">
        <f>'Unformatted Trip Summary'!I835</f>
        <v>Other Household Travel</v>
      </c>
      <c r="D837">
        <f>'Unformatted Trip Summary'!D835</f>
        <v>3</v>
      </c>
      <c r="E837">
        <f>'Unformatted Trip Summary'!E835</f>
        <v>3</v>
      </c>
      <c r="F837" s="1">
        <f>'Unformatted Trip Summary'!F835</f>
        <v>2.77012627E-2</v>
      </c>
      <c r="G837" s="1">
        <f>'Unformatted Trip Summary'!G835</f>
        <v>0</v>
      </c>
      <c r="H837" s="1">
        <f>'Unformatted Trip Summary'!H835</f>
        <v>3.6766106000000001E-3</v>
      </c>
    </row>
    <row r="838" spans="1:8" x14ac:dyDescent="0.2">
      <c r="A838" t="str">
        <f>'Unformatted Trip Summary'!A836</f>
        <v>12 WEST COAST</v>
      </c>
      <c r="B838" t="str">
        <f>'Unformatted Trip Summary'!J836</f>
        <v>2017/18</v>
      </c>
      <c r="C838" t="str">
        <f>'Unformatted Trip Summary'!I836</f>
        <v>Other Household Travel</v>
      </c>
      <c r="D838">
        <f>'Unformatted Trip Summary'!D836</f>
        <v>3</v>
      </c>
      <c r="E838">
        <f>'Unformatted Trip Summary'!E836</f>
        <v>3</v>
      </c>
      <c r="F838" s="1">
        <f>'Unformatted Trip Summary'!F836</f>
        <v>2.7203377599999998E-2</v>
      </c>
      <c r="G838" s="1">
        <f>'Unformatted Trip Summary'!G836</f>
        <v>0</v>
      </c>
      <c r="H838" s="1">
        <f>'Unformatted Trip Summary'!H836</f>
        <v>3.5386453000000001E-3</v>
      </c>
    </row>
    <row r="839" spans="1:8" x14ac:dyDescent="0.2">
      <c r="A839" t="str">
        <f>'Unformatted Trip Summary'!A837</f>
        <v>12 WEST COAST</v>
      </c>
      <c r="B839" t="str">
        <f>'Unformatted Trip Summary'!J837</f>
        <v>2022/23</v>
      </c>
      <c r="C839" t="str">
        <f>'Unformatted Trip Summary'!I837</f>
        <v>Other Household Travel</v>
      </c>
      <c r="D839">
        <f>'Unformatted Trip Summary'!D837</f>
        <v>3</v>
      </c>
      <c r="E839">
        <f>'Unformatted Trip Summary'!E837</f>
        <v>3</v>
      </c>
      <c r="F839" s="1">
        <f>'Unformatted Trip Summary'!F837</f>
        <v>2.5449654200000001E-2</v>
      </c>
      <c r="G839" s="1">
        <f>'Unformatted Trip Summary'!G837</f>
        <v>0</v>
      </c>
      <c r="H839" s="1">
        <f>'Unformatted Trip Summary'!H837</f>
        <v>3.2601943000000002E-3</v>
      </c>
    </row>
    <row r="840" spans="1:8" x14ac:dyDescent="0.2">
      <c r="A840" t="str">
        <f>'Unformatted Trip Summary'!A838</f>
        <v>12 WEST COAST</v>
      </c>
      <c r="B840" t="str">
        <f>'Unformatted Trip Summary'!J838</f>
        <v>2027/28</v>
      </c>
      <c r="C840" t="str">
        <f>'Unformatted Trip Summary'!I838</f>
        <v>Other Household Travel</v>
      </c>
      <c r="D840">
        <f>'Unformatted Trip Summary'!D838</f>
        <v>3</v>
      </c>
      <c r="E840">
        <f>'Unformatted Trip Summary'!E838</f>
        <v>3</v>
      </c>
      <c r="F840" s="1">
        <f>'Unformatted Trip Summary'!F838</f>
        <v>2.2031642899999999E-2</v>
      </c>
      <c r="G840" s="1">
        <f>'Unformatted Trip Summary'!G838</f>
        <v>0</v>
      </c>
      <c r="H840" s="1">
        <f>'Unformatted Trip Summary'!H838</f>
        <v>2.7855107E-3</v>
      </c>
    </row>
    <row r="841" spans="1:8" x14ac:dyDescent="0.2">
      <c r="A841" t="str">
        <f>'Unformatted Trip Summary'!A839</f>
        <v>12 WEST COAST</v>
      </c>
      <c r="B841" t="str">
        <f>'Unformatted Trip Summary'!J839</f>
        <v>2032/33</v>
      </c>
      <c r="C841" t="str">
        <f>'Unformatted Trip Summary'!I839</f>
        <v>Other Household Travel</v>
      </c>
      <c r="D841">
        <f>'Unformatted Trip Summary'!D839</f>
        <v>3</v>
      </c>
      <c r="E841">
        <f>'Unformatted Trip Summary'!E839</f>
        <v>3</v>
      </c>
      <c r="F841" s="1">
        <f>'Unformatted Trip Summary'!F839</f>
        <v>1.9755071799999999E-2</v>
      </c>
      <c r="G841" s="1">
        <f>'Unformatted Trip Summary'!G839</f>
        <v>0</v>
      </c>
      <c r="H841" s="1">
        <f>'Unformatted Trip Summary'!H839</f>
        <v>2.5288175999999998E-3</v>
      </c>
    </row>
    <row r="842" spans="1:8" x14ac:dyDescent="0.2">
      <c r="A842" t="str">
        <f>'Unformatted Trip Summary'!A840</f>
        <v>12 WEST COAST</v>
      </c>
      <c r="B842" t="str">
        <f>'Unformatted Trip Summary'!J840</f>
        <v>2037/38</v>
      </c>
      <c r="C842" t="str">
        <f>'Unformatted Trip Summary'!I840</f>
        <v>Other Household Travel</v>
      </c>
      <c r="D842">
        <f>'Unformatted Trip Summary'!D840</f>
        <v>3</v>
      </c>
      <c r="E842">
        <f>'Unformatted Trip Summary'!E840</f>
        <v>3</v>
      </c>
      <c r="F842" s="1">
        <f>'Unformatted Trip Summary'!F840</f>
        <v>1.94570562E-2</v>
      </c>
      <c r="G842" s="1">
        <f>'Unformatted Trip Summary'!G840</f>
        <v>0</v>
      </c>
      <c r="H842" s="1">
        <f>'Unformatted Trip Summary'!H840</f>
        <v>2.5608158E-3</v>
      </c>
    </row>
    <row r="843" spans="1:8" x14ac:dyDescent="0.2">
      <c r="A843" t="str">
        <f>'Unformatted Trip Summary'!A841</f>
        <v>12 WEST COAST</v>
      </c>
      <c r="B843" t="str">
        <f>'Unformatted Trip Summary'!J841</f>
        <v>2042/43</v>
      </c>
      <c r="C843" t="str">
        <f>'Unformatted Trip Summary'!I841</f>
        <v>Other Household Travel</v>
      </c>
      <c r="D843">
        <f>'Unformatted Trip Summary'!D841</f>
        <v>3</v>
      </c>
      <c r="E843">
        <f>'Unformatted Trip Summary'!E841</f>
        <v>3</v>
      </c>
      <c r="F843" s="1">
        <f>'Unformatted Trip Summary'!F841</f>
        <v>1.9024799299999999E-2</v>
      </c>
      <c r="G843" s="1">
        <f>'Unformatted Trip Summary'!G841</f>
        <v>0</v>
      </c>
      <c r="H843" s="1">
        <f>'Unformatted Trip Summary'!H841</f>
        <v>2.5682216000000001E-3</v>
      </c>
    </row>
    <row r="844" spans="1:8" x14ac:dyDescent="0.2">
      <c r="A844" t="str">
        <f>'Unformatted Trip Summary'!A842</f>
        <v>12 WEST COAST</v>
      </c>
      <c r="B844" t="str">
        <f>'Unformatted Trip Summary'!J842</f>
        <v>2012/13</v>
      </c>
      <c r="C844" t="str">
        <f>'Unformatted Trip Summary'!I842</f>
        <v>Air/Non-Local PT</v>
      </c>
      <c r="D844">
        <f>'Unformatted Trip Summary'!D842</f>
        <v>4</v>
      </c>
      <c r="E844">
        <f>'Unformatted Trip Summary'!E842</f>
        <v>8</v>
      </c>
      <c r="F844" s="1">
        <f>'Unformatted Trip Summary'!F842</f>
        <v>0.10084271459999999</v>
      </c>
      <c r="G844" s="1">
        <f>'Unformatted Trip Summary'!G842</f>
        <v>10.387194593</v>
      </c>
      <c r="H844" s="1">
        <f>'Unformatted Trip Summary'!H842</f>
        <v>0.1870167032</v>
      </c>
    </row>
    <row r="845" spans="1:8" x14ac:dyDescent="0.2">
      <c r="A845" t="str">
        <f>'Unformatted Trip Summary'!A843</f>
        <v>12 WEST COAST</v>
      </c>
      <c r="B845" t="str">
        <f>'Unformatted Trip Summary'!J843</f>
        <v>2017/18</v>
      </c>
      <c r="C845" t="str">
        <f>'Unformatted Trip Summary'!I843</f>
        <v>Air/Non-Local PT</v>
      </c>
      <c r="D845">
        <f>'Unformatted Trip Summary'!D843</f>
        <v>4</v>
      </c>
      <c r="E845">
        <f>'Unformatted Trip Summary'!E843</f>
        <v>8</v>
      </c>
      <c r="F845" s="1">
        <f>'Unformatted Trip Summary'!F843</f>
        <v>0.1072802224</v>
      </c>
      <c r="G845" s="1">
        <f>'Unformatted Trip Summary'!G843</f>
        <v>10.913065719</v>
      </c>
      <c r="H845" s="1">
        <f>'Unformatted Trip Summary'!H843</f>
        <v>0.1997039531</v>
      </c>
    </row>
    <row r="846" spans="1:8" x14ac:dyDescent="0.2">
      <c r="A846" t="str">
        <f>'Unformatted Trip Summary'!A844</f>
        <v>12 WEST COAST</v>
      </c>
      <c r="B846" t="str">
        <f>'Unformatted Trip Summary'!J844</f>
        <v>2022/23</v>
      </c>
      <c r="C846" t="str">
        <f>'Unformatted Trip Summary'!I844</f>
        <v>Air/Non-Local PT</v>
      </c>
      <c r="D846">
        <f>'Unformatted Trip Summary'!D844</f>
        <v>4</v>
      </c>
      <c r="E846">
        <f>'Unformatted Trip Summary'!E844</f>
        <v>8</v>
      </c>
      <c r="F846" s="1">
        <f>'Unformatted Trip Summary'!F844</f>
        <v>0.10689401010000001</v>
      </c>
      <c r="G846" s="1">
        <f>'Unformatted Trip Summary'!G844</f>
        <v>10.740368633999999</v>
      </c>
      <c r="H846" s="1">
        <f>'Unformatted Trip Summary'!H844</f>
        <v>0.19971302939999999</v>
      </c>
    </row>
    <row r="847" spans="1:8" x14ac:dyDescent="0.2">
      <c r="A847" t="str">
        <f>'Unformatted Trip Summary'!A845</f>
        <v>12 WEST COAST</v>
      </c>
      <c r="B847" t="str">
        <f>'Unformatted Trip Summary'!J845</f>
        <v>2027/28</v>
      </c>
      <c r="C847" t="str">
        <f>'Unformatted Trip Summary'!I845</f>
        <v>Air/Non-Local PT</v>
      </c>
      <c r="D847">
        <f>'Unformatted Trip Summary'!D845</f>
        <v>4</v>
      </c>
      <c r="E847">
        <f>'Unformatted Trip Summary'!E845</f>
        <v>8</v>
      </c>
      <c r="F847" s="1">
        <f>'Unformatted Trip Summary'!F845</f>
        <v>9.6995248000000006E-2</v>
      </c>
      <c r="G847" s="1">
        <f>'Unformatted Trip Summary'!G845</f>
        <v>9.4581966302999998</v>
      </c>
      <c r="H847" s="1">
        <f>'Unformatted Trip Summary'!H845</f>
        <v>0.18278828850000001</v>
      </c>
    </row>
    <row r="848" spans="1:8" x14ac:dyDescent="0.2">
      <c r="A848" t="str">
        <f>'Unformatted Trip Summary'!A846</f>
        <v>12 WEST COAST</v>
      </c>
      <c r="B848" t="str">
        <f>'Unformatted Trip Summary'!J846</f>
        <v>2032/33</v>
      </c>
      <c r="C848" t="str">
        <f>'Unformatted Trip Summary'!I846</f>
        <v>Air/Non-Local PT</v>
      </c>
      <c r="D848">
        <f>'Unformatted Trip Summary'!D846</f>
        <v>4</v>
      </c>
      <c r="E848">
        <f>'Unformatted Trip Summary'!E846</f>
        <v>8</v>
      </c>
      <c r="F848" s="1">
        <f>'Unformatted Trip Summary'!F846</f>
        <v>8.5910727199999995E-2</v>
      </c>
      <c r="G848" s="1">
        <f>'Unformatted Trip Summary'!G846</f>
        <v>8.2021363725</v>
      </c>
      <c r="H848" s="1">
        <f>'Unformatted Trip Summary'!H846</f>
        <v>0.16285548010000001</v>
      </c>
    </row>
    <row r="849" spans="1:8" x14ac:dyDescent="0.2">
      <c r="A849" t="str">
        <f>'Unformatted Trip Summary'!A847</f>
        <v>12 WEST COAST</v>
      </c>
      <c r="B849" t="str">
        <f>'Unformatted Trip Summary'!J847</f>
        <v>2037/38</v>
      </c>
      <c r="C849" t="str">
        <f>'Unformatted Trip Summary'!I847</f>
        <v>Air/Non-Local PT</v>
      </c>
      <c r="D849">
        <f>'Unformatted Trip Summary'!D847</f>
        <v>4</v>
      </c>
      <c r="E849">
        <f>'Unformatted Trip Summary'!E847</f>
        <v>8</v>
      </c>
      <c r="F849" s="1">
        <f>'Unformatted Trip Summary'!F847</f>
        <v>8.0207007900000002E-2</v>
      </c>
      <c r="G849" s="1">
        <f>'Unformatted Trip Summary'!G847</f>
        <v>7.5871328020000002</v>
      </c>
      <c r="H849" s="1">
        <f>'Unformatted Trip Summary'!H847</f>
        <v>0.15242778430000001</v>
      </c>
    </row>
    <row r="850" spans="1:8" x14ac:dyDescent="0.2">
      <c r="A850" t="str">
        <f>'Unformatted Trip Summary'!A848</f>
        <v>12 WEST COAST</v>
      </c>
      <c r="B850" t="str">
        <f>'Unformatted Trip Summary'!J848</f>
        <v>2042/43</v>
      </c>
      <c r="C850" t="str">
        <f>'Unformatted Trip Summary'!I848</f>
        <v>Air/Non-Local PT</v>
      </c>
      <c r="D850">
        <f>'Unformatted Trip Summary'!D848</f>
        <v>4</v>
      </c>
      <c r="E850">
        <f>'Unformatted Trip Summary'!E848</f>
        <v>8</v>
      </c>
      <c r="F850" s="1">
        <f>'Unformatted Trip Summary'!F848</f>
        <v>7.4277552999999996E-2</v>
      </c>
      <c r="G850" s="1">
        <f>'Unformatted Trip Summary'!G848</f>
        <v>6.9551698559000004</v>
      </c>
      <c r="H850" s="1">
        <f>'Unformatted Trip Summary'!H848</f>
        <v>0.14154711789999999</v>
      </c>
    </row>
    <row r="851" spans="1:8" x14ac:dyDescent="0.2">
      <c r="A851" t="str">
        <f>'Unformatted Trip Summary'!A849</f>
        <v>12 WEST COAST</v>
      </c>
      <c r="B851" t="str">
        <f>'Unformatted Trip Summary'!J849</f>
        <v>2012/13</v>
      </c>
      <c r="C851" t="str">
        <f>'Unformatted Trip Summary'!I849</f>
        <v>Non-Household Travel</v>
      </c>
      <c r="D851">
        <f>'Unformatted Trip Summary'!D849</f>
        <v>9</v>
      </c>
      <c r="E851">
        <f>'Unformatted Trip Summary'!E849</f>
        <v>44</v>
      </c>
      <c r="F851" s="1">
        <f>'Unformatted Trip Summary'!F849</f>
        <v>0.57649160089999996</v>
      </c>
      <c r="G851" s="1">
        <f>'Unformatted Trip Summary'!G849</f>
        <v>20.958164275000001</v>
      </c>
      <c r="H851" s="1">
        <f>'Unformatted Trip Summary'!H849</f>
        <v>0.34686230169999999</v>
      </c>
    </row>
    <row r="852" spans="1:8" x14ac:dyDescent="0.2">
      <c r="A852" t="str">
        <f>'Unformatted Trip Summary'!A850</f>
        <v>12 WEST COAST</v>
      </c>
      <c r="B852" t="str">
        <f>'Unformatted Trip Summary'!J850</f>
        <v>2017/18</v>
      </c>
      <c r="C852" t="str">
        <f>'Unformatted Trip Summary'!I850</f>
        <v>Non-Household Travel</v>
      </c>
      <c r="D852">
        <f>'Unformatted Trip Summary'!D850</f>
        <v>9</v>
      </c>
      <c r="E852">
        <f>'Unformatted Trip Summary'!E850</f>
        <v>44</v>
      </c>
      <c r="F852" s="1">
        <f>'Unformatted Trip Summary'!F850</f>
        <v>0.6091139941</v>
      </c>
      <c r="G852" s="1">
        <f>'Unformatted Trip Summary'!G850</f>
        <v>21.937485677000002</v>
      </c>
      <c r="H852" s="1">
        <f>'Unformatted Trip Summary'!H850</f>
        <v>0.36383033149999999</v>
      </c>
    </row>
    <row r="853" spans="1:8" x14ac:dyDescent="0.2">
      <c r="A853" t="str">
        <f>'Unformatted Trip Summary'!A851</f>
        <v>12 WEST COAST</v>
      </c>
      <c r="B853" t="str">
        <f>'Unformatted Trip Summary'!J851</f>
        <v>2022/23</v>
      </c>
      <c r="C853" t="str">
        <f>'Unformatted Trip Summary'!I851</f>
        <v>Non-Household Travel</v>
      </c>
      <c r="D853">
        <f>'Unformatted Trip Summary'!D851</f>
        <v>9</v>
      </c>
      <c r="E853">
        <f>'Unformatted Trip Summary'!E851</f>
        <v>44</v>
      </c>
      <c r="F853" s="1">
        <f>'Unformatted Trip Summary'!F851</f>
        <v>0.58672225349999996</v>
      </c>
      <c r="G853" s="1">
        <f>'Unformatted Trip Summary'!G851</f>
        <v>21.450941844999999</v>
      </c>
      <c r="H853" s="1">
        <f>'Unformatted Trip Summary'!H851</f>
        <v>0.3559482699</v>
      </c>
    </row>
    <row r="854" spans="1:8" x14ac:dyDescent="0.2">
      <c r="A854" t="str">
        <f>'Unformatted Trip Summary'!A852</f>
        <v>12 WEST COAST</v>
      </c>
      <c r="B854" t="str">
        <f>'Unformatted Trip Summary'!J852</f>
        <v>2027/28</v>
      </c>
      <c r="C854" t="str">
        <f>'Unformatted Trip Summary'!I852</f>
        <v>Non-Household Travel</v>
      </c>
      <c r="D854">
        <f>'Unformatted Trip Summary'!D852</f>
        <v>9</v>
      </c>
      <c r="E854">
        <f>'Unformatted Trip Summary'!E852</f>
        <v>44</v>
      </c>
      <c r="F854" s="1">
        <f>'Unformatted Trip Summary'!F852</f>
        <v>0.5880424192</v>
      </c>
      <c r="G854" s="1">
        <f>'Unformatted Trip Summary'!G852</f>
        <v>21.165219260000001</v>
      </c>
      <c r="H854" s="1">
        <f>'Unformatted Trip Summary'!H852</f>
        <v>0.35150454370000001</v>
      </c>
    </row>
    <row r="855" spans="1:8" x14ac:dyDescent="0.2">
      <c r="A855" t="str">
        <f>'Unformatted Trip Summary'!A853</f>
        <v>12 WEST COAST</v>
      </c>
      <c r="B855" t="str">
        <f>'Unformatted Trip Summary'!J853</f>
        <v>2032/33</v>
      </c>
      <c r="C855" t="str">
        <f>'Unformatted Trip Summary'!I853</f>
        <v>Non-Household Travel</v>
      </c>
      <c r="D855">
        <f>'Unformatted Trip Summary'!D853</f>
        <v>9</v>
      </c>
      <c r="E855">
        <f>'Unformatted Trip Summary'!E853</f>
        <v>44</v>
      </c>
      <c r="F855" s="1">
        <f>'Unformatted Trip Summary'!F853</f>
        <v>0.57162476880000002</v>
      </c>
      <c r="G855" s="1">
        <f>'Unformatted Trip Summary'!G853</f>
        <v>20.232531360999999</v>
      </c>
      <c r="H855" s="1">
        <f>'Unformatted Trip Summary'!H853</f>
        <v>0.33652477520000001</v>
      </c>
    </row>
    <row r="856" spans="1:8" x14ac:dyDescent="0.2">
      <c r="A856" t="str">
        <f>'Unformatted Trip Summary'!A854</f>
        <v>12 WEST COAST</v>
      </c>
      <c r="B856" t="str">
        <f>'Unformatted Trip Summary'!J854</f>
        <v>2037/38</v>
      </c>
      <c r="C856" t="str">
        <f>'Unformatted Trip Summary'!I854</f>
        <v>Non-Household Travel</v>
      </c>
      <c r="D856">
        <f>'Unformatted Trip Summary'!D854</f>
        <v>9</v>
      </c>
      <c r="E856">
        <f>'Unformatted Trip Summary'!E854</f>
        <v>44</v>
      </c>
      <c r="F856" s="1">
        <f>'Unformatted Trip Summary'!F854</f>
        <v>0.55645920010000005</v>
      </c>
      <c r="G856" s="1">
        <f>'Unformatted Trip Summary'!G854</f>
        <v>19.469928998</v>
      </c>
      <c r="H856" s="1">
        <f>'Unformatted Trip Summary'!H854</f>
        <v>0.32433173809999999</v>
      </c>
    </row>
    <row r="857" spans="1:8" x14ac:dyDescent="0.2">
      <c r="A857" t="str">
        <f>'Unformatted Trip Summary'!A855</f>
        <v>12 WEST COAST</v>
      </c>
      <c r="B857" t="str">
        <f>'Unformatted Trip Summary'!J855</f>
        <v>2042/43</v>
      </c>
      <c r="C857" t="str">
        <f>'Unformatted Trip Summary'!I855</f>
        <v>Non-Household Travel</v>
      </c>
      <c r="D857">
        <f>'Unformatted Trip Summary'!D855</f>
        <v>9</v>
      </c>
      <c r="E857">
        <f>'Unformatted Trip Summary'!E855</f>
        <v>44</v>
      </c>
      <c r="F857" s="1">
        <f>'Unformatted Trip Summary'!F855</f>
        <v>0.53251747670000005</v>
      </c>
      <c r="G857" s="1">
        <f>'Unformatted Trip Summary'!G855</f>
        <v>18.494143017999999</v>
      </c>
      <c r="H857" s="1">
        <f>'Unformatted Trip Summary'!H855</f>
        <v>0.30863035859999999</v>
      </c>
    </row>
    <row r="858" spans="1:8" x14ac:dyDescent="0.2">
      <c r="A858" t="str">
        <f>'Unformatted Trip Summary'!A856</f>
        <v>13 CANTERBURY</v>
      </c>
      <c r="B858" t="str">
        <f>'Unformatted Trip Summary'!J856</f>
        <v>2012/13</v>
      </c>
      <c r="C858" t="str">
        <f>'Unformatted Trip Summary'!I856</f>
        <v>Pedestrian</v>
      </c>
      <c r="D858">
        <f>'Unformatted Trip Summary'!D856</f>
        <v>2073</v>
      </c>
      <c r="E858">
        <f>'Unformatted Trip Summary'!E856</f>
        <v>7645</v>
      </c>
      <c r="F858" s="1">
        <f>'Unformatted Trip Summary'!F856</f>
        <v>131.04676542000001</v>
      </c>
      <c r="G858" s="1">
        <f>'Unformatted Trip Summary'!G856</f>
        <v>113.37513976</v>
      </c>
      <c r="H858" s="1">
        <f>'Unformatted Trip Summary'!H856</f>
        <v>27.07651954</v>
      </c>
    </row>
    <row r="859" spans="1:8" x14ac:dyDescent="0.2">
      <c r="A859" t="str">
        <f>'Unformatted Trip Summary'!A857</f>
        <v>13 CANTERBURY</v>
      </c>
      <c r="B859" t="str">
        <f>'Unformatted Trip Summary'!J857</f>
        <v>2017/18</v>
      </c>
      <c r="C859" t="str">
        <f>'Unformatted Trip Summary'!I857</f>
        <v>Pedestrian</v>
      </c>
      <c r="D859">
        <f>'Unformatted Trip Summary'!D857</f>
        <v>2073</v>
      </c>
      <c r="E859">
        <f>'Unformatted Trip Summary'!E857</f>
        <v>7645</v>
      </c>
      <c r="F859" s="1">
        <f>'Unformatted Trip Summary'!F857</f>
        <v>138.90344611</v>
      </c>
      <c r="G859" s="1">
        <f>'Unformatted Trip Summary'!G857</f>
        <v>119.98057351999999</v>
      </c>
      <c r="H859" s="1">
        <f>'Unformatted Trip Summary'!H857</f>
        <v>28.509822157999999</v>
      </c>
    </row>
    <row r="860" spans="1:8" x14ac:dyDescent="0.2">
      <c r="A860" t="str">
        <f>'Unformatted Trip Summary'!A858</f>
        <v>13 CANTERBURY</v>
      </c>
      <c r="B860" t="str">
        <f>'Unformatted Trip Summary'!J858</f>
        <v>2022/23</v>
      </c>
      <c r="C860" t="str">
        <f>'Unformatted Trip Summary'!I858</f>
        <v>Pedestrian</v>
      </c>
      <c r="D860">
        <f>'Unformatted Trip Summary'!D858</f>
        <v>2073</v>
      </c>
      <c r="E860">
        <f>'Unformatted Trip Summary'!E858</f>
        <v>7645</v>
      </c>
      <c r="F860" s="1">
        <f>'Unformatted Trip Summary'!F858</f>
        <v>142.60308019999999</v>
      </c>
      <c r="G860" s="1">
        <f>'Unformatted Trip Summary'!G858</f>
        <v>122.28703609999999</v>
      </c>
      <c r="H860" s="1">
        <f>'Unformatted Trip Summary'!H858</f>
        <v>29.006013458000002</v>
      </c>
    </row>
    <row r="861" spans="1:8" x14ac:dyDescent="0.2">
      <c r="A861" t="str">
        <f>'Unformatted Trip Summary'!A859</f>
        <v>13 CANTERBURY</v>
      </c>
      <c r="B861" t="str">
        <f>'Unformatted Trip Summary'!J859</f>
        <v>2027/28</v>
      </c>
      <c r="C861" t="str">
        <f>'Unformatted Trip Summary'!I859</f>
        <v>Pedestrian</v>
      </c>
      <c r="D861">
        <f>'Unformatted Trip Summary'!D859</f>
        <v>2073</v>
      </c>
      <c r="E861">
        <f>'Unformatted Trip Summary'!E859</f>
        <v>7645</v>
      </c>
      <c r="F861" s="1">
        <f>'Unformatted Trip Summary'!F859</f>
        <v>147.18670317999999</v>
      </c>
      <c r="G861" s="1">
        <f>'Unformatted Trip Summary'!G859</f>
        <v>125.3595978</v>
      </c>
      <c r="H861" s="1">
        <f>'Unformatted Trip Summary'!H859</f>
        <v>29.709936366000001</v>
      </c>
    </row>
    <row r="862" spans="1:8" x14ac:dyDescent="0.2">
      <c r="A862" t="str">
        <f>'Unformatted Trip Summary'!A860</f>
        <v>13 CANTERBURY</v>
      </c>
      <c r="B862" t="str">
        <f>'Unformatted Trip Summary'!J860</f>
        <v>2032/33</v>
      </c>
      <c r="C862" t="str">
        <f>'Unformatted Trip Summary'!I860</f>
        <v>Pedestrian</v>
      </c>
      <c r="D862">
        <f>'Unformatted Trip Summary'!D860</f>
        <v>2073</v>
      </c>
      <c r="E862">
        <f>'Unformatted Trip Summary'!E860</f>
        <v>7645</v>
      </c>
      <c r="F862" s="1">
        <f>'Unformatted Trip Summary'!F860</f>
        <v>149.73027611000001</v>
      </c>
      <c r="G862" s="1">
        <f>'Unformatted Trip Summary'!G860</f>
        <v>126.61413648</v>
      </c>
      <c r="H862" s="1">
        <f>'Unformatted Trip Summary'!H860</f>
        <v>30.053325201</v>
      </c>
    </row>
    <row r="863" spans="1:8" x14ac:dyDescent="0.2">
      <c r="A863" t="str">
        <f>'Unformatted Trip Summary'!A861</f>
        <v>13 CANTERBURY</v>
      </c>
      <c r="B863" t="str">
        <f>'Unformatted Trip Summary'!J861</f>
        <v>2037/38</v>
      </c>
      <c r="C863" t="str">
        <f>'Unformatted Trip Summary'!I861</f>
        <v>Pedestrian</v>
      </c>
      <c r="D863">
        <f>'Unformatted Trip Summary'!D861</f>
        <v>2073</v>
      </c>
      <c r="E863">
        <f>'Unformatted Trip Summary'!E861</f>
        <v>7645</v>
      </c>
      <c r="F863" s="1">
        <f>'Unformatted Trip Summary'!F861</f>
        <v>151.40865163000001</v>
      </c>
      <c r="G863" s="1">
        <f>'Unformatted Trip Summary'!G861</f>
        <v>127.32873788000001</v>
      </c>
      <c r="H863" s="1">
        <f>'Unformatted Trip Summary'!H861</f>
        <v>30.189221558</v>
      </c>
    </row>
    <row r="864" spans="1:8" x14ac:dyDescent="0.2">
      <c r="A864" t="str">
        <f>'Unformatted Trip Summary'!A862</f>
        <v>13 CANTERBURY</v>
      </c>
      <c r="B864" t="str">
        <f>'Unformatted Trip Summary'!J862</f>
        <v>2042/43</v>
      </c>
      <c r="C864" t="str">
        <f>'Unformatted Trip Summary'!I862</f>
        <v>Pedestrian</v>
      </c>
      <c r="D864">
        <f>'Unformatted Trip Summary'!D862</f>
        <v>2073</v>
      </c>
      <c r="E864">
        <f>'Unformatted Trip Summary'!E862</f>
        <v>7645</v>
      </c>
      <c r="F864" s="1">
        <f>'Unformatted Trip Summary'!F862</f>
        <v>152.45740236</v>
      </c>
      <c r="G864" s="1">
        <f>'Unformatted Trip Summary'!G862</f>
        <v>127.59173183999999</v>
      </c>
      <c r="H864" s="1">
        <f>'Unformatted Trip Summary'!H862</f>
        <v>30.211591433999999</v>
      </c>
    </row>
    <row r="865" spans="1:8" x14ac:dyDescent="0.2">
      <c r="A865" t="str">
        <f>'Unformatted Trip Summary'!A863</f>
        <v>13 CANTERBURY</v>
      </c>
      <c r="B865" t="str">
        <f>'Unformatted Trip Summary'!J863</f>
        <v>2012/13</v>
      </c>
      <c r="C865" t="str">
        <f>'Unformatted Trip Summary'!I863</f>
        <v>Cyclist</v>
      </c>
      <c r="D865">
        <f>'Unformatted Trip Summary'!D863</f>
        <v>335</v>
      </c>
      <c r="E865">
        <f>'Unformatted Trip Summary'!E863</f>
        <v>1282</v>
      </c>
      <c r="F865" s="1">
        <f>'Unformatted Trip Summary'!F863</f>
        <v>23.740018446000001</v>
      </c>
      <c r="G865" s="1">
        <f>'Unformatted Trip Summary'!G863</f>
        <v>97.023488555</v>
      </c>
      <c r="H865" s="1">
        <f>'Unformatted Trip Summary'!H863</f>
        <v>7.2445897615000003</v>
      </c>
    </row>
    <row r="866" spans="1:8" x14ac:dyDescent="0.2">
      <c r="A866" t="str">
        <f>'Unformatted Trip Summary'!A864</f>
        <v>13 CANTERBURY</v>
      </c>
      <c r="B866" t="str">
        <f>'Unformatted Trip Summary'!J864</f>
        <v>2017/18</v>
      </c>
      <c r="C866" t="str">
        <f>'Unformatted Trip Summary'!I864</f>
        <v>Cyclist</v>
      </c>
      <c r="D866">
        <f>'Unformatted Trip Summary'!D864</f>
        <v>335</v>
      </c>
      <c r="E866">
        <f>'Unformatted Trip Summary'!E864</f>
        <v>1282</v>
      </c>
      <c r="F866" s="1">
        <f>'Unformatted Trip Summary'!F864</f>
        <v>25.683016619</v>
      </c>
      <c r="G866" s="1">
        <f>'Unformatted Trip Summary'!G864</f>
        <v>107.62104835</v>
      </c>
      <c r="H866" s="1">
        <f>'Unformatted Trip Summary'!H864</f>
        <v>7.9206955387000004</v>
      </c>
    </row>
    <row r="867" spans="1:8" x14ac:dyDescent="0.2">
      <c r="A867" t="str">
        <f>'Unformatted Trip Summary'!A865</f>
        <v>13 CANTERBURY</v>
      </c>
      <c r="B867" t="str">
        <f>'Unformatted Trip Summary'!J865</f>
        <v>2022/23</v>
      </c>
      <c r="C867" t="str">
        <f>'Unformatted Trip Summary'!I865</f>
        <v>Cyclist</v>
      </c>
      <c r="D867">
        <f>'Unformatted Trip Summary'!D865</f>
        <v>335</v>
      </c>
      <c r="E867">
        <f>'Unformatted Trip Summary'!E865</f>
        <v>1282</v>
      </c>
      <c r="F867" s="1">
        <f>'Unformatted Trip Summary'!F865</f>
        <v>25.976522394</v>
      </c>
      <c r="G867" s="1">
        <f>'Unformatted Trip Summary'!G865</f>
        <v>111.12520852999999</v>
      </c>
      <c r="H867" s="1">
        <f>'Unformatted Trip Summary'!H865</f>
        <v>8.1025837192000001</v>
      </c>
    </row>
    <row r="868" spans="1:8" x14ac:dyDescent="0.2">
      <c r="A868" t="str">
        <f>'Unformatted Trip Summary'!A866</f>
        <v>13 CANTERBURY</v>
      </c>
      <c r="B868" t="str">
        <f>'Unformatted Trip Summary'!J866</f>
        <v>2027/28</v>
      </c>
      <c r="C868" t="str">
        <f>'Unformatted Trip Summary'!I866</f>
        <v>Cyclist</v>
      </c>
      <c r="D868">
        <f>'Unformatted Trip Summary'!D866</f>
        <v>335</v>
      </c>
      <c r="E868">
        <f>'Unformatted Trip Summary'!E866</f>
        <v>1282</v>
      </c>
      <c r="F868" s="1">
        <f>'Unformatted Trip Summary'!F866</f>
        <v>26.345324633000001</v>
      </c>
      <c r="G868" s="1">
        <f>'Unformatted Trip Summary'!G866</f>
        <v>113.45898536999999</v>
      </c>
      <c r="H868" s="1">
        <f>'Unformatted Trip Summary'!H866</f>
        <v>8.2346100445000001</v>
      </c>
    </row>
    <row r="869" spans="1:8" x14ac:dyDescent="0.2">
      <c r="A869" t="str">
        <f>'Unformatted Trip Summary'!A867</f>
        <v>13 CANTERBURY</v>
      </c>
      <c r="B869" t="str">
        <f>'Unformatted Trip Summary'!J867</f>
        <v>2032/33</v>
      </c>
      <c r="C869" t="str">
        <f>'Unformatted Trip Summary'!I867</f>
        <v>Cyclist</v>
      </c>
      <c r="D869">
        <f>'Unformatted Trip Summary'!D867</f>
        <v>335</v>
      </c>
      <c r="E869">
        <f>'Unformatted Trip Summary'!E867</f>
        <v>1282</v>
      </c>
      <c r="F869" s="1">
        <f>'Unformatted Trip Summary'!F867</f>
        <v>26.72702103</v>
      </c>
      <c r="G869" s="1">
        <f>'Unformatted Trip Summary'!G867</f>
        <v>116.85010391</v>
      </c>
      <c r="H869" s="1">
        <f>'Unformatted Trip Summary'!H867</f>
        <v>8.4088754663999996</v>
      </c>
    </row>
    <row r="870" spans="1:8" x14ac:dyDescent="0.2">
      <c r="A870" t="str">
        <f>'Unformatted Trip Summary'!A868</f>
        <v>13 CANTERBURY</v>
      </c>
      <c r="B870" t="str">
        <f>'Unformatted Trip Summary'!J868</f>
        <v>2037/38</v>
      </c>
      <c r="C870" t="str">
        <f>'Unformatted Trip Summary'!I868</f>
        <v>Cyclist</v>
      </c>
      <c r="D870">
        <f>'Unformatted Trip Summary'!D868</f>
        <v>335</v>
      </c>
      <c r="E870">
        <f>'Unformatted Trip Summary'!E868</f>
        <v>1282</v>
      </c>
      <c r="F870" s="1">
        <f>'Unformatted Trip Summary'!F868</f>
        <v>26.903411092999999</v>
      </c>
      <c r="G870" s="1">
        <f>'Unformatted Trip Summary'!G868</f>
        <v>121.261495</v>
      </c>
      <c r="H870" s="1">
        <f>'Unformatted Trip Summary'!H868</f>
        <v>8.6039284903999995</v>
      </c>
    </row>
    <row r="871" spans="1:8" x14ac:dyDescent="0.2">
      <c r="A871" t="str">
        <f>'Unformatted Trip Summary'!A869</f>
        <v>13 CANTERBURY</v>
      </c>
      <c r="B871" t="str">
        <f>'Unformatted Trip Summary'!J869</f>
        <v>2042/43</v>
      </c>
      <c r="C871" t="str">
        <f>'Unformatted Trip Summary'!I869</f>
        <v>Cyclist</v>
      </c>
      <c r="D871">
        <f>'Unformatted Trip Summary'!D869</f>
        <v>335</v>
      </c>
      <c r="E871">
        <f>'Unformatted Trip Summary'!E869</f>
        <v>1282</v>
      </c>
      <c r="F871" s="1">
        <f>'Unformatted Trip Summary'!F869</f>
        <v>27.039992801</v>
      </c>
      <c r="G871" s="1">
        <f>'Unformatted Trip Summary'!G869</f>
        <v>125.71689560999999</v>
      </c>
      <c r="H871" s="1">
        <f>'Unformatted Trip Summary'!H869</f>
        <v>8.7944996197999998</v>
      </c>
    </row>
    <row r="872" spans="1:8" x14ac:dyDescent="0.2">
      <c r="A872" t="str">
        <f>'Unformatted Trip Summary'!A870</f>
        <v>13 CANTERBURY</v>
      </c>
      <c r="B872" t="str">
        <f>'Unformatted Trip Summary'!J870</f>
        <v>2012/13</v>
      </c>
      <c r="C872" t="str">
        <f>'Unformatted Trip Summary'!I870</f>
        <v>Light Vehicle Driver</v>
      </c>
      <c r="D872">
        <f>'Unformatted Trip Summary'!D870</f>
        <v>3326</v>
      </c>
      <c r="E872">
        <f>'Unformatted Trip Summary'!E870</f>
        <v>23816</v>
      </c>
      <c r="F872" s="1">
        <f>'Unformatted Trip Summary'!F870</f>
        <v>417.41567177000002</v>
      </c>
      <c r="G872" s="1">
        <f>'Unformatted Trip Summary'!G870</f>
        <v>3777.041205</v>
      </c>
      <c r="H872" s="1">
        <f>'Unformatted Trip Summary'!H870</f>
        <v>111.06814274</v>
      </c>
    </row>
    <row r="873" spans="1:8" x14ac:dyDescent="0.2">
      <c r="A873" t="str">
        <f>'Unformatted Trip Summary'!A871</f>
        <v>13 CANTERBURY</v>
      </c>
      <c r="B873" t="str">
        <f>'Unformatted Trip Summary'!J871</f>
        <v>2017/18</v>
      </c>
      <c r="C873" t="str">
        <f>'Unformatted Trip Summary'!I871</f>
        <v>Light Vehicle Driver</v>
      </c>
      <c r="D873">
        <f>'Unformatted Trip Summary'!D871</f>
        <v>3326</v>
      </c>
      <c r="E873">
        <f>'Unformatted Trip Summary'!E871</f>
        <v>23816</v>
      </c>
      <c r="F873" s="1">
        <f>'Unformatted Trip Summary'!F871</f>
        <v>461.82628619000002</v>
      </c>
      <c r="G873" s="1">
        <f>'Unformatted Trip Summary'!G871</f>
        <v>4230.1676625999999</v>
      </c>
      <c r="H873" s="1">
        <f>'Unformatted Trip Summary'!H871</f>
        <v>124.10666566</v>
      </c>
    </row>
    <row r="874" spans="1:8" x14ac:dyDescent="0.2">
      <c r="A874" t="str">
        <f>'Unformatted Trip Summary'!A872</f>
        <v>13 CANTERBURY</v>
      </c>
      <c r="B874" t="str">
        <f>'Unformatted Trip Summary'!J872</f>
        <v>2022/23</v>
      </c>
      <c r="C874" t="str">
        <f>'Unformatted Trip Summary'!I872</f>
        <v>Light Vehicle Driver</v>
      </c>
      <c r="D874">
        <f>'Unformatted Trip Summary'!D872</f>
        <v>3326</v>
      </c>
      <c r="E874">
        <f>'Unformatted Trip Summary'!E872</f>
        <v>23816</v>
      </c>
      <c r="F874" s="1">
        <f>'Unformatted Trip Summary'!F872</f>
        <v>486.86278959999999</v>
      </c>
      <c r="G874" s="1">
        <f>'Unformatted Trip Summary'!G872</f>
        <v>4474.4820284999996</v>
      </c>
      <c r="H874" s="1">
        <f>'Unformatted Trip Summary'!H872</f>
        <v>131.27230168</v>
      </c>
    </row>
    <row r="875" spans="1:8" x14ac:dyDescent="0.2">
      <c r="A875" t="str">
        <f>'Unformatted Trip Summary'!A873</f>
        <v>13 CANTERBURY</v>
      </c>
      <c r="B875" t="str">
        <f>'Unformatted Trip Summary'!J873</f>
        <v>2027/28</v>
      </c>
      <c r="C875" t="str">
        <f>'Unformatted Trip Summary'!I873</f>
        <v>Light Vehicle Driver</v>
      </c>
      <c r="D875">
        <f>'Unformatted Trip Summary'!D873</f>
        <v>3326</v>
      </c>
      <c r="E875">
        <f>'Unformatted Trip Summary'!E873</f>
        <v>23816</v>
      </c>
      <c r="F875" s="1">
        <f>'Unformatted Trip Summary'!F873</f>
        <v>511.07441886999999</v>
      </c>
      <c r="G875" s="1">
        <f>'Unformatted Trip Summary'!G873</f>
        <v>4705.7022034000001</v>
      </c>
      <c r="H875" s="1">
        <f>'Unformatted Trip Summary'!H873</f>
        <v>137.95053389</v>
      </c>
    </row>
    <row r="876" spans="1:8" x14ac:dyDescent="0.2">
      <c r="A876" t="str">
        <f>'Unformatted Trip Summary'!A874</f>
        <v>13 CANTERBURY</v>
      </c>
      <c r="B876" t="str">
        <f>'Unformatted Trip Summary'!J874</f>
        <v>2032/33</v>
      </c>
      <c r="C876" t="str">
        <f>'Unformatted Trip Summary'!I874</f>
        <v>Light Vehicle Driver</v>
      </c>
      <c r="D876">
        <f>'Unformatted Trip Summary'!D874</f>
        <v>3326</v>
      </c>
      <c r="E876">
        <f>'Unformatted Trip Summary'!E874</f>
        <v>23816</v>
      </c>
      <c r="F876" s="1">
        <f>'Unformatted Trip Summary'!F874</f>
        <v>533.00774236999996</v>
      </c>
      <c r="G876" s="1">
        <f>'Unformatted Trip Summary'!G874</f>
        <v>4923.3264028000003</v>
      </c>
      <c r="H876" s="1">
        <f>'Unformatted Trip Summary'!H874</f>
        <v>144.2081719</v>
      </c>
    </row>
    <row r="877" spans="1:8" x14ac:dyDescent="0.2">
      <c r="A877" t="str">
        <f>'Unformatted Trip Summary'!A875</f>
        <v>13 CANTERBURY</v>
      </c>
      <c r="B877" t="str">
        <f>'Unformatted Trip Summary'!J875</f>
        <v>2037/38</v>
      </c>
      <c r="C877" t="str">
        <f>'Unformatted Trip Summary'!I875</f>
        <v>Light Vehicle Driver</v>
      </c>
      <c r="D877">
        <f>'Unformatted Trip Summary'!D875</f>
        <v>3326</v>
      </c>
      <c r="E877">
        <f>'Unformatted Trip Summary'!E875</f>
        <v>23816</v>
      </c>
      <c r="F877" s="1">
        <f>'Unformatted Trip Summary'!F875</f>
        <v>548.47610729999997</v>
      </c>
      <c r="G877" s="1">
        <f>'Unformatted Trip Summary'!G875</f>
        <v>5087.8462687000001</v>
      </c>
      <c r="H877" s="1">
        <f>'Unformatted Trip Summary'!H875</f>
        <v>148.88232015</v>
      </c>
    </row>
    <row r="878" spans="1:8" x14ac:dyDescent="0.2">
      <c r="A878" t="str">
        <f>'Unformatted Trip Summary'!A876</f>
        <v>13 CANTERBURY</v>
      </c>
      <c r="B878" t="str">
        <f>'Unformatted Trip Summary'!J876</f>
        <v>2042/43</v>
      </c>
      <c r="C878" t="str">
        <f>'Unformatted Trip Summary'!I876</f>
        <v>Light Vehicle Driver</v>
      </c>
      <c r="D878">
        <f>'Unformatted Trip Summary'!D876</f>
        <v>3326</v>
      </c>
      <c r="E878">
        <f>'Unformatted Trip Summary'!E876</f>
        <v>23816</v>
      </c>
      <c r="F878" s="1">
        <f>'Unformatted Trip Summary'!F876</f>
        <v>561.87544794999997</v>
      </c>
      <c r="G878" s="1">
        <f>'Unformatted Trip Summary'!G876</f>
        <v>5237.2083664000002</v>
      </c>
      <c r="H878" s="1">
        <f>'Unformatted Trip Summary'!H876</f>
        <v>153.07471745999999</v>
      </c>
    </row>
    <row r="879" spans="1:8" x14ac:dyDescent="0.2">
      <c r="A879" t="str">
        <f>'Unformatted Trip Summary'!A877</f>
        <v>13 CANTERBURY</v>
      </c>
      <c r="B879" t="str">
        <f>'Unformatted Trip Summary'!J877</f>
        <v>2012/13</v>
      </c>
      <c r="C879" t="str">
        <f>'Unformatted Trip Summary'!I877</f>
        <v>Light Vehicle Passenger</v>
      </c>
      <c r="D879">
        <f>'Unformatted Trip Summary'!D877</f>
        <v>2416</v>
      </c>
      <c r="E879">
        <f>'Unformatted Trip Summary'!E877</f>
        <v>11025</v>
      </c>
      <c r="F879" s="1">
        <f>'Unformatted Trip Summary'!F877</f>
        <v>189.77500577999999</v>
      </c>
      <c r="G879" s="1">
        <f>'Unformatted Trip Summary'!G877</f>
        <v>2033.7115475000001</v>
      </c>
      <c r="H879" s="1">
        <f>'Unformatted Trip Summary'!H877</f>
        <v>53.544276449999998</v>
      </c>
    </row>
    <row r="880" spans="1:8" x14ac:dyDescent="0.2">
      <c r="A880" t="str">
        <f>'Unformatted Trip Summary'!A878</f>
        <v>13 CANTERBURY</v>
      </c>
      <c r="B880" t="str">
        <f>'Unformatted Trip Summary'!J878</f>
        <v>2017/18</v>
      </c>
      <c r="C880" t="str">
        <f>'Unformatted Trip Summary'!I878</f>
        <v>Light Vehicle Passenger</v>
      </c>
      <c r="D880">
        <f>'Unformatted Trip Summary'!D878</f>
        <v>2416</v>
      </c>
      <c r="E880">
        <f>'Unformatted Trip Summary'!E878</f>
        <v>11025</v>
      </c>
      <c r="F880" s="1">
        <f>'Unformatted Trip Summary'!F878</f>
        <v>198.37672065000001</v>
      </c>
      <c r="G880" s="1">
        <f>'Unformatted Trip Summary'!G878</f>
        <v>2158.4247175999999</v>
      </c>
      <c r="H880" s="1">
        <f>'Unformatted Trip Summary'!H878</f>
        <v>56.499264414000002</v>
      </c>
    </row>
    <row r="881" spans="1:8" x14ac:dyDescent="0.2">
      <c r="A881" t="str">
        <f>'Unformatted Trip Summary'!A879</f>
        <v>13 CANTERBURY</v>
      </c>
      <c r="B881" t="str">
        <f>'Unformatted Trip Summary'!J879</f>
        <v>2022/23</v>
      </c>
      <c r="C881" t="str">
        <f>'Unformatted Trip Summary'!I879</f>
        <v>Light Vehicle Passenger</v>
      </c>
      <c r="D881">
        <f>'Unformatted Trip Summary'!D879</f>
        <v>2416</v>
      </c>
      <c r="E881">
        <f>'Unformatted Trip Summary'!E879</f>
        <v>11025</v>
      </c>
      <c r="F881" s="1">
        <f>'Unformatted Trip Summary'!F879</f>
        <v>201.41575399000001</v>
      </c>
      <c r="G881" s="1">
        <f>'Unformatted Trip Summary'!G879</f>
        <v>2216.0328536000002</v>
      </c>
      <c r="H881" s="1">
        <f>'Unformatted Trip Summary'!H879</f>
        <v>57.738412603</v>
      </c>
    </row>
    <row r="882" spans="1:8" x14ac:dyDescent="0.2">
      <c r="A882" t="str">
        <f>'Unformatted Trip Summary'!A880</f>
        <v>13 CANTERBURY</v>
      </c>
      <c r="B882" t="str">
        <f>'Unformatted Trip Summary'!J880</f>
        <v>2027/28</v>
      </c>
      <c r="C882" t="str">
        <f>'Unformatted Trip Summary'!I880</f>
        <v>Light Vehicle Passenger</v>
      </c>
      <c r="D882">
        <f>'Unformatted Trip Summary'!D880</f>
        <v>2416</v>
      </c>
      <c r="E882">
        <f>'Unformatted Trip Summary'!E880</f>
        <v>11025</v>
      </c>
      <c r="F882" s="1">
        <f>'Unformatted Trip Summary'!F880</f>
        <v>205.39957443</v>
      </c>
      <c r="G882" s="1">
        <f>'Unformatted Trip Summary'!G880</f>
        <v>2286.5758494000002</v>
      </c>
      <c r="H882" s="1">
        <f>'Unformatted Trip Summary'!H880</f>
        <v>59.288068586999998</v>
      </c>
    </row>
    <row r="883" spans="1:8" x14ac:dyDescent="0.2">
      <c r="A883" t="str">
        <f>'Unformatted Trip Summary'!A881</f>
        <v>13 CANTERBURY</v>
      </c>
      <c r="B883" t="str">
        <f>'Unformatted Trip Summary'!J881</f>
        <v>2032/33</v>
      </c>
      <c r="C883" t="str">
        <f>'Unformatted Trip Summary'!I881</f>
        <v>Light Vehicle Passenger</v>
      </c>
      <c r="D883">
        <f>'Unformatted Trip Summary'!D881</f>
        <v>2416</v>
      </c>
      <c r="E883">
        <f>'Unformatted Trip Summary'!E881</f>
        <v>11025</v>
      </c>
      <c r="F883" s="1">
        <f>'Unformatted Trip Summary'!F881</f>
        <v>208.44985747999999</v>
      </c>
      <c r="G883" s="1">
        <f>'Unformatted Trip Summary'!G881</f>
        <v>2344.6375339000001</v>
      </c>
      <c r="H883" s="1">
        <f>'Unformatted Trip Summary'!H881</f>
        <v>60.538394271000001</v>
      </c>
    </row>
    <row r="884" spans="1:8" x14ac:dyDescent="0.2">
      <c r="A884" t="str">
        <f>'Unformatted Trip Summary'!A882</f>
        <v>13 CANTERBURY</v>
      </c>
      <c r="B884" t="str">
        <f>'Unformatted Trip Summary'!J882</f>
        <v>2037/38</v>
      </c>
      <c r="C884" t="str">
        <f>'Unformatted Trip Summary'!I882</f>
        <v>Light Vehicle Passenger</v>
      </c>
      <c r="D884">
        <f>'Unformatted Trip Summary'!D882</f>
        <v>2416</v>
      </c>
      <c r="E884">
        <f>'Unformatted Trip Summary'!E882</f>
        <v>11025</v>
      </c>
      <c r="F884" s="1">
        <f>'Unformatted Trip Summary'!F882</f>
        <v>211.1313169</v>
      </c>
      <c r="G884" s="1">
        <f>'Unformatted Trip Summary'!G882</f>
        <v>2394.6182776000001</v>
      </c>
      <c r="H884" s="1">
        <f>'Unformatted Trip Summary'!H882</f>
        <v>61.658730818999999</v>
      </c>
    </row>
    <row r="885" spans="1:8" x14ac:dyDescent="0.2">
      <c r="A885" t="str">
        <f>'Unformatted Trip Summary'!A883</f>
        <v>13 CANTERBURY</v>
      </c>
      <c r="B885" t="str">
        <f>'Unformatted Trip Summary'!J883</f>
        <v>2042/43</v>
      </c>
      <c r="C885" t="str">
        <f>'Unformatted Trip Summary'!I883</f>
        <v>Light Vehicle Passenger</v>
      </c>
      <c r="D885">
        <f>'Unformatted Trip Summary'!D883</f>
        <v>2416</v>
      </c>
      <c r="E885">
        <f>'Unformatted Trip Summary'!E883</f>
        <v>11025</v>
      </c>
      <c r="F885" s="1">
        <f>'Unformatted Trip Summary'!F883</f>
        <v>212.72041157000001</v>
      </c>
      <c r="G885" s="1">
        <f>'Unformatted Trip Summary'!G883</f>
        <v>2433.1373096000002</v>
      </c>
      <c r="H885" s="1">
        <f>'Unformatted Trip Summary'!H883</f>
        <v>62.470812852000002</v>
      </c>
    </row>
    <row r="886" spans="1:8" x14ac:dyDescent="0.2">
      <c r="A886" t="str">
        <f>'Unformatted Trip Summary'!A884</f>
        <v>13 CANTERBURY</v>
      </c>
      <c r="B886" t="str">
        <f>'Unformatted Trip Summary'!J884</f>
        <v>2012/13</v>
      </c>
      <c r="C886" t="str">
        <f>'Unformatted Trip Summary'!I884</f>
        <v>Taxi/Vehicle Share</v>
      </c>
      <c r="D886">
        <f>'Unformatted Trip Summary'!D884</f>
        <v>68</v>
      </c>
      <c r="E886">
        <f>'Unformatted Trip Summary'!E884</f>
        <v>116</v>
      </c>
      <c r="F886" s="1">
        <f>'Unformatted Trip Summary'!F884</f>
        <v>2.2446435044999999</v>
      </c>
      <c r="G886" s="1">
        <f>'Unformatted Trip Summary'!G884</f>
        <v>16.530142167000001</v>
      </c>
      <c r="H886" s="1">
        <f>'Unformatted Trip Summary'!H884</f>
        <v>0.86554787379999998</v>
      </c>
    </row>
    <row r="887" spans="1:8" x14ac:dyDescent="0.2">
      <c r="A887" t="str">
        <f>'Unformatted Trip Summary'!A885</f>
        <v>13 CANTERBURY</v>
      </c>
      <c r="B887" t="str">
        <f>'Unformatted Trip Summary'!J885</f>
        <v>2017/18</v>
      </c>
      <c r="C887" t="str">
        <f>'Unformatted Trip Summary'!I885</f>
        <v>Taxi/Vehicle Share</v>
      </c>
      <c r="D887">
        <f>'Unformatted Trip Summary'!D885</f>
        <v>68</v>
      </c>
      <c r="E887">
        <f>'Unformatted Trip Summary'!E885</f>
        <v>116</v>
      </c>
      <c r="F887" s="1">
        <f>'Unformatted Trip Summary'!F885</f>
        <v>2.4730407147000002</v>
      </c>
      <c r="G887" s="1">
        <f>'Unformatted Trip Summary'!G885</f>
        <v>18.895325593999999</v>
      </c>
      <c r="H887" s="1">
        <f>'Unformatted Trip Summary'!H885</f>
        <v>0.96258451759999997</v>
      </c>
    </row>
    <row r="888" spans="1:8" x14ac:dyDescent="0.2">
      <c r="A888" t="str">
        <f>'Unformatted Trip Summary'!A886</f>
        <v>13 CANTERBURY</v>
      </c>
      <c r="B888" t="str">
        <f>'Unformatted Trip Summary'!J886</f>
        <v>2022/23</v>
      </c>
      <c r="C888" t="str">
        <f>'Unformatted Trip Summary'!I886</f>
        <v>Taxi/Vehicle Share</v>
      </c>
      <c r="D888">
        <f>'Unformatted Trip Summary'!D886</f>
        <v>68</v>
      </c>
      <c r="E888">
        <f>'Unformatted Trip Summary'!E886</f>
        <v>116</v>
      </c>
      <c r="F888" s="1">
        <f>'Unformatted Trip Summary'!F886</f>
        <v>2.5966410012000001</v>
      </c>
      <c r="G888" s="1">
        <f>'Unformatted Trip Summary'!G886</f>
        <v>20.241394632999999</v>
      </c>
      <c r="H888" s="1">
        <f>'Unformatted Trip Summary'!H886</f>
        <v>1.0153783504</v>
      </c>
    </row>
    <row r="889" spans="1:8" x14ac:dyDescent="0.2">
      <c r="A889" t="str">
        <f>'Unformatted Trip Summary'!A887</f>
        <v>13 CANTERBURY</v>
      </c>
      <c r="B889" t="str">
        <f>'Unformatted Trip Summary'!J887</f>
        <v>2027/28</v>
      </c>
      <c r="C889" t="str">
        <f>'Unformatted Trip Summary'!I887</f>
        <v>Taxi/Vehicle Share</v>
      </c>
      <c r="D889">
        <f>'Unformatted Trip Summary'!D887</f>
        <v>68</v>
      </c>
      <c r="E889">
        <f>'Unformatted Trip Summary'!E887</f>
        <v>116</v>
      </c>
      <c r="F889" s="1">
        <f>'Unformatted Trip Summary'!F887</f>
        <v>2.7208487698999999</v>
      </c>
      <c r="G889" s="1">
        <f>'Unformatted Trip Summary'!G887</f>
        <v>21.357347351000001</v>
      </c>
      <c r="H889" s="1">
        <f>'Unformatted Trip Summary'!H887</f>
        <v>1.074929558</v>
      </c>
    </row>
    <row r="890" spans="1:8" x14ac:dyDescent="0.2">
      <c r="A890" t="str">
        <f>'Unformatted Trip Summary'!A888</f>
        <v>13 CANTERBURY</v>
      </c>
      <c r="B890" t="str">
        <f>'Unformatted Trip Summary'!J888</f>
        <v>2032/33</v>
      </c>
      <c r="C890" t="str">
        <f>'Unformatted Trip Summary'!I888</f>
        <v>Taxi/Vehicle Share</v>
      </c>
      <c r="D890">
        <f>'Unformatted Trip Summary'!D888</f>
        <v>68</v>
      </c>
      <c r="E890">
        <f>'Unformatted Trip Summary'!E888</f>
        <v>116</v>
      </c>
      <c r="F890" s="1">
        <f>'Unformatted Trip Summary'!F888</f>
        <v>2.8426523942999999</v>
      </c>
      <c r="G890" s="1">
        <f>'Unformatted Trip Summary'!G888</f>
        <v>22.542703292999999</v>
      </c>
      <c r="H890" s="1">
        <f>'Unformatted Trip Summary'!H888</f>
        <v>1.1413895904</v>
      </c>
    </row>
    <row r="891" spans="1:8" x14ac:dyDescent="0.2">
      <c r="A891" t="str">
        <f>'Unformatted Trip Summary'!A889</f>
        <v>13 CANTERBURY</v>
      </c>
      <c r="B891" t="str">
        <f>'Unformatted Trip Summary'!J889</f>
        <v>2037/38</v>
      </c>
      <c r="C891" t="str">
        <f>'Unformatted Trip Summary'!I889</f>
        <v>Taxi/Vehicle Share</v>
      </c>
      <c r="D891">
        <f>'Unformatted Trip Summary'!D889</f>
        <v>68</v>
      </c>
      <c r="E891">
        <f>'Unformatted Trip Summary'!E889</f>
        <v>116</v>
      </c>
      <c r="F891" s="1">
        <f>'Unformatted Trip Summary'!F889</f>
        <v>2.9164621969</v>
      </c>
      <c r="G891" s="1">
        <f>'Unformatted Trip Summary'!G889</f>
        <v>23.523869629</v>
      </c>
      <c r="H891" s="1">
        <f>'Unformatted Trip Summary'!H889</f>
        <v>1.1845916664</v>
      </c>
    </row>
    <row r="892" spans="1:8" x14ac:dyDescent="0.2">
      <c r="A892" t="str">
        <f>'Unformatted Trip Summary'!A890</f>
        <v>13 CANTERBURY</v>
      </c>
      <c r="B892" t="str">
        <f>'Unformatted Trip Summary'!J890</f>
        <v>2042/43</v>
      </c>
      <c r="C892" t="str">
        <f>'Unformatted Trip Summary'!I890</f>
        <v>Taxi/Vehicle Share</v>
      </c>
      <c r="D892">
        <f>'Unformatted Trip Summary'!D890</f>
        <v>68</v>
      </c>
      <c r="E892">
        <f>'Unformatted Trip Summary'!E890</f>
        <v>116</v>
      </c>
      <c r="F892" s="1">
        <f>'Unformatted Trip Summary'!F890</f>
        <v>2.9713639247999999</v>
      </c>
      <c r="G892" s="1">
        <f>'Unformatted Trip Summary'!G890</f>
        <v>24.390811210999999</v>
      </c>
      <c r="H892" s="1">
        <f>'Unformatted Trip Summary'!H890</f>
        <v>1.2165286103999999</v>
      </c>
    </row>
    <row r="893" spans="1:8" x14ac:dyDescent="0.2">
      <c r="A893" t="str">
        <f>'Unformatted Trip Summary'!A891</f>
        <v>13 CANTERBURY</v>
      </c>
      <c r="B893" t="str">
        <f>'Unformatted Trip Summary'!J891</f>
        <v>2012/13</v>
      </c>
      <c r="C893" t="str">
        <f>'Unformatted Trip Summary'!I891</f>
        <v>Motorcyclist</v>
      </c>
      <c r="D893">
        <f>'Unformatted Trip Summary'!D891</f>
        <v>29</v>
      </c>
      <c r="E893">
        <f>'Unformatted Trip Summary'!E891</f>
        <v>91</v>
      </c>
      <c r="F893" s="1">
        <f>'Unformatted Trip Summary'!F891</f>
        <v>1.4451657518000001</v>
      </c>
      <c r="G893" s="1">
        <f>'Unformatted Trip Summary'!G891</f>
        <v>12.048552727000001</v>
      </c>
      <c r="H893" s="1">
        <f>'Unformatted Trip Summary'!H891</f>
        <v>0.39288238580000001</v>
      </c>
    </row>
    <row r="894" spans="1:8" x14ac:dyDescent="0.2">
      <c r="A894" t="str">
        <f>'Unformatted Trip Summary'!A892</f>
        <v>13 CANTERBURY</v>
      </c>
      <c r="B894" t="str">
        <f>'Unformatted Trip Summary'!J892</f>
        <v>2017/18</v>
      </c>
      <c r="C894" t="str">
        <f>'Unformatted Trip Summary'!I892</f>
        <v>Motorcyclist</v>
      </c>
      <c r="D894">
        <f>'Unformatted Trip Summary'!D892</f>
        <v>29</v>
      </c>
      <c r="E894">
        <f>'Unformatted Trip Summary'!E892</f>
        <v>91</v>
      </c>
      <c r="F894" s="1">
        <f>'Unformatted Trip Summary'!F892</f>
        <v>1.5838588179999999</v>
      </c>
      <c r="G894" s="1">
        <f>'Unformatted Trip Summary'!G892</f>
        <v>12.911538787</v>
      </c>
      <c r="H894" s="1">
        <f>'Unformatted Trip Summary'!H892</f>
        <v>0.4281787413</v>
      </c>
    </row>
    <row r="895" spans="1:8" x14ac:dyDescent="0.2">
      <c r="A895" t="str">
        <f>'Unformatted Trip Summary'!A893</f>
        <v>13 CANTERBURY</v>
      </c>
      <c r="B895" t="str">
        <f>'Unformatted Trip Summary'!J893</f>
        <v>2022/23</v>
      </c>
      <c r="C895" t="str">
        <f>'Unformatted Trip Summary'!I893</f>
        <v>Motorcyclist</v>
      </c>
      <c r="D895">
        <f>'Unformatted Trip Summary'!D893</f>
        <v>29</v>
      </c>
      <c r="E895">
        <f>'Unformatted Trip Summary'!E893</f>
        <v>91</v>
      </c>
      <c r="F895" s="1">
        <f>'Unformatted Trip Summary'!F893</f>
        <v>1.6168421857999999</v>
      </c>
      <c r="G895" s="1">
        <f>'Unformatted Trip Summary'!G893</f>
        <v>13.084098966000001</v>
      </c>
      <c r="H895" s="1">
        <f>'Unformatted Trip Summary'!H893</f>
        <v>0.43997136050000002</v>
      </c>
    </row>
    <row r="896" spans="1:8" x14ac:dyDescent="0.2">
      <c r="A896" t="str">
        <f>'Unformatted Trip Summary'!A894</f>
        <v>13 CANTERBURY</v>
      </c>
      <c r="B896" t="str">
        <f>'Unformatted Trip Summary'!J894</f>
        <v>2027/28</v>
      </c>
      <c r="C896" t="str">
        <f>'Unformatted Trip Summary'!I894</f>
        <v>Motorcyclist</v>
      </c>
      <c r="D896">
        <f>'Unformatted Trip Summary'!D894</f>
        <v>29</v>
      </c>
      <c r="E896">
        <f>'Unformatted Trip Summary'!E894</f>
        <v>91</v>
      </c>
      <c r="F896" s="1">
        <f>'Unformatted Trip Summary'!F894</f>
        <v>1.6348648957</v>
      </c>
      <c r="G896" s="1">
        <f>'Unformatted Trip Summary'!G894</f>
        <v>13.19148657</v>
      </c>
      <c r="H896" s="1">
        <f>'Unformatted Trip Summary'!H894</f>
        <v>0.4496159066</v>
      </c>
    </row>
    <row r="897" spans="1:8" x14ac:dyDescent="0.2">
      <c r="A897" t="str">
        <f>'Unformatted Trip Summary'!A895</f>
        <v>13 CANTERBURY</v>
      </c>
      <c r="B897" t="str">
        <f>'Unformatted Trip Summary'!J895</f>
        <v>2032/33</v>
      </c>
      <c r="C897" t="str">
        <f>'Unformatted Trip Summary'!I895</f>
        <v>Motorcyclist</v>
      </c>
      <c r="D897">
        <f>'Unformatted Trip Summary'!D895</f>
        <v>29</v>
      </c>
      <c r="E897">
        <f>'Unformatted Trip Summary'!E895</f>
        <v>91</v>
      </c>
      <c r="F897" s="1">
        <f>'Unformatted Trip Summary'!F895</f>
        <v>1.6638953161000001</v>
      </c>
      <c r="G897" s="1">
        <f>'Unformatted Trip Summary'!G895</f>
        <v>13.660125998</v>
      </c>
      <c r="H897" s="1">
        <f>'Unformatted Trip Summary'!H895</f>
        <v>0.46664450349999997</v>
      </c>
    </row>
    <row r="898" spans="1:8" x14ac:dyDescent="0.2">
      <c r="A898" t="str">
        <f>'Unformatted Trip Summary'!A896</f>
        <v>13 CANTERBURY</v>
      </c>
      <c r="B898" t="str">
        <f>'Unformatted Trip Summary'!J896</f>
        <v>2037/38</v>
      </c>
      <c r="C898" t="str">
        <f>'Unformatted Trip Summary'!I896</f>
        <v>Motorcyclist</v>
      </c>
      <c r="D898">
        <f>'Unformatted Trip Summary'!D896</f>
        <v>29</v>
      </c>
      <c r="E898">
        <f>'Unformatted Trip Summary'!E896</f>
        <v>91</v>
      </c>
      <c r="F898" s="1">
        <f>'Unformatted Trip Summary'!F896</f>
        <v>1.7327032748</v>
      </c>
      <c r="G898" s="1">
        <f>'Unformatted Trip Summary'!G896</f>
        <v>14.499290937</v>
      </c>
      <c r="H898" s="1">
        <f>'Unformatted Trip Summary'!H896</f>
        <v>0.49706307570000002</v>
      </c>
    </row>
    <row r="899" spans="1:8" x14ac:dyDescent="0.2">
      <c r="A899" t="str">
        <f>'Unformatted Trip Summary'!A897</f>
        <v>13 CANTERBURY</v>
      </c>
      <c r="B899" t="str">
        <f>'Unformatted Trip Summary'!J897</f>
        <v>2042/43</v>
      </c>
      <c r="C899" t="str">
        <f>'Unformatted Trip Summary'!I897</f>
        <v>Motorcyclist</v>
      </c>
      <c r="D899">
        <f>'Unformatted Trip Summary'!D897</f>
        <v>29</v>
      </c>
      <c r="E899">
        <f>'Unformatted Trip Summary'!E897</f>
        <v>91</v>
      </c>
      <c r="F899" s="1">
        <f>'Unformatted Trip Summary'!F897</f>
        <v>1.7930996751999999</v>
      </c>
      <c r="G899" s="1">
        <f>'Unformatted Trip Summary'!G897</f>
        <v>15.245678834</v>
      </c>
      <c r="H899" s="1">
        <f>'Unformatted Trip Summary'!H897</f>
        <v>0.5258029085</v>
      </c>
    </row>
    <row r="900" spans="1:8" x14ac:dyDescent="0.2">
      <c r="A900" t="str">
        <f>'Unformatted Trip Summary'!A898</f>
        <v>13 CANTERBURY</v>
      </c>
      <c r="B900" t="str">
        <f>'Unformatted Trip Summary'!J898</f>
        <v>2012/13</v>
      </c>
      <c r="C900" t="str">
        <f>'Unformatted Trip Summary'!I898</f>
        <v>Local Train</v>
      </c>
      <c r="D900">
        <f>'Unformatted Trip Summary'!D898</f>
        <v>1</v>
      </c>
      <c r="E900">
        <f>'Unformatted Trip Summary'!E898</f>
        <v>1</v>
      </c>
      <c r="F900" s="1">
        <f>'Unformatted Trip Summary'!F898</f>
        <v>2.1901243099999999E-2</v>
      </c>
      <c r="G900" s="1">
        <f>'Unformatted Trip Summary'!G898</f>
        <v>0</v>
      </c>
      <c r="H900" s="1">
        <f>'Unformatted Trip Summary'!H898</f>
        <v>7.3004144E-3</v>
      </c>
    </row>
    <row r="901" spans="1:8" x14ac:dyDescent="0.2">
      <c r="A901" t="str">
        <f>'Unformatted Trip Summary'!A899</f>
        <v>13 CANTERBURY</v>
      </c>
      <c r="B901" t="str">
        <f>'Unformatted Trip Summary'!J899</f>
        <v>2017/18</v>
      </c>
      <c r="C901" t="str">
        <f>'Unformatted Trip Summary'!I899</f>
        <v>Local Train</v>
      </c>
      <c r="D901">
        <f>'Unformatted Trip Summary'!D899</f>
        <v>1</v>
      </c>
      <c r="E901">
        <f>'Unformatted Trip Summary'!E899</f>
        <v>1</v>
      </c>
      <c r="F901" s="1">
        <f>'Unformatted Trip Summary'!F899</f>
        <v>2.2058192899999999E-2</v>
      </c>
      <c r="G901" s="1">
        <f>'Unformatted Trip Summary'!G899</f>
        <v>0</v>
      </c>
      <c r="H901" s="1">
        <f>'Unformatted Trip Summary'!H899</f>
        <v>7.3527310000000004E-3</v>
      </c>
    </row>
    <row r="902" spans="1:8" x14ac:dyDescent="0.2">
      <c r="A902" t="str">
        <f>'Unformatted Trip Summary'!A900</f>
        <v>13 CANTERBURY</v>
      </c>
      <c r="B902" t="str">
        <f>'Unformatted Trip Summary'!J900</f>
        <v>2022/23</v>
      </c>
      <c r="C902" t="str">
        <f>'Unformatted Trip Summary'!I900</f>
        <v>Local Train</v>
      </c>
      <c r="D902">
        <f>'Unformatted Trip Summary'!D900</f>
        <v>1</v>
      </c>
      <c r="E902">
        <f>'Unformatted Trip Summary'!E900</f>
        <v>1</v>
      </c>
      <c r="F902" s="1">
        <f>'Unformatted Trip Summary'!F900</f>
        <v>1.8725575000000001E-2</v>
      </c>
      <c r="G902" s="1">
        <f>'Unformatted Trip Summary'!G900</f>
        <v>0</v>
      </c>
      <c r="H902" s="1">
        <f>'Unformatted Trip Summary'!H900</f>
        <v>6.2418583E-3</v>
      </c>
    </row>
    <row r="903" spans="1:8" x14ac:dyDescent="0.2">
      <c r="A903" t="str">
        <f>'Unformatted Trip Summary'!A901</f>
        <v>13 CANTERBURY</v>
      </c>
      <c r="B903" t="str">
        <f>'Unformatted Trip Summary'!J901</f>
        <v>2027/28</v>
      </c>
      <c r="C903" t="str">
        <f>'Unformatted Trip Summary'!I901</f>
        <v>Local Train</v>
      </c>
      <c r="D903">
        <f>'Unformatted Trip Summary'!D901</f>
        <v>1</v>
      </c>
      <c r="E903">
        <f>'Unformatted Trip Summary'!E901</f>
        <v>1</v>
      </c>
      <c r="F903" s="1">
        <f>'Unformatted Trip Summary'!F901</f>
        <v>1.7423979199999998E-2</v>
      </c>
      <c r="G903" s="1">
        <f>'Unformatted Trip Summary'!G901</f>
        <v>0</v>
      </c>
      <c r="H903" s="1">
        <f>'Unformatted Trip Summary'!H901</f>
        <v>5.8079930999999996E-3</v>
      </c>
    </row>
    <row r="904" spans="1:8" x14ac:dyDescent="0.2">
      <c r="A904" t="str">
        <f>'Unformatted Trip Summary'!A902</f>
        <v>13 CANTERBURY</v>
      </c>
      <c r="B904" t="str">
        <f>'Unformatted Trip Summary'!J902</f>
        <v>2032/33</v>
      </c>
      <c r="C904" t="str">
        <f>'Unformatted Trip Summary'!I902</f>
        <v>Local Train</v>
      </c>
      <c r="D904">
        <f>'Unformatted Trip Summary'!D902</f>
        <v>1</v>
      </c>
      <c r="E904">
        <f>'Unformatted Trip Summary'!E902</f>
        <v>1</v>
      </c>
      <c r="F904" s="1">
        <f>'Unformatted Trip Summary'!F902</f>
        <v>1.6539134600000002E-2</v>
      </c>
      <c r="G904" s="1">
        <f>'Unformatted Trip Summary'!G902</f>
        <v>0</v>
      </c>
      <c r="H904" s="1">
        <f>'Unformatted Trip Summary'!H902</f>
        <v>5.5130448999999998E-3</v>
      </c>
    </row>
    <row r="905" spans="1:8" x14ac:dyDescent="0.2">
      <c r="A905" t="str">
        <f>'Unformatted Trip Summary'!A903</f>
        <v>13 CANTERBURY</v>
      </c>
      <c r="B905" t="str">
        <f>'Unformatted Trip Summary'!J903</f>
        <v>2037/38</v>
      </c>
      <c r="C905" t="str">
        <f>'Unformatted Trip Summary'!I903</f>
        <v>Local Train</v>
      </c>
      <c r="D905">
        <f>'Unformatted Trip Summary'!D903</f>
        <v>1</v>
      </c>
      <c r="E905">
        <f>'Unformatted Trip Summary'!E903</f>
        <v>1</v>
      </c>
      <c r="F905" s="1">
        <f>'Unformatted Trip Summary'!F903</f>
        <v>1.3973374199999999E-2</v>
      </c>
      <c r="G905" s="1">
        <f>'Unformatted Trip Summary'!G903</f>
        <v>0</v>
      </c>
      <c r="H905" s="1">
        <f>'Unformatted Trip Summary'!H903</f>
        <v>4.6577913999999998E-3</v>
      </c>
    </row>
    <row r="906" spans="1:8" x14ac:dyDescent="0.2">
      <c r="A906" t="str">
        <f>'Unformatted Trip Summary'!A904</f>
        <v>13 CANTERBURY</v>
      </c>
      <c r="B906" t="str">
        <f>'Unformatted Trip Summary'!J904</f>
        <v>2042/43</v>
      </c>
      <c r="C906" t="str">
        <f>'Unformatted Trip Summary'!I904</f>
        <v>Local Train</v>
      </c>
      <c r="D906">
        <f>'Unformatted Trip Summary'!D904</f>
        <v>1</v>
      </c>
      <c r="E906">
        <f>'Unformatted Trip Summary'!E904</f>
        <v>1</v>
      </c>
      <c r="F906" s="1">
        <f>'Unformatted Trip Summary'!F904</f>
        <v>1.1562156699999999E-2</v>
      </c>
      <c r="G906" s="1">
        <f>'Unformatted Trip Summary'!G904</f>
        <v>0</v>
      </c>
      <c r="H906" s="1">
        <f>'Unformatted Trip Summary'!H904</f>
        <v>3.8540521999999998E-3</v>
      </c>
    </row>
    <row r="907" spans="1:8" x14ac:dyDescent="0.2">
      <c r="A907" t="str">
        <f>'Unformatted Trip Summary'!A905</f>
        <v>13 CANTERBURY</v>
      </c>
      <c r="B907" t="str">
        <f>'Unformatted Trip Summary'!J905</f>
        <v>2012/13</v>
      </c>
      <c r="C907" t="str">
        <f>'Unformatted Trip Summary'!I905</f>
        <v>Local Bus</v>
      </c>
      <c r="D907">
        <f>'Unformatted Trip Summary'!D905</f>
        <v>384</v>
      </c>
      <c r="E907">
        <f>'Unformatted Trip Summary'!E905</f>
        <v>1120</v>
      </c>
      <c r="F907" s="1">
        <f>'Unformatted Trip Summary'!F905</f>
        <v>20.502079716000001</v>
      </c>
      <c r="G907" s="1">
        <f>'Unformatted Trip Summary'!G905</f>
        <v>174.53993166999999</v>
      </c>
      <c r="H907" s="1">
        <f>'Unformatted Trip Summary'!H905</f>
        <v>7.9805750329</v>
      </c>
    </row>
    <row r="908" spans="1:8" x14ac:dyDescent="0.2">
      <c r="A908" t="str">
        <f>'Unformatted Trip Summary'!A906</f>
        <v>13 CANTERBURY</v>
      </c>
      <c r="B908" t="str">
        <f>'Unformatted Trip Summary'!J906</f>
        <v>2017/18</v>
      </c>
      <c r="C908" t="str">
        <f>'Unformatted Trip Summary'!I906</f>
        <v>Local Bus</v>
      </c>
      <c r="D908">
        <f>'Unformatted Trip Summary'!D906</f>
        <v>384</v>
      </c>
      <c r="E908">
        <f>'Unformatted Trip Summary'!E906</f>
        <v>1120</v>
      </c>
      <c r="F908" s="1">
        <f>'Unformatted Trip Summary'!F906</f>
        <v>20.810860451</v>
      </c>
      <c r="G908" s="1">
        <f>'Unformatted Trip Summary'!G906</f>
        <v>176.87296327000001</v>
      </c>
      <c r="H908" s="1">
        <f>'Unformatted Trip Summary'!H906</f>
        <v>8.0885047295000003</v>
      </c>
    </row>
    <row r="909" spans="1:8" x14ac:dyDescent="0.2">
      <c r="A909" t="str">
        <f>'Unformatted Trip Summary'!A907</f>
        <v>13 CANTERBURY</v>
      </c>
      <c r="B909" t="str">
        <f>'Unformatted Trip Summary'!J907</f>
        <v>2022/23</v>
      </c>
      <c r="C909" t="str">
        <f>'Unformatted Trip Summary'!I907</f>
        <v>Local Bus</v>
      </c>
      <c r="D909">
        <f>'Unformatted Trip Summary'!D907</f>
        <v>384</v>
      </c>
      <c r="E909">
        <f>'Unformatted Trip Summary'!E907</f>
        <v>1120</v>
      </c>
      <c r="F909" s="1">
        <f>'Unformatted Trip Summary'!F907</f>
        <v>20.596568740999999</v>
      </c>
      <c r="G909" s="1">
        <f>'Unformatted Trip Summary'!G907</f>
        <v>174.21967068999999</v>
      </c>
      <c r="H909" s="1">
        <f>'Unformatted Trip Summary'!H907</f>
        <v>7.9753596038000003</v>
      </c>
    </row>
    <row r="910" spans="1:8" x14ac:dyDescent="0.2">
      <c r="A910" t="str">
        <f>'Unformatted Trip Summary'!A908</f>
        <v>13 CANTERBURY</v>
      </c>
      <c r="B910" t="str">
        <f>'Unformatted Trip Summary'!J908</f>
        <v>2027/28</v>
      </c>
      <c r="C910" t="str">
        <f>'Unformatted Trip Summary'!I908</f>
        <v>Local Bus</v>
      </c>
      <c r="D910">
        <f>'Unformatted Trip Summary'!D908</f>
        <v>384</v>
      </c>
      <c r="E910">
        <f>'Unformatted Trip Summary'!E908</f>
        <v>1120</v>
      </c>
      <c r="F910" s="1">
        <f>'Unformatted Trip Summary'!F908</f>
        <v>20.902055278999999</v>
      </c>
      <c r="G910" s="1">
        <f>'Unformatted Trip Summary'!G908</f>
        <v>176.58415210000001</v>
      </c>
      <c r="H910" s="1">
        <f>'Unformatted Trip Summary'!H908</f>
        <v>8.0645476315</v>
      </c>
    </row>
    <row r="911" spans="1:8" x14ac:dyDescent="0.2">
      <c r="A911" t="str">
        <f>'Unformatted Trip Summary'!A909</f>
        <v>13 CANTERBURY</v>
      </c>
      <c r="B911" t="str">
        <f>'Unformatted Trip Summary'!J909</f>
        <v>2032/33</v>
      </c>
      <c r="C911" t="str">
        <f>'Unformatted Trip Summary'!I909</f>
        <v>Local Bus</v>
      </c>
      <c r="D911">
        <f>'Unformatted Trip Summary'!D909</f>
        <v>384</v>
      </c>
      <c r="E911">
        <f>'Unformatted Trip Summary'!E909</f>
        <v>1120</v>
      </c>
      <c r="F911" s="1">
        <f>'Unformatted Trip Summary'!F909</f>
        <v>20.727711654</v>
      </c>
      <c r="G911" s="1">
        <f>'Unformatted Trip Summary'!G909</f>
        <v>174.93159184000001</v>
      </c>
      <c r="H911" s="1">
        <f>'Unformatted Trip Summary'!H909</f>
        <v>7.9786037935999996</v>
      </c>
    </row>
    <row r="912" spans="1:8" x14ac:dyDescent="0.2">
      <c r="A912" t="str">
        <f>'Unformatted Trip Summary'!A910</f>
        <v>13 CANTERBURY</v>
      </c>
      <c r="B912" t="str">
        <f>'Unformatted Trip Summary'!J910</f>
        <v>2037/38</v>
      </c>
      <c r="C912" t="str">
        <f>'Unformatted Trip Summary'!I910</f>
        <v>Local Bus</v>
      </c>
      <c r="D912">
        <f>'Unformatted Trip Summary'!D910</f>
        <v>384</v>
      </c>
      <c r="E912">
        <f>'Unformatted Trip Summary'!E910</f>
        <v>1120</v>
      </c>
      <c r="F912" s="1">
        <f>'Unformatted Trip Summary'!F910</f>
        <v>20.543844931999999</v>
      </c>
      <c r="G912" s="1">
        <f>'Unformatted Trip Summary'!G910</f>
        <v>173.02374889999999</v>
      </c>
      <c r="H912" s="1">
        <f>'Unformatted Trip Summary'!H910</f>
        <v>7.8974170205999998</v>
      </c>
    </row>
    <row r="913" spans="1:8" x14ac:dyDescent="0.2">
      <c r="A913" t="str">
        <f>'Unformatted Trip Summary'!A911</f>
        <v>13 CANTERBURY</v>
      </c>
      <c r="B913" t="str">
        <f>'Unformatted Trip Summary'!J911</f>
        <v>2042/43</v>
      </c>
      <c r="C913" t="str">
        <f>'Unformatted Trip Summary'!I911</f>
        <v>Local Bus</v>
      </c>
      <c r="D913">
        <f>'Unformatted Trip Summary'!D911</f>
        <v>384</v>
      </c>
      <c r="E913">
        <f>'Unformatted Trip Summary'!E911</f>
        <v>1120</v>
      </c>
      <c r="F913" s="1">
        <f>'Unformatted Trip Summary'!F911</f>
        <v>20.244408851999999</v>
      </c>
      <c r="G913" s="1">
        <f>'Unformatted Trip Summary'!G911</f>
        <v>170.2658198</v>
      </c>
      <c r="H913" s="1">
        <f>'Unformatted Trip Summary'!H911</f>
        <v>7.775002143</v>
      </c>
    </row>
    <row r="914" spans="1:8" x14ac:dyDescent="0.2">
      <c r="A914" t="str">
        <f>'Unformatted Trip Summary'!A912</f>
        <v>13 CANTERBURY</v>
      </c>
      <c r="B914" t="str">
        <f>'Unformatted Trip Summary'!J912</f>
        <v>2012/13</v>
      </c>
      <c r="C914" t="str">
        <f>'Unformatted Trip Summary'!I912</f>
        <v>Other Household Travel</v>
      </c>
      <c r="D914">
        <f>'Unformatted Trip Summary'!D912</f>
        <v>31</v>
      </c>
      <c r="E914">
        <f>'Unformatted Trip Summary'!E912</f>
        <v>81</v>
      </c>
      <c r="F914" s="1">
        <f>'Unformatted Trip Summary'!F912</f>
        <v>1.5386198845000001</v>
      </c>
      <c r="G914" s="1">
        <f>'Unformatted Trip Summary'!G912</f>
        <v>0</v>
      </c>
      <c r="H914" s="1">
        <f>'Unformatted Trip Summary'!H912</f>
        <v>0.91635513570000005</v>
      </c>
    </row>
    <row r="915" spans="1:8" x14ac:dyDescent="0.2">
      <c r="A915" t="str">
        <f>'Unformatted Trip Summary'!A913</f>
        <v>13 CANTERBURY</v>
      </c>
      <c r="B915" t="str">
        <f>'Unformatted Trip Summary'!J913</f>
        <v>2017/18</v>
      </c>
      <c r="C915" t="str">
        <f>'Unformatted Trip Summary'!I913</f>
        <v>Other Household Travel</v>
      </c>
      <c r="D915">
        <f>'Unformatted Trip Summary'!D913</f>
        <v>31</v>
      </c>
      <c r="E915">
        <f>'Unformatted Trip Summary'!E913</f>
        <v>81</v>
      </c>
      <c r="F915" s="1">
        <f>'Unformatted Trip Summary'!F913</f>
        <v>1.7047207485</v>
      </c>
      <c r="G915" s="1">
        <f>'Unformatted Trip Summary'!G913</f>
        <v>0</v>
      </c>
      <c r="H915" s="1">
        <f>'Unformatted Trip Summary'!H913</f>
        <v>0.98404620509999996</v>
      </c>
    </row>
    <row r="916" spans="1:8" x14ac:dyDescent="0.2">
      <c r="A916" t="str">
        <f>'Unformatted Trip Summary'!A914</f>
        <v>13 CANTERBURY</v>
      </c>
      <c r="B916" t="str">
        <f>'Unformatted Trip Summary'!J914</f>
        <v>2022/23</v>
      </c>
      <c r="C916" t="str">
        <f>'Unformatted Trip Summary'!I914</f>
        <v>Other Household Travel</v>
      </c>
      <c r="D916">
        <f>'Unformatted Trip Summary'!D914</f>
        <v>31</v>
      </c>
      <c r="E916">
        <f>'Unformatted Trip Summary'!E914</f>
        <v>81</v>
      </c>
      <c r="F916" s="1">
        <f>'Unformatted Trip Summary'!F914</f>
        <v>1.8916172440000001</v>
      </c>
      <c r="G916" s="1">
        <f>'Unformatted Trip Summary'!G914</f>
        <v>0</v>
      </c>
      <c r="H916" s="1">
        <f>'Unformatted Trip Summary'!H914</f>
        <v>1.0626415189</v>
      </c>
    </row>
    <row r="917" spans="1:8" x14ac:dyDescent="0.2">
      <c r="A917" t="str">
        <f>'Unformatted Trip Summary'!A915</f>
        <v>13 CANTERBURY</v>
      </c>
      <c r="B917" t="str">
        <f>'Unformatted Trip Summary'!J915</f>
        <v>2027/28</v>
      </c>
      <c r="C917" t="str">
        <f>'Unformatted Trip Summary'!I915</f>
        <v>Other Household Travel</v>
      </c>
      <c r="D917">
        <f>'Unformatted Trip Summary'!D915</f>
        <v>31</v>
      </c>
      <c r="E917">
        <f>'Unformatted Trip Summary'!E915</f>
        <v>81</v>
      </c>
      <c r="F917" s="1">
        <f>'Unformatted Trip Summary'!F915</f>
        <v>2.1390559548999999</v>
      </c>
      <c r="G917" s="1">
        <f>'Unformatted Trip Summary'!G915</f>
        <v>0</v>
      </c>
      <c r="H917" s="1">
        <f>'Unformatted Trip Summary'!H915</f>
        <v>1.1708354649999999</v>
      </c>
    </row>
    <row r="918" spans="1:8" x14ac:dyDescent="0.2">
      <c r="A918" t="str">
        <f>'Unformatted Trip Summary'!A916</f>
        <v>13 CANTERBURY</v>
      </c>
      <c r="B918" t="str">
        <f>'Unformatted Trip Summary'!J916</f>
        <v>2032/33</v>
      </c>
      <c r="C918" t="str">
        <f>'Unformatted Trip Summary'!I916</f>
        <v>Other Household Travel</v>
      </c>
      <c r="D918">
        <f>'Unformatted Trip Summary'!D916</f>
        <v>31</v>
      </c>
      <c r="E918">
        <f>'Unformatted Trip Summary'!E916</f>
        <v>81</v>
      </c>
      <c r="F918" s="1">
        <f>'Unformatted Trip Summary'!F916</f>
        <v>2.3736169961</v>
      </c>
      <c r="G918" s="1">
        <f>'Unformatted Trip Summary'!G916</f>
        <v>0</v>
      </c>
      <c r="H918" s="1">
        <f>'Unformatted Trip Summary'!H916</f>
        <v>1.2606258533000001</v>
      </c>
    </row>
    <row r="919" spans="1:8" x14ac:dyDescent="0.2">
      <c r="A919" t="str">
        <f>'Unformatted Trip Summary'!A917</f>
        <v>13 CANTERBURY</v>
      </c>
      <c r="B919" t="str">
        <f>'Unformatted Trip Summary'!J917</f>
        <v>2037/38</v>
      </c>
      <c r="C919" t="str">
        <f>'Unformatted Trip Summary'!I917</f>
        <v>Other Household Travel</v>
      </c>
      <c r="D919">
        <f>'Unformatted Trip Summary'!D917</f>
        <v>31</v>
      </c>
      <c r="E919">
        <f>'Unformatted Trip Summary'!E917</f>
        <v>81</v>
      </c>
      <c r="F919" s="1">
        <f>'Unformatted Trip Summary'!F917</f>
        <v>2.5985039106999999</v>
      </c>
      <c r="G919" s="1">
        <f>'Unformatted Trip Summary'!G917</f>
        <v>0</v>
      </c>
      <c r="H919" s="1">
        <f>'Unformatted Trip Summary'!H917</f>
        <v>1.3427392162</v>
      </c>
    </row>
    <row r="920" spans="1:8" x14ac:dyDescent="0.2">
      <c r="A920" t="str">
        <f>'Unformatted Trip Summary'!A918</f>
        <v>13 CANTERBURY</v>
      </c>
      <c r="B920" t="str">
        <f>'Unformatted Trip Summary'!J918</f>
        <v>2042/43</v>
      </c>
      <c r="C920" t="str">
        <f>'Unformatted Trip Summary'!I918</f>
        <v>Other Household Travel</v>
      </c>
      <c r="D920">
        <f>'Unformatted Trip Summary'!D918</f>
        <v>31</v>
      </c>
      <c r="E920">
        <f>'Unformatted Trip Summary'!E918</f>
        <v>81</v>
      </c>
      <c r="F920" s="1">
        <f>'Unformatted Trip Summary'!F918</f>
        <v>2.8175543718</v>
      </c>
      <c r="G920" s="1">
        <f>'Unformatted Trip Summary'!G918</f>
        <v>0</v>
      </c>
      <c r="H920" s="1">
        <f>'Unformatted Trip Summary'!H918</f>
        <v>1.4202098962</v>
      </c>
    </row>
    <row r="921" spans="1:8" x14ac:dyDescent="0.2">
      <c r="A921" t="str">
        <f>'Unformatted Trip Summary'!A919</f>
        <v>13 CANTERBURY</v>
      </c>
      <c r="B921" t="str">
        <f>'Unformatted Trip Summary'!J919</f>
        <v>2012/13</v>
      </c>
      <c r="C921" t="str">
        <f>'Unformatted Trip Summary'!I919</f>
        <v>Air/Non-Local PT</v>
      </c>
      <c r="D921">
        <f>'Unformatted Trip Summary'!D919</f>
        <v>99</v>
      </c>
      <c r="E921">
        <f>'Unformatted Trip Summary'!E919</f>
        <v>124</v>
      </c>
      <c r="F921" s="1">
        <f>'Unformatted Trip Summary'!F919</f>
        <v>2.4822614922000001</v>
      </c>
      <c r="G921" s="1">
        <f>'Unformatted Trip Summary'!G919</f>
        <v>66.176348546</v>
      </c>
      <c r="H921" s="1">
        <f>'Unformatted Trip Summary'!H919</f>
        <v>3.9785271960999999</v>
      </c>
    </row>
    <row r="922" spans="1:8" x14ac:dyDescent="0.2">
      <c r="A922" t="str">
        <f>'Unformatted Trip Summary'!A920</f>
        <v>13 CANTERBURY</v>
      </c>
      <c r="B922" t="str">
        <f>'Unformatted Trip Summary'!J920</f>
        <v>2017/18</v>
      </c>
      <c r="C922" t="str">
        <f>'Unformatted Trip Summary'!I920</f>
        <v>Air/Non-Local PT</v>
      </c>
      <c r="D922">
        <f>'Unformatted Trip Summary'!D920</f>
        <v>99</v>
      </c>
      <c r="E922">
        <f>'Unformatted Trip Summary'!E920</f>
        <v>124</v>
      </c>
      <c r="F922" s="1">
        <f>'Unformatted Trip Summary'!F920</f>
        <v>2.7763950482999999</v>
      </c>
      <c r="G922" s="1">
        <f>'Unformatted Trip Summary'!G920</f>
        <v>71.103550307000006</v>
      </c>
      <c r="H922" s="1">
        <f>'Unformatted Trip Summary'!H920</f>
        <v>4.5704752997</v>
      </c>
    </row>
    <row r="923" spans="1:8" x14ac:dyDescent="0.2">
      <c r="A923" t="str">
        <f>'Unformatted Trip Summary'!A921</f>
        <v>13 CANTERBURY</v>
      </c>
      <c r="B923" t="str">
        <f>'Unformatted Trip Summary'!J921</f>
        <v>2022/23</v>
      </c>
      <c r="C923" t="str">
        <f>'Unformatted Trip Summary'!I921</f>
        <v>Air/Non-Local PT</v>
      </c>
      <c r="D923">
        <f>'Unformatted Trip Summary'!D921</f>
        <v>99</v>
      </c>
      <c r="E923">
        <f>'Unformatted Trip Summary'!E921</f>
        <v>124</v>
      </c>
      <c r="F923" s="1">
        <f>'Unformatted Trip Summary'!F921</f>
        <v>2.9152517161999998</v>
      </c>
      <c r="G923" s="1">
        <f>'Unformatted Trip Summary'!G921</f>
        <v>70.658913655999996</v>
      </c>
      <c r="H923" s="1">
        <f>'Unformatted Trip Summary'!H921</f>
        <v>4.8341272755000002</v>
      </c>
    </row>
    <row r="924" spans="1:8" x14ac:dyDescent="0.2">
      <c r="A924" t="str">
        <f>'Unformatted Trip Summary'!A922</f>
        <v>13 CANTERBURY</v>
      </c>
      <c r="B924" t="str">
        <f>'Unformatted Trip Summary'!J922</f>
        <v>2027/28</v>
      </c>
      <c r="C924" t="str">
        <f>'Unformatted Trip Summary'!I922</f>
        <v>Air/Non-Local PT</v>
      </c>
      <c r="D924">
        <f>'Unformatted Trip Summary'!D922</f>
        <v>99</v>
      </c>
      <c r="E924">
        <f>'Unformatted Trip Summary'!E922</f>
        <v>124</v>
      </c>
      <c r="F924" s="1">
        <f>'Unformatted Trip Summary'!F922</f>
        <v>3.0771846700999999</v>
      </c>
      <c r="G924" s="1">
        <f>'Unformatted Trip Summary'!G922</f>
        <v>72.678436980000001</v>
      </c>
      <c r="H924" s="1">
        <f>'Unformatted Trip Summary'!H922</f>
        <v>5.1633212067000001</v>
      </c>
    </row>
    <row r="925" spans="1:8" x14ac:dyDescent="0.2">
      <c r="A925" t="str">
        <f>'Unformatted Trip Summary'!A923</f>
        <v>13 CANTERBURY</v>
      </c>
      <c r="B925" t="str">
        <f>'Unformatted Trip Summary'!J923</f>
        <v>2032/33</v>
      </c>
      <c r="C925" t="str">
        <f>'Unformatted Trip Summary'!I923</f>
        <v>Air/Non-Local PT</v>
      </c>
      <c r="D925">
        <f>'Unformatted Trip Summary'!D923</f>
        <v>99</v>
      </c>
      <c r="E925">
        <f>'Unformatted Trip Summary'!E923</f>
        <v>124</v>
      </c>
      <c r="F925" s="1">
        <f>'Unformatted Trip Summary'!F923</f>
        <v>3.2270281395999998</v>
      </c>
      <c r="G925" s="1">
        <f>'Unformatted Trip Summary'!G923</f>
        <v>77.224413025000004</v>
      </c>
      <c r="H925" s="1">
        <f>'Unformatted Trip Summary'!H923</f>
        <v>5.4932379679999999</v>
      </c>
    </row>
    <row r="926" spans="1:8" x14ac:dyDescent="0.2">
      <c r="A926" t="str">
        <f>'Unformatted Trip Summary'!A924</f>
        <v>13 CANTERBURY</v>
      </c>
      <c r="B926" t="str">
        <f>'Unformatted Trip Summary'!J924</f>
        <v>2037/38</v>
      </c>
      <c r="C926" t="str">
        <f>'Unformatted Trip Summary'!I924</f>
        <v>Air/Non-Local PT</v>
      </c>
      <c r="D926">
        <f>'Unformatted Trip Summary'!D924</f>
        <v>99</v>
      </c>
      <c r="E926">
        <f>'Unformatted Trip Summary'!E924</f>
        <v>124</v>
      </c>
      <c r="F926" s="1">
        <f>'Unformatted Trip Summary'!F924</f>
        <v>3.3146641267999999</v>
      </c>
      <c r="G926" s="1">
        <f>'Unformatted Trip Summary'!G924</f>
        <v>77.862751975999998</v>
      </c>
      <c r="H926" s="1">
        <f>'Unformatted Trip Summary'!H924</f>
        <v>5.6012936701999996</v>
      </c>
    </row>
    <row r="927" spans="1:8" x14ac:dyDescent="0.2">
      <c r="A927" t="str">
        <f>'Unformatted Trip Summary'!A925</f>
        <v>13 CANTERBURY</v>
      </c>
      <c r="B927" t="str">
        <f>'Unformatted Trip Summary'!J925</f>
        <v>2042/43</v>
      </c>
      <c r="C927" t="str">
        <f>'Unformatted Trip Summary'!I925</f>
        <v>Air/Non-Local PT</v>
      </c>
      <c r="D927">
        <f>'Unformatted Trip Summary'!D925</f>
        <v>99</v>
      </c>
      <c r="E927">
        <f>'Unformatted Trip Summary'!E925</f>
        <v>124</v>
      </c>
      <c r="F927" s="1">
        <f>'Unformatted Trip Summary'!F925</f>
        <v>3.3876614032000001</v>
      </c>
      <c r="G927" s="1">
        <f>'Unformatted Trip Summary'!G925</f>
        <v>77.587367977</v>
      </c>
      <c r="H927" s="1">
        <f>'Unformatted Trip Summary'!H925</f>
        <v>5.6808696552000004</v>
      </c>
    </row>
    <row r="928" spans="1:8" x14ac:dyDescent="0.2">
      <c r="A928" t="str">
        <f>'Unformatted Trip Summary'!A926</f>
        <v>13 CANTERBURY</v>
      </c>
      <c r="B928" t="str">
        <f>'Unformatted Trip Summary'!J926</f>
        <v>2012/13</v>
      </c>
      <c r="C928" t="str">
        <f>'Unformatted Trip Summary'!I926</f>
        <v>Non-Household Travel</v>
      </c>
      <c r="D928">
        <f>'Unformatted Trip Summary'!D926</f>
        <v>113</v>
      </c>
      <c r="E928">
        <f>'Unformatted Trip Summary'!E926</f>
        <v>551</v>
      </c>
      <c r="F928" s="1">
        <f>'Unformatted Trip Summary'!F926</f>
        <v>9.2459779483000002</v>
      </c>
      <c r="G928" s="1">
        <f>'Unformatted Trip Summary'!G926</f>
        <v>114.47945472000001</v>
      </c>
      <c r="H928" s="1">
        <f>'Unformatted Trip Summary'!H926</f>
        <v>3.3743770355999998</v>
      </c>
    </row>
    <row r="929" spans="1:8" x14ac:dyDescent="0.2">
      <c r="A929" t="str">
        <f>'Unformatted Trip Summary'!A927</f>
        <v>13 CANTERBURY</v>
      </c>
      <c r="B929" t="str">
        <f>'Unformatted Trip Summary'!J927</f>
        <v>2017/18</v>
      </c>
      <c r="C929" t="str">
        <f>'Unformatted Trip Summary'!I927</f>
        <v>Non-Household Travel</v>
      </c>
      <c r="D929">
        <f>'Unformatted Trip Summary'!D927</f>
        <v>113</v>
      </c>
      <c r="E929">
        <f>'Unformatted Trip Summary'!E927</f>
        <v>551</v>
      </c>
      <c r="F929" s="1">
        <f>'Unformatted Trip Summary'!F927</f>
        <v>9.9690298085000002</v>
      </c>
      <c r="G929" s="1">
        <f>'Unformatted Trip Summary'!G927</f>
        <v>126.20786013999999</v>
      </c>
      <c r="H929" s="1">
        <f>'Unformatted Trip Summary'!H927</f>
        <v>3.7201628727</v>
      </c>
    </row>
    <row r="930" spans="1:8" x14ac:dyDescent="0.2">
      <c r="A930" t="str">
        <f>'Unformatted Trip Summary'!A928</f>
        <v>13 CANTERBURY</v>
      </c>
      <c r="B930" t="str">
        <f>'Unformatted Trip Summary'!J928</f>
        <v>2022/23</v>
      </c>
      <c r="C930" t="str">
        <f>'Unformatted Trip Summary'!I928</f>
        <v>Non-Household Travel</v>
      </c>
      <c r="D930">
        <f>'Unformatted Trip Summary'!D928</f>
        <v>113</v>
      </c>
      <c r="E930">
        <f>'Unformatted Trip Summary'!E928</f>
        <v>551</v>
      </c>
      <c r="F930" s="1">
        <f>'Unformatted Trip Summary'!F928</f>
        <v>10.121657722</v>
      </c>
      <c r="G930" s="1">
        <f>'Unformatted Trip Summary'!G928</f>
        <v>130.85807643000001</v>
      </c>
      <c r="H930" s="1">
        <f>'Unformatted Trip Summary'!H928</f>
        <v>3.8539138186000002</v>
      </c>
    </row>
    <row r="931" spans="1:8" x14ac:dyDescent="0.2">
      <c r="A931" t="str">
        <f>'Unformatted Trip Summary'!A929</f>
        <v>13 CANTERBURY</v>
      </c>
      <c r="B931" t="str">
        <f>'Unformatted Trip Summary'!J929</f>
        <v>2027/28</v>
      </c>
      <c r="C931" t="str">
        <f>'Unformatted Trip Summary'!I929</f>
        <v>Non-Household Travel</v>
      </c>
      <c r="D931">
        <f>'Unformatted Trip Summary'!D929</f>
        <v>113</v>
      </c>
      <c r="E931">
        <f>'Unformatted Trip Summary'!E929</f>
        <v>551</v>
      </c>
      <c r="F931" s="1">
        <f>'Unformatted Trip Summary'!F929</f>
        <v>10.30607936</v>
      </c>
      <c r="G931" s="1">
        <f>'Unformatted Trip Summary'!G929</f>
        <v>136.08889377</v>
      </c>
      <c r="H931" s="1">
        <f>'Unformatted Trip Summary'!H929</f>
        <v>4.0141886552999999</v>
      </c>
    </row>
    <row r="932" spans="1:8" x14ac:dyDescent="0.2">
      <c r="A932" t="str">
        <f>'Unformatted Trip Summary'!A930</f>
        <v>13 CANTERBURY</v>
      </c>
      <c r="B932" t="str">
        <f>'Unformatted Trip Summary'!J930</f>
        <v>2032/33</v>
      </c>
      <c r="C932" t="str">
        <f>'Unformatted Trip Summary'!I930</f>
        <v>Non-Household Travel</v>
      </c>
      <c r="D932">
        <f>'Unformatted Trip Summary'!D930</f>
        <v>113</v>
      </c>
      <c r="E932">
        <f>'Unformatted Trip Summary'!E930</f>
        <v>551</v>
      </c>
      <c r="F932" s="1">
        <f>'Unformatted Trip Summary'!F930</f>
        <v>10.559256156</v>
      </c>
      <c r="G932" s="1">
        <f>'Unformatted Trip Summary'!G930</f>
        <v>140.45037400000001</v>
      </c>
      <c r="H932" s="1">
        <f>'Unformatted Trip Summary'!H930</f>
        <v>4.1711446855999998</v>
      </c>
    </row>
    <row r="933" spans="1:8" x14ac:dyDescent="0.2">
      <c r="A933" t="str">
        <f>'Unformatted Trip Summary'!A931</f>
        <v>13 CANTERBURY</v>
      </c>
      <c r="B933" t="str">
        <f>'Unformatted Trip Summary'!J931</f>
        <v>2037/38</v>
      </c>
      <c r="C933" t="str">
        <f>'Unformatted Trip Summary'!I931</f>
        <v>Non-Household Travel</v>
      </c>
      <c r="D933">
        <f>'Unformatted Trip Summary'!D931</f>
        <v>113</v>
      </c>
      <c r="E933">
        <f>'Unformatted Trip Summary'!E931</f>
        <v>551</v>
      </c>
      <c r="F933" s="1">
        <f>'Unformatted Trip Summary'!F931</f>
        <v>10.823167106</v>
      </c>
      <c r="G933" s="1">
        <f>'Unformatted Trip Summary'!G931</f>
        <v>142.46623589999999</v>
      </c>
      <c r="H933" s="1">
        <f>'Unformatted Trip Summary'!H931</f>
        <v>4.2435211574</v>
      </c>
    </row>
    <row r="934" spans="1:8" x14ac:dyDescent="0.2">
      <c r="A934" t="str">
        <f>'Unformatted Trip Summary'!A932</f>
        <v>13 CANTERBURY</v>
      </c>
      <c r="B934" t="str">
        <f>'Unformatted Trip Summary'!J932</f>
        <v>2042/43</v>
      </c>
      <c r="C934" t="str">
        <f>'Unformatted Trip Summary'!I932</f>
        <v>Non-Household Travel</v>
      </c>
      <c r="D934">
        <f>'Unformatted Trip Summary'!D932</f>
        <v>113</v>
      </c>
      <c r="E934">
        <f>'Unformatted Trip Summary'!E932</f>
        <v>551</v>
      </c>
      <c r="F934" s="1">
        <f>'Unformatted Trip Summary'!F932</f>
        <v>11.059037782000001</v>
      </c>
      <c r="G934" s="1">
        <f>'Unformatted Trip Summary'!G932</f>
        <v>143.97725073999999</v>
      </c>
      <c r="H934" s="1">
        <f>'Unformatted Trip Summary'!H932</f>
        <v>4.2998471986000002</v>
      </c>
    </row>
    <row r="935" spans="1:8" x14ac:dyDescent="0.2">
      <c r="A935" t="str">
        <f>'Unformatted Trip Summary'!A933</f>
        <v>14 OTAGO</v>
      </c>
      <c r="B935" t="str">
        <f>'Unformatted Trip Summary'!J933</f>
        <v>2012/13</v>
      </c>
      <c r="C935" t="str">
        <f>'Unformatted Trip Summary'!I933</f>
        <v>Pedestrian</v>
      </c>
      <c r="D935">
        <f>'Unformatted Trip Summary'!D933</f>
        <v>545</v>
      </c>
      <c r="E935">
        <f>'Unformatted Trip Summary'!E933</f>
        <v>2150</v>
      </c>
      <c r="F935" s="1">
        <f>'Unformatted Trip Summary'!F933</f>
        <v>58.261736425999999</v>
      </c>
      <c r="G935" s="1">
        <f>'Unformatted Trip Summary'!G933</f>
        <v>45.829100335</v>
      </c>
      <c r="H935" s="1">
        <f>'Unformatted Trip Summary'!H933</f>
        <v>11.651603939999999</v>
      </c>
    </row>
    <row r="936" spans="1:8" x14ac:dyDescent="0.2">
      <c r="A936" t="str">
        <f>'Unformatted Trip Summary'!A934</f>
        <v>14 OTAGO</v>
      </c>
      <c r="B936" t="str">
        <f>'Unformatted Trip Summary'!J934</f>
        <v>2017/18</v>
      </c>
      <c r="C936" t="str">
        <f>'Unformatted Trip Summary'!I934</f>
        <v>Pedestrian</v>
      </c>
      <c r="D936">
        <f>'Unformatted Trip Summary'!D934</f>
        <v>545</v>
      </c>
      <c r="E936">
        <f>'Unformatted Trip Summary'!E934</f>
        <v>2150</v>
      </c>
      <c r="F936" s="1">
        <f>'Unformatted Trip Summary'!F934</f>
        <v>58.980601516999997</v>
      </c>
      <c r="G936" s="1">
        <f>'Unformatted Trip Summary'!G934</f>
        <v>46.001728038000003</v>
      </c>
      <c r="H936" s="1">
        <f>'Unformatted Trip Summary'!H934</f>
        <v>11.869373707999999</v>
      </c>
    </row>
    <row r="937" spans="1:8" x14ac:dyDescent="0.2">
      <c r="A937" t="str">
        <f>'Unformatted Trip Summary'!A935</f>
        <v>14 OTAGO</v>
      </c>
      <c r="B937" t="str">
        <f>'Unformatted Trip Summary'!J935</f>
        <v>2022/23</v>
      </c>
      <c r="C937" t="str">
        <f>'Unformatted Trip Summary'!I935</f>
        <v>Pedestrian</v>
      </c>
      <c r="D937">
        <f>'Unformatted Trip Summary'!D935</f>
        <v>545</v>
      </c>
      <c r="E937">
        <f>'Unformatted Trip Summary'!E935</f>
        <v>2150</v>
      </c>
      <c r="F937" s="1">
        <f>'Unformatted Trip Summary'!F935</f>
        <v>59.067989218000001</v>
      </c>
      <c r="G937" s="1">
        <f>'Unformatted Trip Summary'!G935</f>
        <v>45.761607402000003</v>
      </c>
      <c r="H937" s="1">
        <f>'Unformatted Trip Summary'!H935</f>
        <v>11.949516757</v>
      </c>
    </row>
    <row r="938" spans="1:8" x14ac:dyDescent="0.2">
      <c r="A938" t="str">
        <f>'Unformatted Trip Summary'!A936</f>
        <v>14 OTAGO</v>
      </c>
      <c r="B938" t="str">
        <f>'Unformatted Trip Summary'!J936</f>
        <v>2027/28</v>
      </c>
      <c r="C938" t="str">
        <f>'Unformatted Trip Summary'!I936</f>
        <v>Pedestrian</v>
      </c>
      <c r="D938">
        <f>'Unformatted Trip Summary'!D936</f>
        <v>545</v>
      </c>
      <c r="E938">
        <f>'Unformatted Trip Summary'!E936</f>
        <v>2150</v>
      </c>
      <c r="F938" s="1">
        <f>'Unformatted Trip Summary'!F936</f>
        <v>59.793038952000003</v>
      </c>
      <c r="G938" s="1">
        <f>'Unformatted Trip Summary'!G936</f>
        <v>45.935165407</v>
      </c>
      <c r="H938" s="1">
        <f>'Unformatted Trip Summary'!H936</f>
        <v>12.11872022</v>
      </c>
    </row>
    <row r="939" spans="1:8" x14ac:dyDescent="0.2">
      <c r="A939" t="str">
        <f>'Unformatted Trip Summary'!A937</f>
        <v>14 OTAGO</v>
      </c>
      <c r="B939" t="str">
        <f>'Unformatted Trip Summary'!J937</f>
        <v>2032/33</v>
      </c>
      <c r="C939" t="str">
        <f>'Unformatted Trip Summary'!I937</f>
        <v>Pedestrian</v>
      </c>
      <c r="D939">
        <f>'Unformatted Trip Summary'!D937</f>
        <v>545</v>
      </c>
      <c r="E939">
        <f>'Unformatted Trip Summary'!E937</f>
        <v>2150</v>
      </c>
      <c r="F939" s="1">
        <f>'Unformatted Trip Summary'!F937</f>
        <v>60.401300878000001</v>
      </c>
      <c r="G939" s="1">
        <f>'Unformatted Trip Summary'!G937</f>
        <v>45.95796223</v>
      </c>
      <c r="H939" s="1">
        <f>'Unformatted Trip Summary'!H937</f>
        <v>12.246982031</v>
      </c>
    </row>
    <row r="940" spans="1:8" x14ac:dyDescent="0.2">
      <c r="A940" t="str">
        <f>'Unformatted Trip Summary'!A938</f>
        <v>14 OTAGO</v>
      </c>
      <c r="B940" t="str">
        <f>'Unformatted Trip Summary'!J938</f>
        <v>2037/38</v>
      </c>
      <c r="C940" t="str">
        <f>'Unformatted Trip Summary'!I938</f>
        <v>Pedestrian</v>
      </c>
      <c r="D940">
        <f>'Unformatted Trip Summary'!D938</f>
        <v>545</v>
      </c>
      <c r="E940">
        <f>'Unformatted Trip Summary'!E938</f>
        <v>2150</v>
      </c>
      <c r="F940" s="1">
        <f>'Unformatted Trip Summary'!F938</f>
        <v>60.166539196000002</v>
      </c>
      <c r="G940" s="1">
        <f>'Unformatted Trip Summary'!G938</f>
        <v>45.618197207999998</v>
      </c>
      <c r="H940" s="1">
        <f>'Unformatted Trip Summary'!H938</f>
        <v>12.259202138999999</v>
      </c>
    </row>
    <row r="941" spans="1:8" x14ac:dyDescent="0.2">
      <c r="A941" t="str">
        <f>'Unformatted Trip Summary'!A939</f>
        <v>14 OTAGO</v>
      </c>
      <c r="B941" t="str">
        <f>'Unformatted Trip Summary'!J939</f>
        <v>2042/43</v>
      </c>
      <c r="C941" t="str">
        <f>'Unformatted Trip Summary'!I939</f>
        <v>Pedestrian</v>
      </c>
      <c r="D941">
        <f>'Unformatted Trip Summary'!D939</f>
        <v>545</v>
      </c>
      <c r="E941">
        <f>'Unformatted Trip Summary'!E939</f>
        <v>2150</v>
      </c>
      <c r="F941" s="1">
        <f>'Unformatted Trip Summary'!F939</f>
        <v>59.826633272000002</v>
      </c>
      <c r="G941" s="1">
        <f>'Unformatted Trip Summary'!G939</f>
        <v>45.222839481000001</v>
      </c>
      <c r="H941" s="1">
        <f>'Unformatted Trip Summary'!H939</f>
        <v>12.257815011</v>
      </c>
    </row>
    <row r="942" spans="1:8" x14ac:dyDescent="0.2">
      <c r="A942" t="str">
        <f>'Unformatted Trip Summary'!A940</f>
        <v>14 OTAGO</v>
      </c>
      <c r="B942" t="str">
        <f>'Unformatted Trip Summary'!J940</f>
        <v>2012/13</v>
      </c>
      <c r="C942" t="str">
        <f>'Unformatted Trip Summary'!I940</f>
        <v>Cyclist</v>
      </c>
      <c r="D942">
        <f>'Unformatted Trip Summary'!D940</f>
        <v>52</v>
      </c>
      <c r="E942">
        <f>'Unformatted Trip Summary'!E940</f>
        <v>151</v>
      </c>
      <c r="F942" s="1">
        <f>'Unformatted Trip Summary'!F940</f>
        <v>4.5847179276999999</v>
      </c>
      <c r="G942" s="1">
        <f>'Unformatted Trip Summary'!G940</f>
        <v>16.325352069000001</v>
      </c>
      <c r="H942" s="1">
        <f>'Unformatted Trip Summary'!H940</f>
        <v>1.6089304994</v>
      </c>
    </row>
    <row r="943" spans="1:8" x14ac:dyDescent="0.2">
      <c r="A943" t="str">
        <f>'Unformatted Trip Summary'!A941</f>
        <v>14 OTAGO</v>
      </c>
      <c r="B943" t="str">
        <f>'Unformatted Trip Summary'!J941</f>
        <v>2017/18</v>
      </c>
      <c r="C943" t="str">
        <f>'Unformatted Trip Summary'!I941</f>
        <v>Cyclist</v>
      </c>
      <c r="D943">
        <f>'Unformatted Trip Summary'!D941</f>
        <v>52</v>
      </c>
      <c r="E943">
        <f>'Unformatted Trip Summary'!E941</f>
        <v>151</v>
      </c>
      <c r="F943" s="1">
        <f>'Unformatted Trip Summary'!F941</f>
        <v>4.7224126380999998</v>
      </c>
      <c r="G943" s="1">
        <f>'Unformatted Trip Summary'!G941</f>
        <v>17.897255758</v>
      </c>
      <c r="H943" s="1">
        <f>'Unformatted Trip Summary'!H941</f>
        <v>1.7306934026</v>
      </c>
    </row>
    <row r="944" spans="1:8" x14ac:dyDescent="0.2">
      <c r="A944" t="str">
        <f>'Unformatted Trip Summary'!A942</f>
        <v>14 OTAGO</v>
      </c>
      <c r="B944" t="str">
        <f>'Unformatted Trip Summary'!J942</f>
        <v>2022/23</v>
      </c>
      <c r="C944" t="str">
        <f>'Unformatted Trip Summary'!I942</f>
        <v>Cyclist</v>
      </c>
      <c r="D944">
        <f>'Unformatted Trip Summary'!D942</f>
        <v>52</v>
      </c>
      <c r="E944">
        <f>'Unformatted Trip Summary'!E942</f>
        <v>151</v>
      </c>
      <c r="F944" s="1">
        <f>'Unformatted Trip Summary'!F942</f>
        <v>4.7374659691999996</v>
      </c>
      <c r="G944" s="1">
        <f>'Unformatted Trip Summary'!G942</f>
        <v>18.852491256</v>
      </c>
      <c r="H944" s="1">
        <f>'Unformatted Trip Summary'!H942</f>
        <v>1.7978921591999999</v>
      </c>
    </row>
    <row r="945" spans="1:8" x14ac:dyDescent="0.2">
      <c r="A945" t="str">
        <f>'Unformatted Trip Summary'!A943</f>
        <v>14 OTAGO</v>
      </c>
      <c r="B945" t="str">
        <f>'Unformatted Trip Summary'!J943</f>
        <v>2027/28</v>
      </c>
      <c r="C945" t="str">
        <f>'Unformatted Trip Summary'!I943</f>
        <v>Cyclist</v>
      </c>
      <c r="D945">
        <f>'Unformatted Trip Summary'!D943</f>
        <v>52</v>
      </c>
      <c r="E945">
        <f>'Unformatted Trip Summary'!E943</f>
        <v>151</v>
      </c>
      <c r="F945" s="1">
        <f>'Unformatted Trip Summary'!F943</f>
        <v>4.6323708082000001</v>
      </c>
      <c r="G945" s="1">
        <f>'Unformatted Trip Summary'!G943</f>
        <v>19.271251419999999</v>
      </c>
      <c r="H945" s="1">
        <f>'Unformatted Trip Summary'!H943</f>
        <v>1.8072652897000001</v>
      </c>
    </row>
    <row r="946" spans="1:8" x14ac:dyDescent="0.2">
      <c r="A946" t="str">
        <f>'Unformatted Trip Summary'!A944</f>
        <v>14 OTAGO</v>
      </c>
      <c r="B946" t="str">
        <f>'Unformatted Trip Summary'!J944</f>
        <v>2032/33</v>
      </c>
      <c r="C946" t="str">
        <f>'Unformatted Trip Summary'!I944</f>
        <v>Cyclist</v>
      </c>
      <c r="D946">
        <f>'Unformatted Trip Summary'!D944</f>
        <v>52</v>
      </c>
      <c r="E946">
        <f>'Unformatted Trip Summary'!E944</f>
        <v>151</v>
      </c>
      <c r="F946" s="1">
        <f>'Unformatted Trip Summary'!F944</f>
        <v>4.6058430689999996</v>
      </c>
      <c r="G946" s="1">
        <f>'Unformatted Trip Summary'!G944</f>
        <v>19.547776195000001</v>
      </c>
      <c r="H946" s="1">
        <f>'Unformatted Trip Summary'!H944</f>
        <v>1.8230672439</v>
      </c>
    </row>
    <row r="947" spans="1:8" x14ac:dyDescent="0.2">
      <c r="A947" t="str">
        <f>'Unformatted Trip Summary'!A945</f>
        <v>14 OTAGO</v>
      </c>
      <c r="B947" t="str">
        <f>'Unformatted Trip Summary'!J945</f>
        <v>2037/38</v>
      </c>
      <c r="C947" t="str">
        <f>'Unformatted Trip Summary'!I945</f>
        <v>Cyclist</v>
      </c>
      <c r="D947">
        <f>'Unformatted Trip Summary'!D945</f>
        <v>52</v>
      </c>
      <c r="E947">
        <f>'Unformatted Trip Summary'!E945</f>
        <v>151</v>
      </c>
      <c r="F947" s="1">
        <f>'Unformatted Trip Summary'!F945</f>
        <v>4.6472943015999997</v>
      </c>
      <c r="G947" s="1">
        <f>'Unformatted Trip Summary'!G945</f>
        <v>19.948596792</v>
      </c>
      <c r="H947" s="1">
        <f>'Unformatted Trip Summary'!H945</f>
        <v>1.8643638678000001</v>
      </c>
    </row>
    <row r="948" spans="1:8" x14ac:dyDescent="0.2">
      <c r="A948" t="str">
        <f>'Unformatted Trip Summary'!A946</f>
        <v>14 OTAGO</v>
      </c>
      <c r="B948" t="str">
        <f>'Unformatted Trip Summary'!J946</f>
        <v>2042/43</v>
      </c>
      <c r="C948" t="str">
        <f>'Unformatted Trip Summary'!I946</f>
        <v>Cyclist</v>
      </c>
      <c r="D948">
        <f>'Unformatted Trip Summary'!D946</f>
        <v>52</v>
      </c>
      <c r="E948">
        <f>'Unformatted Trip Summary'!E946</f>
        <v>151</v>
      </c>
      <c r="F948" s="1">
        <f>'Unformatted Trip Summary'!F946</f>
        <v>4.6714132283999996</v>
      </c>
      <c r="G948" s="1">
        <f>'Unformatted Trip Summary'!G946</f>
        <v>20.285144434999999</v>
      </c>
      <c r="H948" s="1">
        <f>'Unformatted Trip Summary'!H946</f>
        <v>1.9010399229999999</v>
      </c>
    </row>
    <row r="949" spans="1:8" x14ac:dyDescent="0.2">
      <c r="A949" t="str">
        <f>'Unformatted Trip Summary'!A947</f>
        <v>14 OTAGO</v>
      </c>
      <c r="B949" t="str">
        <f>'Unformatted Trip Summary'!J947</f>
        <v>2012/13</v>
      </c>
      <c r="C949" t="str">
        <f>'Unformatted Trip Summary'!I947</f>
        <v>Light Vehicle Driver</v>
      </c>
      <c r="D949">
        <f>'Unformatted Trip Summary'!D947</f>
        <v>734</v>
      </c>
      <c r="E949">
        <f>'Unformatted Trip Summary'!E947</f>
        <v>5488</v>
      </c>
      <c r="F949" s="1">
        <f>'Unformatted Trip Summary'!F947</f>
        <v>150.49144967999999</v>
      </c>
      <c r="G949" s="1">
        <f>'Unformatted Trip Summary'!G947</f>
        <v>1192.1699989000001</v>
      </c>
      <c r="H949" s="1">
        <f>'Unformatted Trip Summary'!H947</f>
        <v>32.522387277</v>
      </c>
    </row>
    <row r="950" spans="1:8" x14ac:dyDescent="0.2">
      <c r="A950" t="str">
        <f>'Unformatted Trip Summary'!A948</f>
        <v>14 OTAGO</v>
      </c>
      <c r="B950" t="str">
        <f>'Unformatted Trip Summary'!J948</f>
        <v>2017/18</v>
      </c>
      <c r="C950" t="str">
        <f>'Unformatted Trip Summary'!I948</f>
        <v>Light Vehicle Driver</v>
      </c>
      <c r="D950">
        <f>'Unformatted Trip Summary'!D948</f>
        <v>734</v>
      </c>
      <c r="E950">
        <f>'Unformatted Trip Summary'!E948</f>
        <v>5488</v>
      </c>
      <c r="F950" s="1">
        <f>'Unformatted Trip Summary'!F948</f>
        <v>155.76117059000001</v>
      </c>
      <c r="G950" s="1">
        <f>'Unformatted Trip Summary'!G948</f>
        <v>1269.3984828</v>
      </c>
      <c r="H950" s="1">
        <f>'Unformatted Trip Summary'!H948</f>
        <v>34.226528285999997</v>
      </c>
    </row>
    <row r="951" spans="1:8" x14ac:dyDescent="0.2">
      <c r="A951" t="str">
        <f>'Unformatted Trip Summary'!A949</f>
        <v>14 OTAGO</v>
      </c>
      <c r="B951" t="str">
        <f>'Unformatted Trip Summary'!J949</f>
        <v>2022/23</v>
      </c>
      <c r="C951" t="str">
        <f>'Unformatted Trip Summary'!I949</f>
        <v>Light Vehicle Driver</v>
      </c>
      <c r="D951">
        <f>'Unformatted Trip Summary'!D949</f>
        <v>734</v>
      </c>
      <c r="E951">
        <f>'Unformatted Trip Summary'!E949</f>
        <v>5488</v>
      </c>
      <c r="F951" s="1">
        <f>'Unformatted Trip Summary'!F949</f>
        <v>159.66543447000001</v>
      </c>
      <c r="G951" s="1">
        <f>'Unformatted Trip Summary'!G949</f>
        <v>1328.2172836</v>
      </c>
      <c r="H951" s="1">
        <f>'Unformatted Trip Summary'!H949</f>
        <v>35.484973881000002</v>
      </c>
    </row>
    <row r="952" spans="1:8" x14ac:dyDescent="0.2">
      <c r="A952" t="str">
        <f>'Unformatted Trip Summary'!A950</f>
        <v>14 OTAGO</v>
      </c>
      <c r="B952" t="str">
        <f>'Unformatted Trip Summary'!J950</f>
        <v>2027/28</v>
      </c>
      <c r="C952" t="str">
        <f>'Unformatted Trip Summary'!I950</f>
        <v>Light Vehicle Driver</v>
      </c>
      <c r="D952">
        <f>'Unformatted Trip Summary'!D950</f>
        <v>734</v>
      </c>
      <c r="E952">
        <f>'Unformatted Trip Summary'!E950</f>
        <v>5488</v>
      </c>
      <c r="F952" s="1">
        <f>'Unformatted Trip Summary'!F950</f>
        <v>164.55229989</v>
      </c>
      <c r="G952" s="1">
        <f>'Unformatted Trip Summary'!G950</f>
        <v>1385.4128954</v>
      </c>
      <c r="H952" s="1">
        <f>'Unformatted Trip Summary'!H950</f>
        <v>36.825446634000002</v>
      </c>
    </row>
    <row r="953" spans="1:8" x14ac:dyDescent="0.2">
      <c r="A953" t="str">
        <f>'Unformatted Trip Summary'!A951</f>
        <v>14 OTAGO</v>
      </c>
      <c r="B953" t="str">
        <f>'Unformatted Trip Summary'!J951</f>
        <v>2032/33</v>
      </c>
      <c r="C953" t="str">
        <f>'Unformatted Trip Summary'!I951</f>
        <v>Light Vehicle Driver</v>
      </c>
      <c r="D953">
        <f>'Unformatted Trip Summary'!D951</f>
        <v>734</v>
      </c>
      <c r="E953">
        <f>'Unformatted Trip Summary'!E951</f>
        <v>5488</v>
      </c>
      <c r="F953" s="1">
        <f>'Unformatted Trip Summary'!F951</f>
        <v>168.68247399000001</v>
      </c>
      <c r="G953" s="1">
        <f>'Unformatted Trip Summary'!G951</f>
        <v>1441.9992013999999</v>
      </c>
      <c r="H953" s="1">
        <f>'Unformatted Trip Summary'!H951</f>
        <v>38.056396661000001</v>
      </c>
    </row>
    <row r="954" spans="1:8" x14ac:dyDescent="0.2">
      <c r="A954" t="str">
        <f>'Unformatted Trip Summary'!A952</f>
        <v>14 OTAGO</v>
      </c>
      <c r="B954" t="str">
        <f>'Unformatted Trip Summary'!J952</f>
        <v>2037/38</v>
      </c>
      <c r="C954" t="str">
        <f>'Unformatted Trip Summary'!I952</f>
        <v>Light Vehicle Driver</v>
      </c>
      <c r="D954">
        <f>'Unformatted Trip Summary'!D952</f>
        <v>734</v>
      </c>
      <c r="E954">
        <f>'Unformatted Trip Summary'!E952</f>
        <v>5488</v>
      </c>
      <c r="F954" s="1">
        <f>'Unformatted Trip Summary'!F952</f>
        <v>169.77477941000001</v>
      </c>
      <c r="G954" s="1">
        <f>'Unformatted Trip Summary'!G952</f>
        <v>1491.2338166</v>
      </c>
      <c r="H954" s="1">
        <f>'Unformatted Trip Summary'!H952</f>
        <v>38.872660947</v>
      </c>
    </row>
    <row r="955" spans="1:8" x14ac:dyDescent="0.2">
      <c r="A955" t="str">
        <f>'Unformatted Trip Summary'!A953</f>
        <v>14 OTAGO</v>
      </c>
      <c r="B955" t="str">
        <f>'Unformatted Trip Summary'!J953</f>
        <v>2042/43</v>
      </c>
      <c r="C955" t="str">
        <f>'Unformatted Trip Summary'!I953</f>
        <v>Light Vehicle Driver</v>
      </c>
      <c r="D955">
        <f>'Unformatted Trip Summary'!D953</f>
        <v>734</v>
      </c>
      <c r="E955">
        <f>'Unformatted Trip Summary'!E953</f>
        <v>5488</v>
      </c>
      <c r="F955" s="1">
        <f>'Unformatted Trip Summary'!F953</f>
        <v>170.42068201999999</v>
      </c>
      <c r="G955" s="1">
        <f>'Unformatted Trip Summary'!G953</f>
        <v>1540.8847410000001</v>
      </c>
      <c r="H955" s="1">
        <f>'Unformatted Trip Summary'!H953</f>
        <v>39.623718298</v>
      </c>
    </row>
    <row r="956" spans="1:8" x14ac:dyDescent="0.2">
      <c r="A956" t="str">
        <f>'Unformatted Trip Summary'!A954</f>
        <v>14 OTAGO</v>
      </c>
      <c r="B956" t="str">
        <f>'Unformatted Trip Summary'!J954</f>
        <v>2012/13</v>
      </c>
      <c r="C956" t="str">
        <f>'Unformatted Trip Summary'!I954</f>
        <v>Light Vehicle Passenger</v>
      </c>
      <c r="D956">
        <f>'Unformatted Trip Summary'!D954</f>
        <v>543</v>
      </c>
      <c r="E956">
        <f>'Unformatted Trip Summary'!E954</f>
        <v>2595</v>
      </c>
      <c r="F956" s="1">
        <f>'Unformatted Trip Summary'!F954</f>
        <v>71.232164202000007</v>
      </c>
      <c r="G956" s="1">
        <f>'Unformatted Trip Summary'!G954</f>
        <v>849.31688999999994</v>
      </c>
      <c r="H956" s="1">
        <f>'Unformatted Trip Summary'!H954</f>
        <v>19.901766343999999</v>
      </c>
    </row>
    <row r="957" spans="1:8" x14ac:dyDescent="0.2">
      <c r="A957" t="str">
        <f>'Unformatted Trip Summary'!A955</f>
        <v>14 OTAGO</v>
      </c>
      <c r="B957" t="str">
        <f>'Unformatted Trip Summary'!J955</f>
        <v>2017/18</v>
      </c>
      <c r="C957" t="str">
        <f>'Unformatted Trip Summary'!I955</f>
        <v>Light Vehicle Passenger</v>
      </c>
      <c r="D957">
        <f>'Unformatted Trip Summary'!D955</f>
        <v>543</v>
      </c>
      <c r="E957">
        <f>'Unformatted Trip Summary'!E955</f>
        <v>2595</v>
      </c>
      <c r="F957" s="1">
        <f>'Unformatted Trip Summary'!F955</f>
        <v>70.709647580999999</v>
      </c>
      <c r="G957" s="1">
        <f>'Unformatted Trip Summary'!G955</f>
        <v>869.31760354000005</v>
      </c>
      <c r="H957" s="1">
        <f>'Unformatted Trip Summary'!H955</f>
        <v>20.161454876000001</v>
      </c>
    </row>
    <row r="958" spans="1:8" x14ac:dyDescent="0.2">
      <c r="A958" t="str">
        <f>'Unformatted Trip Summary'!A956</f>
        <v>14 OTAGO</v>
      </c>
      <c r="B958" t="str">
        <f>'Unformatted Trip Summary'!J956</f>
        <v>2022/23</v>
      </c>
      <c r="C958" t="str">
        <f>'Unformatted Trip Summary'!I956</f>
        <v>Light Vehicle Passenger</v>
      </c>
      <c r="D958">
        <f>'Unformatted Trip Summary'!D956</f>
        <v>543</v>
      </c>
      <c r="E958">
        <f>'Unformatted Trip Summary'!E956</f>
        <v>2595</v>
      </c>
      <c r="F958" s="1">
        <f>'Unformatted Trip Summary'!F956</f>
        <v>70.079933252000004</v>
      </c>
      <c r="G958" s="1">
        <f>'Unformatted Trip Summary'!G956</f>
        <v>877.38891477000004</v>
      </c>
      <c r="H958" s="1">
        <f>'Unformatted Trip Summary'!H956</f>
        <v>20.217603817000001</v>
      </c>
    </row>
    <row r="959" spans="1:8" x14ac:dyDescent="0.2">
      <c r="A959" t="str">
        <f>'Unformatted Trip Summary'!A957</f>
        <v>14 OTAGO</v>
      </c>
      <c r="B959" t="str">
        <f>'Unformatted Trip Summary'!J957</f>
        <v>2027/28</v>
      </c>
      <c r="C959" t="str">
        <f>'Unformatted Trip Summary'!I957</f>
        <v>Light Vehicle Passenger</v>
      </c>
      <c r="D959">
        <f>'Unformatted Trip Summary'!D957</f>
        <v>543</v>
      </c>
      <c r="E959">
        <f>'Unformatted Trip Summary'!E957</f>
        <v>2595</v>
      </c>
      <c r="F959" s="1">
        <f>'Unformatted Trip Summary'!F957</f>
        <v>69.735588512999996</v>
      </c>
      <c r="G959" s="1">
        <f>'Unformatted Trip Summary'!G957</f>
        <v>899.08560800999999</v>
      </c>
      <c r="H959" s="1">
        <f>'Unformatted Trip Summary'!H957</f>
        <v>20.539123129</v>
      </c>
    </row>
    <row r="960" spans="1:8" x14ac:dyDescent="0.2">
      <c r="A960" t="str">
        <f>'Unformatted Trip Summary'!A958</f>
        <v>14 OTAGO</v>
      </c>
      <c r="B960" t="str">
        <f>'Unformatted Trip Summary'!J958</f>
        <v>2032/33</v>
      </c>
      <c r="C960" t="str">
        <f>'Unformatted Trip Summary'!I958</f>
        <v>Light Vehicle Passenger</v>
      </c>
      <c r="D960">
        <f>'Unformatted Trip Summary'!D958</f>
        <v>543</v>
      </c>
      <c r="E960">
        <f>'Unformatted Trip Summary'!E958</f>
        <v>2595</v>
      </c>
      <c r="F960" s="1">
        <f>'Unformatted Trip Summary'!F958</f>
        <v>69.690397922000002</v>
      </c>
      <c r="G960" s="1">
        <f>'Unformatted Trip Summary'!G958</f>
        <v>906.58069427999999</v>
      </c>
      <c r="H960" s="1">
        <f>'Unformatted Trip Summary'!H958</f>
        <v>20.618900693000001</v>
      </c>
    </row>
    <row r="961" spans="1:8" x14ac:dyDescent="0.2">
      <c r="A961" t="str">
        <f>'Unformatted Trip Summary'!A959</f>
        <v>14 OTAGO</v>
      </c>
      <c r="B961" t="str">
        <f>'Unformatted Trip Summary'!J959</f>
        <v>2037/38</v>
      </c>
      <c r="C961" t="str">
        <f>'Unformatted Trip Summary'!I959</f>
        <v>Light Vehicle Passenger</v>
      </c>
      <c r="D961">
        <f>'Unformatted Trip Summary'!D959</f>
        <v>543</v>
      </c>
      <c r="E961">
        <f>'Unformatted Trip Summary'!E959</f>
        <v>2595</v>
      </c>
      <c r="F961" s="1">
        <f>'Unformatted Trip Summary'!F959</f>
        <v>69.142697260000006</v>
      </c>
      <c r="G961" s="1">
        <f>'Unformatted Trip Summary'!G959</f>
        <v>915.95567274999996</v>
      </c>
      <c r="H961" s="1">
        <f>'Unformatted Trip Summary'!H959</f>
        <v>20.761563936000002</v>
      </c>
    </row>
    <row r="962" spans="1:8" x14ac:dyDescent="0.2">
      <c r="A962" t="str">
        <f>'Unformatted Trip Summary'!A960</f>
        <v>14 OTAGO</v>
      </c>
      <c r="B962" t="str">
        <f>'Unformatted Trip Summary'!J960</f>
        <v>2042/43</v>
      </c>
      <c r="C962" t="str">
        <f>'Unformatted Trip Summary'!I960</f>
        <v>Light Vehicle Passenger</v>
      </c>
      <c r="D962">
        <f>'Unformatted Trip Summary'!D960</f>
        <v>543</v>
      </c>
      <c r="E962">
        <f>'Unformatted Trip Summary'!E960</f>
        <v>2595</v>
      </c>
      <c r="F962" s="1">
        <f>'Unformatted Trip Summary'!F960</f>
        <v>68.387910547999994</v>
      </c>
      <c r="G962" s="1">
        <f>'Unformatted Trip Summary'!G960</f>
        <v>922.47352473000001</v>
      </c>
      <c r="H962" s="1">
        <f>'Unformatted Trip Summary'!H960</f>
        <v>20.830138805000001</v>
      </c>
    </row>
    <row r="963" spans="1:8" x14ac:dyDescent="0.2">
      <c r="A963" t="str">
        <f>'Unformatted Trip Summary'!A961</f>
        <v>14 OTAGO</v>
      </c>
      <c r="B963" t="str">
        <f>'Unformatted Trip Summary'!J961</f>
        <v>2012/13</v>
      </c>
      <c r="C963" t="str">
        <f>'Unformatted Trip Summary'!I961</f>
        <v>Taxi/Vehicle Share</v>
      </c>
      <c r="D963">
        <f>'Unformatted Trip Summary'!D961</f>
        <v>21</v>
      </c>
      <c r="E963">
        <f>'Unformatted Trip Summary'!E961</f>
        <v>36</v>
      </c>
      <c r="F963" s="1">
        <f>'Unformatted Trip Summary'!F961</f>
        <v>0.85820748670000002</v>
      </c>
      <c r="G963" s="1">
        <f>'Unformatted Trip Summary'!G961</f>
        <v>7.2892681777000004</v>
      </c>
      <c r="H963" s="1">
        <f>'Unformatted Trip Summary'!H961</f>
        <v>0.23496676969999999</v>
      </c>
    </row>
    <row r="964" spans="1:8" x14ac:dyDescent="0.2">
      <c r="A964" t="str">
        <f>'Unformatted Trip Summary'!A962</f>
        <v>14 OTAGO</v>
      </c>
      <c r="B964" t="str">
        <f>'Unformatted Trip Summary'!J962</f>
        <v>2017/18</v>
      </c>
      <c r="C964" t="str">
        <f>'Unformatted Trip Summary'!I962</f>
        <v>Taxi/Vehicle Share</v>
      </c>
      <c r="D964">
        <f>'Unformatted Trip Summary'!D962</f>
        <v>21</v>
      </c>
      <c r="E964">
        <f>'Unformatted Trip Summary'!E962</f>
        <v>36</v>
      </c>
      <c r="F964" s="1">
        <f>'Unformatted Trip Summary'!F962</f>
        <v>0.85490765729999996</v>
      </c>
      <c r="G964" s="1">
        <f>'Unformatted Trip Summary'!G962</f>
        <v>7.2358640941000001</v>
      </c>
      <c r="H964" s="1">
        <f>'Unformatted Trip Summary'!H962</f>
        <v>0.2353204072</v>
      </c>
    </row>
    <row r="965" spans="1:8" x14ac:dyDescent="0.2">
      <c r="A965" t="str">
        <f>'Unformatted Trip Summary'!A963</f>
        <v>14 OTAGO</v>
      </c>
      <c r="B965" t="str">
        <f>'Unformatted Trip Summary'!J963</f>
        <v>2022/23</v>
      </c>
      <c r="C965" t="str">
        <f>'Unformatted Trip Summary'!I963</f>
        <v>Taxi/Vehicle Share</v>
      </c>
      <c r="D965">
        <f>'Unformatted Trip Summary'!D963</f>
        <v>21</v>
      </c>
      <c r="E965">
        <f>'Unformatted Trip Summary'!E963</f>
        <v>36</v>
      </c>
      <c r="F965" s="1">
        <f>'Unformatted Trip Summary'!F963</f>
        <v>0.83647690210000003</v>
      </c>
      <c r="G965" s="1">
        <f>'Unformatted Trip Summary'!G963</f>
        <v>7.2775217691999998</v>
      </c>
      <c r="H965" s="1">
        <f>'Unformatted Trip Summary'!H963</f>
        <v>0.2388372326</v>
      </c>
    </row>
    <row r="966" spans="1:8" x14ac:dyDescent="0.2">
      <c r="A966" t="str">
        <f>'Unformatted Trip Summary'!A964</f>
        <v>14 OTAGO</v>
      </c>
      <c r="B966" t="str">
        <f>'Unformatted Trip Summary'!J964</f>
        <v>2027/28</v>
      </c>
      <c r="C966" t="str">
        <f>'Unformatted Trip Summary'!I964</f>
        <v>Taxi/Vehicle Share</v>
      </c>
      <c r="D966">
        <f>'Unformatted Trip Summary'!D964</f>
        <v>21</v>
      </c>
      <c r="E966">
        <f>'Unformatted Trip Summary'!E964</f>
        <v>36</v>
      </c>
      <c r="F966" s="1">
        <f>'Unformatted Trip Summary'!F964</f>
        <v>0.84931381549999996</v>
      </c>
      <c r="G966" s="1">
        <f>'Unformatted Trip Summary'!G964</f>
        <v>7.5606976450000003</v>
      </c>
      <c r="H966" s="1">
        <f>'Unformatted Trip Summary'!H964</f>
        <v>0.24939746339999999</v>
      </c>
    </row>
    <row r="967" spans="1:8" x14ac:dyDescent="0.2">
      <c r="A967" t="str">
        <f>'Unformatted Trip Summary'!A965</f>
        <v>14 OTAGO</v>
      </c>
      <c r="B967" t="str">
        <f>'Unformatted Trip Summary'!J965</f>
        <v>2032/33</v>
      </c>
      <c r="C967" t="str">
        <f>'Unformatted Trip Summary'!I965</f>
        <v>Taxi/Vehicle Share</v>
      </c>
      <c r="D967">
        <f>'Unformatted Trip Summary'!D965</f>
        <v>21</v>
      </c>
      <c r="E967">
        <f>'Unformatted Trip Summary'!E965</f>
        <v>36</v>
      </c>
      <c r="F967" s="1">
        <f>'Unformatted Trip Summary'!F965</f>
        <v>0.87476323040000004</v>
      </c>
      <c r="G967" s="1">
        <f>'Unformatted Trip Summary'!G965</f>
        <v>7.9759218277999997</v>
      </c>
      <c r="H967" s="1">
        <f>'Unformatted Trip Summary'!H965</f>
        <v>0.26327321679999999</v>
      </c>
    </row>
    <row r="968" spans="1:8" x14ac:dyDescent="0.2">
      <c r="A968" t="str">
        <f>'Unformatted Trip Summary'!A966</f>
        <v>14 OTAGO</v>
      </c>
      <c r="B968" t="str">
        <f>'Unformatted Trip Summary'!J966</f>
        <v>2037/38</v>
      </c>
      <c r="C968" t="str">
        <f>'Unformatted Trip Summary'!I966</f>
        <v>Taxi/Vehicle Share</v>
      </c>
      <c r="D968">
        <f>'Unformatted Trip Summary'!D966</f>
        <v>21</v>
      </c>
      <c r="E968">
        <f>'Unformatted Trip Summary'!E966</f>
        <v>36</v>
      </c>
      <c r="F968" s="1">
        <f>'Unformatted Trip Summary'!F966</f>
        <v>0.85805893929999999</v>
      </c>
      <c r="G968" s="1">
        <f>'Unformatted Trip Summary'!G966</f>
        <v>8.0632806699999993</v>
      </c>
      <c r="H968" s="1">
        <f>'Unformatted Trip Summary'!H966</f>
        <v>0.26686054999999997</v>
      </c>
    </row>
    <row r="969" spans="1:8" x14ac:dyDescent="0.2">
      <c r="A969" t="str">
        <f>'Unformatted Trip Summary'!A967</f>
        <v>14 OTAGO</v>
      </c>
      <c r="B969" t="str">
        <f>'Unformatted Trip Summary'!J967</f>
        <v>2042/43</v>
      </c>
      <c r="C969" t="str">
        <f>'Unformatted Trip Summary'!I967</f>
        <v>Taxi/Vehicle Share</v>
      </c>
      <c r="D969">
        <f>'Unformatted Trip Summary'!D967</f>
        <v>21</v>
      </c>
      <c r="E969">
        <f>'Unformatted Trip Summary'!E967</f>
        <v>36</v>
      </c>
      <c r="F969" s="1">
        <f>'Unformatted Trip Summary'!F967</f>
        <v>0.84131340129999999</v>
      </c>
      <c r="G969" s="1">
        <f>'Unformatted Trip Summary'!G967</f>
        <v>8.1655936729</v>
      </c>
      <c r="H969" s="1">
        <f>'Unformatted Trip Summary'!H967</f>
        <v>0.27046917120000002</v>
      </c>
    </row>
    <row r="970" spans="1:8" x14ac:dyDescent="0.2">
      <c r="A970" t="str">
        <f>'Unformatted Trip Summary'!A968</f>
        <v>14 OTAGO</v>
      </c>
      <c r="B970" t="str">
        <f>'Unformatted Trip Summary'!J968</f>
        <v>2012/13</v>
      </c>
      <c r="C970" t="str">
        <f>'Unformatted Trip Summary'!I968</f>
        <v>Motorcyclist</v>
      </c>
      <c r="D970">
        <f>'Unformatted Trip Summary'!D968</f>
        <v>12</v>
      </c>
      <c r="E970">
        <f>'Unformatted Trip Summary'!E968</f>
        <v>57</v>
      </c>
      <c r="F970" s="1">
        <f>'Unformatted Trip Summary'!F968</f>
        <v>2.0937246197000001</v>
      </c>
      <c r="G970" s="1">
        <f>'Unformatted Trip Summary'!G968</f>
        <v>18.503357486999999</v>
      </c>
      <c r="H970" s="1">
        <f>'Unformatted Trip Summary'!H968</f>
        <v>0.42545310469999997</v>
      </c>
    </row>
    <row r="971" spans="1:8" x14ac:dyDescent="0.2">
      <c r="A971" t="str">
        <f>'Unformatted Trip Summary'!A969</f>
        <v>14 OTAGO</v>
      </c>
      <c r="B971" t="str">
        <f>'Unformatted Trip Summary'!J969</f>
        <v>2017/18</v>
      </c>
      <c r="C971" t="str">
        <f>'Unformatted Trip Summary'!I969</f>
        <v>Motorcyclist</v>
      </c>
      <c r="D971">
        <f>'Unformatted Trip Summary'!D969</f>
        <v>12</v>
      </c>
      <c r="E971">
        <f>'Unformatted Trip Summary'!E969</f>
        <v>57</v>
      </c>
      <c r="F971" s="1">
        <f>'Unformatted Trip Summary'!F969</f>
        <v>2.1595813456999999</v>
      </c>
      <c r="G971" s="1">
        <f>'Unformatted Trip Summary'!G969</f>
        <v>20.229088187999999</v>
      </c>
      <c r="H971" s="1">
        <f>'Unformatted Trip Summary'!H969</f>
        <v>0.45298336030000003</v>
      </c>
    </row>
    <row r="972" spans="1:8" x14ac:dyDescent="0.2">
      <c r="A972" t="str">
        <f>'Unformatted Trip Summary'!A970</f>
        <v>14 OTAGO</v>
      </c>
      <c r="B972" t="str">
        <f>'Unformatted Trip Summary'!J970</f>
        <v>2022/23</v>
      </c>
      <c r="C972" t="str">
        <f>'Unformatted Trip Summary'!I970</f>
        <v>Motorcyclist</v>
      </c>
      <c r="D972">
        <f>'Unformatted Trip Summary'!D970</f>
        <v>12</v>
      </c>
      <c r="E972">
        <f>'Unformatted Trip Summary'!E970</f>
        <v>57</v>
      </c>
      <c r="F972" s="1">
        <f>'Unformatted Trip Summary'!F970</f>
        <v>2.1329598157</v>
      </c>
      <c r="G972" s="1">
        <f>'Unformatted Trip Summary'!G970</f>
        <v>21.239075960000001</v>
      </c>
      <c r="H972" s="1">
        <f>'Unformatted Trip Summary'!H970</f>
        <v>0.46405251980000001</v>
      </c>
    </row>
    <row r="973" spans="1:8" x14ac:dyDescent="0.2">
      <c r="A973" t="str">
        <f>'Unformatted Trip Summary'!A971</f>
        <v>14 OTAGO</v>
      </c>
      <c r="B973" t="str">
        <f>'Unformatted Trip Summary'!J971</f>
        <v>2027/28</v>
      </c>
      <c r="C973" t="str">
        <f>'Unformatted Trip Summary'!I971</f>
        <v>Motorcyclist</v>
      </c>
      <c r="D973">
        <f>'Unformatted Trip Summary'!D971</f>
        <v>12</v>
      </c>
      <c r="E973">
        <f>'Unformatted Trip Summary'!E971</f>
        <v>57</v>
      </c>
      <c r="F973" s="1">
        <f>'Unformatted Trip Summary'!F971</f>
        <v>2.0864375024999999</v>
      </c>
      <c r="G973" s="1">
        <f>'Unformatted Trip Summary'!G971</f>
        <v>22.336036694000001</v>
      </c>
      <c r="H973" s="1">
        <f>'Unformatted Trip Summary'!H971</f>
        <v>0.4755615836</v>
      </c>
    </row>
    <row r="974" spans="1:8" x14ac:dyDescent="0.2">
      <c r="A974" t="str">
        <f>'Unformatted Trip Summary'!A972</f>
        <v>14 OTAGO</v>
      </c>
      <c r="B974" t="str">
        <f>'Unformatted Trip Summary'!J972</f>
        <v>2032/33</v>
      </c>
      <c r="C974" t="str">
        <f>'Unformatted Trip Summary'!I972</f>
        <v>Motorcyclist</v>
      </c>
      <c r="D974">
        <f>'Unformatted Trip Summary'!D972</f>
        <v>12</v>
      </c>
      <c r="E974">
        <f>'Unformatted Trip Summary'!E972</f>
        <v>57</v>
      </c>
      <c r="F974" s="1">
        <f>'Unformatted Trip Summary'!F972</f>
        <v>1.9785240113</v>
      </c>
      <c r="G974" s="1">
        <f>'Unformatted Trip Summary'!G972</f>
        <v>22.796132050000001</v>
      </c>
      <c r="H974" s="1">
        <f>'Unformatted Trip Summary'!H972</f>
        <v>0.4758286196</v>
      </c>
    </row>
    <row r="975" spans="1:8" x14ac:dyDescent="0.2">
      <c r="A975" t="str">
        <f>'Unformatted Trip Summary'!A973</f>
        <v>14 OTAGO</v>
      </c>
      <c r="B975" t="str">
        <f>'Unformatted Trip Summary'!J973</f>
        <v>2037/38</v>
      </c>
      <c r="C975" t="str">
        <f>'Unformatted Trip Summary'!I973</f>
        <v>Motorcyclist</v>
      </c>
      <c r="D975">
        <f>'Unformatted Trip Summary'!D973</f>
        <v>12</v>
      </c>
      <c r="E975">
        <f>'Unformatted Trip Summary'!E973</f>
        <v>57</v>
      </c>
      <c r="F975" s="1">
        <f>'Unformatted Trip Summary'!F973</f>
        <v>1.8339902144</v>
      </c>
      <c r="G975" s="1">
        <f>'Unformatted Trip Summary'!G973</f>
        <v>22.479969472000001</v>
      </c>
      <c r="H975" s="1">
        <f>'Unformatted Trip Summary'!H973</f>
        <v>0.46332487360000002</v>
      </c>
    </row>
    <row r="976" spans="1:8" x14ac:dyDescent="0.2">
      <c r="A976" t="str">
        <f>'Unformatted Trip Summary'!A974</f>
        <v>14 OTAGO</v>
      </c>
      <c r="B976" t="str">
        <f>'Unformatted Trip Summary'!J974</f>
        <v>2042/43</v>
      </c>
      <c r="C976" t="str">
        <f>'Unformatted Trip Summary'!I974</f>
        <v>Motorcyclist</v>
      </c>
      <c r="D976">
        <f>'Unformatted Trip Summary'!D974</f>
        <v>12</v>
      </c>
      <c r="E976">
        <f>'Unformatted Trip Summary'!E974</f>
        <v>57</v>
      </c>
      <c r="F976" s="1">
        <f>'Unformatted Trip Summary'!F974</f>
        <v>1.6859748844</v>
      </c>
      <c r="G976" s="1">
        <f>'Unformatted Trip Summary'!G974</f>
        <v>22.022195029999999</v>
      </c>
      <c r="H976" s="1">
        <f>'Unformatted Trip Summary'!H974</f>
        <v>0.44815206600000002</v>
      </c>
    </row>
    <row r="977" spans="1:8" x14ac:dyDescent="0.2">
      <c r="A977" t="str">
        <f>'Unformatted Trip Summary'!A975</f>
        <v>14 OTAGO</v>
      </c>
      <c r="B977" t="str">
        <f>'Unformatted Trip Summary'!J975</f>
        <v>2012/13</v>
      </c>
      <c r="C977" t="str">
        <f>'Unformatted Trip Summary'!I975</f>
        <v>Local Bus</v>
      </c>
      <c r="D977">
        <f>'Unformatted Trip Summary'!D975</f>
        <v>70</v>
      </c>
      <c r="E977">
        <f>'Unformatted Trip Summary'!E975</f>
        <v>148</v>
      </c>
      <c r="F977" s="1">
        <f>'Unformatted Trip Summary'!F975</f>
        <v>4.2627057848999996</v>
      </c>
      <c r="G977" s="1">
        <f>'Unformatted Trip Summary'!G975</f>
        <v>27.157477096000001</v>
      </c>
      <c r="H977" s="1">
        <f>'Unformatted Trip Summary'!H975</f>
        <v>1.347401772</v>
      </c>
    </row>
    <row r="978" spans="1:8" x14ac:dyDescent="0.2">
      <c r="A978" t="str">
        <f>'Unformatted Trip Summary'!A976</f>
        <v>14 OTAGO</v>
      </c>
      <c r="B978" t="str">
        <f>'Unformatted Trip Summary'!J976</f>
        <v>2017/18</v>
      </c>
      <c r="C978" t="str">
        <f>'Unformatted Trip Summary'!I976</f>
        <v>Local Bus</v>
      </c>
      <c r="D978">
        <f>'Unformatted Trip Summary'!D976</f>
        <v>70</v>
      </c>
      <c r="E978">
        <f>'Unformatted Trip Summary'!E976</f>
        <v>148</v>
      </c>
      <c r="F978" s="1">
        <f>'Unformatted Trip Summary'!F976</f>
        <v>4.0908786401999997</v>
      </c>
      <c r="G978" s="1">
        <f>'Unformatted Trip Summary'!G976</f>
        <v>26.89196798</v>
      </c>
      <c r="H978" s="1">
        <f>'Unformatted Trip Summary'!H976</f>
        <v>1.3025870008</v>
      </c>
    </row>
    <row r="979" spans="1:8" x14ac:dyDescent="0.2">
      <c r="A979" t="str">
        <f>'Unformatted Trip Summary'!A977</f>
        <v>14 OTAGO</v>
      </c>
      <c r="B979" t="str">
        <f>'Unformatted Trip Summary'!J977</f>
        <v>2022/23</v>
      </c>
      <c r="C979" t="str">
        <f>'Unformatted Trip Summary'!I977</f>
        <v>Local Bus</v>
      </c>
      <c r="D979">
        <f>'Unformatted Trip Summary'!D977</f>
        <v>70</v>
      </c>
      <c r="E979">
        <f>'Unformatted Trip Summary'!E977</f>
        <v>148</v>
      </c>
      <c r="F979" s="1">
        <f>'Unformatted Trip Summary'!F977</f>
        <v>3.9445429821000002</v>
      </c>
      <c r="G979" s="1">
        <f>'Unformatted Trip Summary'!G977</f>
        <v>26.746666088000001</v>
      </c>
      <c r="H979" s="1">
        <f>'Unformatted Trip Summary'!H977</f>
        <v>1.268856065</v>
      </c>
    </row>
    <row r="980" spans="1:8" x14ac:dyDescent="0.2">
      <c r="A980" t="str">
        <f>'Unformatted Trip Summary'!A978</f>
        <v>14 OTAGO</v>
      </c>
      <c r="B980" t="str">
        <f>'Unformatted Trip Summary'!J978</f>
        <v>2027/28</v>
      </c>
      <c r="C980" t="str">
        <f>'Unformatted Trip Summary'!I978</f>
        <v>Local Bus</v>
      </c>
      <c r="D980">
        <f>'Unformatted Trip Summary'!D978</f>
        <v>70</v>
      </c>
      <c r="E980">
        <f>'Unformatted Trip Summary'!E978</f>
        <v>148</v>
      </c>
      <c r="F980" s="1">
        <f>'Unformatted Trip Summary'!F978</f>
        <v>3.8454742006</v>
      </c>
      <c r="G980" s="1">
        <f>'Unformatted Trip Summary'!G978</f>
        <v>26.776148590999998</v>
      </c>
      <c r="H980" s="1">
        <f>'Unformatted Trip Summary'!H978</f>
        <v>1.2456658062999999</v>
      </c>
    </row>
    <row r="981" spans="1:8" x14ac:dyDescent="0.2">
      <c r="A981" t="str">
        <f>'Unformatted Trip Summary'!A979</f>
        <v>14 OTAGO</v>
      </c>
      <c r="B981" t="str">
        <f>'Unformatted Trip Summary'!J979</f>
        <v>2032/33</v>
      </c>
      <c r="C981" t="str">
        <f>'Unformatted Trip Summary'!I979</f>
        <v>Local Bus</v>
      </c>
      <c r="D981">
        <f>'Unformatted Trip Summary'!D979</f>
        <v>70</v>
      </c>
      <c r="E981">
        <f>'Unformatted Trip Summary'!E979</f>
        <v>148</v>
      </c>
      <c r="F981" s="1">
        <f>'Unformatted Trip Summary'!F979</f>
        <v>3.7695295379</v>
      </c>
      <c r="G981" s="1">
        <f>'Unformatted Trip Summary'!G979</f>
        <v>26.642286701</v>
      </c>
      <c r="H981" s="1">
        <f>'Unformatted Trip Summary'!H979</f>
        <v>1.2238981595</v>
      </c>
    </row>
    <row r="982" spans="1:8" x14ac:dyDescent="0.2">
      <c r="A982" t="str">
        <f>'Unformatted Trip Summary'!A980</f>
        <v>14 OTAGO</v>
      </c>
      <c r="B982" t="str">
        <f>'Unformatted Trip Summary'!J980</f>
        <v>2037/38</v>
      </c>
      <c r="C982" t="str">
        <f>'Unformatted Trip Summary'!I980</f>
        <v>Local Bus</v>
      </c>
      <c r="D982">
        <f>'Unformatted Trip Summary'!D980</f>
        <v>70</v>
      </c>
      <c r="E982">
        <f>'Unformatted Trip Summary'!E980</f>
        <v>148</v>
      </c>
      <c r="F982" s="1">
        <f>'Unformatted Trip Summary'!F980</f>
        <v>3.6017926560000002</v>
      </c>
      <c r="G982" s="1">
        <f>'Unformatted Trip Summary'!G980</f>
        <v>25.719305601999999</v>
      </c>
      <c r="H982" s="1">
        <f>'Unformatted Trip Summary'!H980</f>
        <v>1.1762128768</v>
      </c>
    </row>
    <row r="983" spans="1:8" x14ac:dyDescent="0.2">
      <c r="A983" t="str">
        <f>'Unformatted Trip Summary'!A981</f>
        <v>14 OTAGO</v>
      </c>
      <c r="B983" t="str">
        <f>'Unformatted Trip Summary'!J981</f>
        <v>2042/43</v>
      </c>
      <c r="C983" t="str">
        <f>'Unformatted Trip Summary'!I981</f>
        <v>Local Bus</v>
      </c>
      <c r="D983">
        <f>'Unformatted Trip Summary'!D981</f>
        <v>70</v>
      </c>
      <c r="E983">
        <f>'Unformatted Trip Summary'!E981</f>
        <v>148</v>
      </c>
      <c r="F983" s="1">
        <f>'Unformatted Trip Summary'!F981</f>
        <v>3.4215779472999999</v>
      </c>
      <c r="G983" s="1">
        <f>'Unformatted Trip Summary'!G981</f>
        <v>24.686077663999999</v>
      </c>
      <c r="H983" s="1">
        <f>'Unformatted Trip Summary'!H981</f>
        <v>1.1244768152</v>
      </c>
    </row>
    <row r="984" spans="1:8" x14ac:dyDescent="0.2">
      <c r="A984" t="str">
        <f>'Unformatted Trip Summary'!A982</f>
        <v>14 OTAGO</v>
      </c>
      <c r="B984" t="str">
        <f>'Unformatted Trip Summary'!J982</f>
        <v>2012/13</v>
      </c>
      <c r="C984" t="str">
        <f>'Unformatted Trip Summary'!I982</f>
        <v>Other Household Travel</v>
      </c>
      <c r="D984">
        <f>'Unformatted Trip Summary'!D982</f>
        <v>11</v>
      </c>
      <c r="E984">
        <f>'Unformatted Trip Summary'!E982</f>
        <v>38</v>
      </c>
      <c r="F984" s="1">
        <f>'Unformatted Trip Summary'!F982</f>
        <v>0.77539158779999995</v>
      </c>
      <c r="G984" s="1">
        <f>'Unformatted Trip Summary'!G982</f>
        <v>0</v>
      </c>
      <c r="H984" s="1">
        <f>'Unformatted Trip Summary'!H982</f>
        <v>0.25154479130000001</v>
      </c>
    </row>
    <row r="985" spans="1:8" x14ac:dyDescent="0.2">
      <c r="A985" t="str">
        <f>'Unformatted Trip Summary'!A983</f>
        <v>14 OTAGO</v>
      </c>
      <c r="B985" t="str">
        <f>'Unformatted Trip Summary'!J983</f>
        <v>2017/18</v>
      </c>
      <c r="C985" t="str">
        <f>'Unformatted Trip Summary'!I983</f>
        <v>Other Household Travel</v>
      </c>
      <c r="D985">
        <f>'Unformatted Trip Summary'!D983</f>
        <v>11</v>
      </c>
      <c r="E985">
        <f>'Unformatted Trip Summary'!E983</f>
        <v>38</v>
      </c>
      <c r="F985" s="1">
        <f>'Unformatted Trip Summary'!F983</f>
        <v>0.80922005829999999</v>
      </c>
      <c r="G985" s="1">
        <f>'Unformatted Trip Summary'!G983</f>
        <v>0</v>
      </c>
      <c r="H985" s="1">
        <f>'Unformatted Trip Summary'!H983</f>
        <v>0.27249561500000002</v>
      </c>
    </row>
    <row r="986" spans="1:8" x14ac:dyDescent="0.2">
      <c r="A986" t="str">
        <f>'Unformatted Trip Summary'!A984</f>
        <v>14 OTAGO</v>
      </c>
      <c r="B986" t="str">
        <f>'Unformatted Trip Summary'!J984</f>
        <v>2022/23</v>
      </c>
      <c r="C986" t="str">
        <f>'Unformatted Trip Summary'!I984</f>
        <v>Other Household Travel</v>
      </c>
      <c r="D986">
        <f>'Unformatted Trip Summary'!D984</f>
        <v>11</v>
      </c>
      <c r="E986">
        <f>'Unformatted Trip Summary'!E984</f>
        <v>38</v>
      </c>
      <c r="F986" s="1">
        <f>'Unformatted Trip Summary'!F984</f>
        <v>0.84320674070000001</v>
      </c>
      <c r="G986" s="1">
        <f>'Unformatted Trip Summary'!G984</f>
        <v>0</v>
      </c>
      <c r="H986" s="1">
        <f>'Unformatted Trip Summary'!H984</f>
        <v>0.29012877199999998</v>
      </c>
    </row>
    <row r="987" spans="1:8" x14ac:dyDescent="0.2">
      <c r="A987" t="str">
        <f>'Unformatted Trip Summary'!A985</f>
        <v>14 OTAGO</v>
      </c>
      <c r="B987" t="str">
        <f>'Unformatted Trip Summary'!J985</f>
        <v>2027/28</v>
      </c>
      <c r="C987" t="str">
        <f>'Unformatted Trip Summary'!I985</f>
        <v>Other Household Travel</v>
      </c>
      <c r="D987">
        <f>'Unformatted Trip Summary'!D985</f>
        <v>11</v>
      </c>
      <c r="E987">
        <f>'Unformatted Trip Summary'!E985</f>
        <v>38</v>
      </c>
      <c r="F987" s="1">
        <f>'Unformatted Trip Summary'!F985</f>
        <v>0.8688361724</v>
      </c>
      <c r="G987" s="1">
        <f>'Unformatted Trip Summary'!G985</f>
        <v>0</v>
      </c>
      <c r="H987" s="1">
        <f>'Unformatted Trip Summary'!H985</f>
        <v>0.30289364460000001</v>
      </c>
    </row>
    <row r="988" spans="1:8" x14ac:dyDescent="0.2">
      <c r="A988" t="str">
        <f>'Unformatted Trip Summary'!A986</f>
        <v>14 OTAGO</v>
      </c>
      <c r="B988" t="str">
        <f>'Unformatted Trip Summary'!J986</f>
        <v>2032/33</v>
      </c>
      <c r="C988" t="str">
        <f>'Unformatted Trip Summary'!I986</f>
        <v>Other Household Travel</v>
      </c>
      <c r="D988">
        <f>'Unformatted Trip Summary'!D986</f>
        <v>11</v>
      </c>
      <c r="E988">
        <f>'Unformatted Trip Summary'!E986</f>
        <v>38</v>
      </c>
      <c r="F988" s="1">
        <f>'Unformatted Trip Summary'!F986</f>
        <v>0.86867540580000002</v>
      </c>
      <c r="G988" s="1">
        <f>'Unformatted Trip Summary'!G986</f>
        <v>0</v>
      </c>
      <c r="H988" s="1">
        <f>'Unformatted Trip Summary'!H986</f>
        <v>0.3089069854</v>
      </c>
    </row>
    <row r="989" spans="1:8" x14ac:dyDescent="0.2">
      <c r="A989" t="str">
        <f>'Unformatted Trip Summary'!A987</f>
        <v>14 OTAGO</v>
      </c>
      <c r="B989" t="str">
        <f>'Unformatted Trip Summary'!J987</f>
        <v>2037/38</v>
      </c>
      <c r="C989" t="str">
        <f>'Unformatted Trip Summary'!I987</f>
        <v>Other Household Travel</v>
      </c>
      <c r="D989">
        <f>'Unformatted Trip Summary'!D987</f>
        <v>11</v>
      </c>
      <c r="E989">
        <f>'Unformatted Trip Summary'!E987</f>
        <v>38</v>
      </c>
      <c r="F989" s="1">
        <f>'Unformatted Trip Summary'!F987</f>
        <v>0.85675198649999995</v>
      </c>
      <c r="G989" s="1">
        <f>'Unformatted Trip Summary'!G987</f>
        <v>0</v>
      </c>
      <c r="H989" s="1">
        <f>'Unformatted Trip Summary'!H987</f>
        <v>0.31460680070000002</v>
      </c>
    </row>
    <row r="990" spans="1:8" x14ac:dyDescent="0.2">
      <c r="A990" t="str">
        <f>'Unformatted Trip Summary'!A988</f>
        <v>14 OTAGO</v>
      </c>
      <c r="B990" t="str">
        <f>'Unformatted Trip Summary'!J988</f>
        <v>2042/43</v>
      </c>
      <c r="C990" t="str">
        <f>'Unformatted Trip Summary'!I988</f>
        <v>Other Household Travel</v>
      </c>
      <c r="D990">
        <f>'Unformatted Trip Summary'!D988</f>
        <v>11</v>
      </c>
      <c r="E990">
        <f>'Unformatted Trip Summary'!E988</f>
        <v>38</v>
      </c>
      <c r="F990" s="1">
        <f>'Unformatted Trip Summary'!F988</f>
        <v>0.8440252452</v>
      </c>
      <c r="G990" s="1">
        <f>'Unformatted Trip Summary'!G988</f>
        <v>0</v>
      </c>
      <c r="H990" s="1">
        <f>'Unformatted Trip Summary'!H988</f>
        <v>0.32067638529999998</v>
      </c>
    </row>
    <row r="991" spans="1:8" x14ac:dyDescent="0.2">
      <c r="A991" t="str">
        <f>'Unformatted Trip Summary'!A989</f>
        <v>14 OTAGO</v>
      </c>
      <c r="B991" t="str">
        <f>'Unformatted Trip Summary'!J989</f>
        <v>2012/13</v>
      </c>
      <c r="C991" t="str">
        <f>'Unformatted Trip Summary'!I989</f>
        <v>Air/Non-Local PT</v>
      </c>
      <c r="D991">
        <f>'Unformatted Trip Summary'!D989</f>
        <v>12</v>
      </c>
      <c r="E991">
        <f>'Unformatted Trip Summary'!E989</f>
        <v>16</v>
      </c>
      <c r="F991" s="1">
        <f>'Unformatted Trip Summary'!F989</f>
        <v>0.45393948140000001</v>
      </c>
      <c r="G991" s="1">
        <f>'Unformatted Trip Summary'!G989</f>
        <v>32.668222239000002</v>
      </c>
      <c r="H991" s="1">
        <f>'Unformatted Trip Summary'!H989</f>
        <v>1.0816055304000001</v>
      </c>
    </row>
    <row r="992" spans="1:8" x14ac:dyDescent="0.2">
      <c r="A992" t="str">
        <f>'Unformatted Trip Summary'!A990</f>
        <v>14 OTAGO</v>
      </c>
      <c r="B992" t="str">
        <f>'Unformatted Trip Summary'!J990</f>
        <v>2017/18</v>
      </c>
      <c r="C992" t="str">
        <f>'Unformatted Trip Summary'!I990</f>
        <v>Air/Non-Local PT</v>
      </c>
      <c r="D992">
        <f>'Unformatted Trip Summary'!D990</f>
        <v>12</v>
      </c>
      <c r="E992">
        <f>'Unformatted Trip Summary'!E990</f>
        <v>16</v>
      </c>
      <c r="F992" s="1">
        <f>'Unformatted Trip Summary'!F990</f>
        <v>0.51481890789999996</v>
      </c>
      <c r="G992" s="1">
        <f>'Unformatted Trip Summary'!G990</f>
        <v>37.135333521</v>
      </c>
      <c r="H992" s="1">
        <f>'Unformatted Trip Summary'!H990</f>
        <v>1.2116536280000001</v>
      </c>
    </row>
    <row r="993" spans="1:8" x14ac:dyDescent="0.2">
      <c r="A993" t="str">
        <f>'Unformatted Trip Summary'!A991</f>
        <v>14 OTAGO</v>
      </c>
      <c r="B993" t="str">
        <f>'Unformatted Trip Summary'!J991</f>
        <v>2022/23</v>
      </c>
      <c r="C993" t="str">
        <f>'Unformatted Trip Summary'!I991</f>
        <v>Air/Non-Local PT</v>
      </c>
      <c r="D993">
        <f>'Unformatted Trip Summary'!D991</f>
        <v>12</v>
      </c>
      <c r="E993">
        <f>'Unformatted Trip Summary'!E991</f>
        <v>16</v>
      </c>
      <c r="F993" s="1">
        <f>'Unformatted Trip Summary'!F991</f>
        <v>0.56737892000000001</v>
      </c>
      <c r="G993" s="1">
        <f>'Unformatted Trip Summary'!G991</f>
        <v>40.155415099999999</v>
      </c>
      <c r="H993" s="1">
        <f>'Unformatted Trip Summary'!H991</f>
        <v>1.3120354104</v>
      </c>
    </row>
    <row r="994" spans="1:8" x14ac:dyDescent="0.2">
      <c r="A994" t="str">
        <f>'Unformatted Trip Summary'!A992</f>
        <v>14 OTAGO</v>
      </c>
      <c r="B994" t="str">
        <f>'Unformatted Trip Summary'!J992</f>
        <v>2027/28</v>
      </c>
      <c r="C994" t="str">
        <f>'Unformatted Trip Summary'!I992</f>
        <v>Air/Non-Local PT</v>
      </c>
      <c r="D994">
        <f>'Unformatted Trip Summary'!D992</f>
        <v>12</v>
      </c>
      <c r="E994">
        <f>'Unformatted Trip Summary'!E992</f>
        <v>16</v>
      </c>
      <c r="F994" s="1">
        <f>'Unformatted Trip Summary'!F992</f>
        <v>0.61294909050000002</v>
      </c>
      <c r="G994" s="1">
        <f>'Unformatted Trip Summary'!G992</f>
        <v>42.179661807999999</v>
      </c>
      <c r="H994" s="1">
        <f>'Unformatted Trip Summary'!H992</f>
        <v>1.3977257214000001</v>
      </c>
    </row>
    <row r="995" spans="1:8" x14ac:dyDescent="0.2">
      <c r="A995" t="str">
        <f>'Unformatted Trip Summary'!A993</f>
        <v>14 OTAGO</v>
      </c>
      <c r="B995" t="str">
        <f>'Unformatted Trip Summary'!J993</f>
        <v>2032/33</v>
      </c>
      <c r="C995" t="str">
        <f>'Unformatted Trip Summary'!I993</f>
        <v>Air/Non-Local PT</v>
      </c>
      <c r="D995">
        <f>'Unformatted Trip Summary'!D993</f>
        <v>12</v>
      </c>
      <c r="E995">
        <f>'Unformatted Trip Summary'!E993</f>
        <v>16</v>
      </c>
      <c r="F995" s="1">
        <f>'Unformatted Trip Summary'!F993</f>
        <v>0.6546969493</v>
      </c>
      <c r="G995" s="1">
        <f>'Unformatted Trip Summary'!G993</f>
        <v>44.053987640999999</v>
      </c>
      <c r="H995" s="1">
        <f>'Unformatted Trip Summary'!H993</f>
        <v>1.4866228816</v>
      </c>
    </row>
    <row r="996" spans="1:8" x14ac:dyDescent="0.2">
      <c r="A996" t="str">
        <f>'Unformatted Trip Summary'!A994</f>
        <v>14 OTAGO</v>
      </c>
      <c r="B996" t="str">
        <f>'Unformatted Trip Summary'!J994</f>
        <v>2037/38</v>
      </c>
      <c r="C996" t="str">
        <f>'Unformatted Trip Summary'!I994</f>
        <v>Air/Non-Local PT</v>
      </c>
      <c r="D996">
        <f>'Unformatted Trip Summary'!D994</f>
        <v>12</v>
      </c>
      <c r="E996">
        <f>'Unformatted Trip Summary'!E994</f>
        <v>16</v>
      </c>
      <c r="F996" s="1">
        <f>'Unformatted Trip Summary'!F994</f>
        <v>0.68676869409999997</v>
      </c>
      <c r="G996" s="1">
        <f>'Unformatted Trip Summary'!G994</f>
        <v>44.855706630999997</v>
      </c>
      <c r="H996" s="1">
        <f>'Unformatted Trip Summary'!H994</f>
        <v>1.5370444526</v>
      </c>
    </row>
    <row r="997" spans="1:8" x14ac:dyDescent="0.2">
      <c r="A997" t="str">
        <f>'Unformatted Trip Summary'!A995</f>
        <v>14 OTAGO</v>
      </c>
      <c r="B997" t="str">
        <f>'Unformatted Trip Summary'!J995</f>
        <v>2042/43</v>
      </c>
      <c r="C997" t="str">
        <f>'Unformatted Trip Summary'!I995</f>
        <v>Air/Non-Local PT</v>
      </c>
      <c r="D997">
        <f>'Unformatted Trip Summary'!D995</f>
        <v>12</v>
      </c>
      <c r="E997">
        <f>'Unformatted Trip Summary'!E995</f>
        <v>16</v>
      </c>
      <c r="F997" s="1">
        <f>'Unformatted Trip Summary'!F995</f>
        <v>0.71662801200000004</v>
      </c>
      <c r="G997" s="1">
        <f>'Unformatted Trip Summary'!G995</f>
        <v>45.291767348999997</v>
      </c>
      <c r="H997" s="1">
        <f>'Unformatted Trip Summary'!H995</f>
        <v>1.5802622340000001</v>
      </c>
    </row>
    <row r="998" spans="1:8" x14ac:dyDescent="0.2">
      <c r="A998" t="str">
        <f>'Unformatted Trip Summary'!A996</f>
        <v>14 OTAGO</v>
      </c>
      <c r="B998" t="str">
        <f>'Unformatted Trip Summary'!J996</f>
        <v>2012/13</v>
      </c>
      <c r="C998" t="str">
        <f>'Unformatted Trip Summary'!I996</f>
        <v>Non-Household Travel</v>
      </c>
      <c r="D998">
        <f>'Unformatted Trip Summary'!D996</f>
        <v>8</v>
      </c>
      <c r="E998">
        <f>'Unformatted Trip Summary'!E996</f>
        <v>23</v>
      </c>
      <c r="F998" s="1">
        <f>'Unformatted Trip Summary'!F996</f>
        <v>0.69501361849999999</v>
      </c>
      <c r="G998" s="1">
        <f>'Unformatted Trip Summary'!G996</f>
        <v>6.1172965614999999</v>
      </c>
      <c r="H998" s="1">
        <f>'Unformatted Trip Summary'!H996</f>
        <v>0.18529166999999999</v>
      </c>
    </row>
    <row r="999" spans="1:8" x14ac:dyDescent="0.2">
      <c r="A999" t="str">
        <f>'Unformatted Trip Summary'!A997</f>
        <v>14 OTAGO</v>
      </c>
      <c r="B999" t="str">
        <f>'Unformatted Trip Summary'!J997</f>
        <v>2017/18</v>
      </c>
      <c r="C999" t="str">
        <f>'Unformatted Trip Summary'!I997</f>
        <v>Non-Household Travel</v>
      </c>
      <c r="D999">
        <f>'Unformatted Trip Summary'!D997</f>
        <v>8</v>
      </c>
      <c r="E999">
        <f>'Unformatted Trip Summary'!E997</f>
        <v>23</v>
      </c>
      <c r="F999" s="1">
        <f>'Unformatted Trip Summary'!F997</f>
        <v>0.78664819730000002</v>
      </c>
      <c r="G999" s="1">
        <f>'Unformatted Trip Summary'!G997</f>
        <v>7.3837697751000002</v>
      </c>
      <c r="H999" s="1">
        <f>'Unformatted Trip Summary'!H997</f>
        <v>0.22132746810000001</v>
      </c>
    </row>
    <row r="1000" spans="1:8" x14ac:dyDescent="0.2">
      <c r="A1000" t="str">
        <f>'Unformatted Trip Summary'!A998</f>
        <v>14 OTAGO</v>
      </c>
      <c r="B1000" t="str">
        <f>'Unformatted Trip Summary'!J998</f>
        <v>2022/23</v>
      </c>
      <c r="C1000" t="str">
        <f>'Unformatted Trip Summary'!I998</f>
        <v>Non-Household Travel</v>
      </c>
      <c r="D1000">
        <f>'Unformatted Trip Summary'!D998</f>
        <v>8</v>
      </c>
      <c r="E1000">
        <f>'Unformatted Trip Summary'!E998</f>
        <v>23</v>
      </c>
      <c r="F1000" s="1">
        <f>'Unformatted Trip Summary'!F998</f>
        <v>0.88920484850000003</v>
      </c>
      <c r="G1000" s="1">
        <f>'Unformatted Trip Summary'!G998</f>
        <v>8.5738621421999994</v>
      </c>
      <c r="H1000" s="1">
        <f>'Unformatted Trip Summary'!H998</f>
        <v>0.25697993679999998</v>
      </c>
    </row>
    <row r="1001" spans="1:8" x14ac:dyDescent="0.2">
      <c r="A1001" t="str">
        <f>'Unformatted Trip Summary'!A999</f>
        <v>14 OTAGO</v>
      </c>
      <c r="B1001" t="str">
        <f>'Unformatted Trip Summary'!J999</f>
        <v>2027/28</v>
      </c>
      <c r="C1001" t="str">
        <f>'Unformatted Trip Summary'!I999</f>
        <v>Non-Household Travel</v>
      </c>
      <c r="D1001">
        <f>'Unformatted Trip Summary'!D999</f>
        <v>8</v>
      </c>
      <c r="E1001">
        <f>'Unformatted Trip Summary'!E999</f>
        <v>23</v>
      </c>
      <c r="F1001" s="1">
        <f>'Unformatted Trip Summary'!F999</f>
        <v>1.0339665969</v>
      </c>
      <c r="G1001" s="1">
        <f>'Unformatted Trip Summary'!G999</f>
        <v>9.7835442191999995</v>
      </c>
      <c r="H1001" s="1">
        <f>'Unformatted Trip Summary'!H999</f>
        <v>0.2989814066</v>
      </c>
    </row>
    <row r="1002" spans="1:8" x14ac:dyDescent="0.2">
      <c r="A1002" t="str">
        <f>'Unformatted Trip Summary'!A1000</f>
        <v>14 OTAGO</v>
      </c>
      <c r="B1002" t="str">
        <f>'Unformatted Trip Summary'!J1000</f>
        <v>2032/33</v>
      </c>
      <c r="C1002" t="str">
        <f>'Unformatted Trip Summary'!I1000</f>
        <v>Non-Household Travel</v>
      </c>
      <c r="D1002">
        <f>'Unformatted Trip Summary'!D1000</f>
        <v>8</v>
      </c>
      <c r="E1002">
        <f>'Unformatted Trip Summary'!E1000</f>
        <v>23</v>
      </c>
      <c r="F1002" s="1">
        <f>'Unformatted Trip Summary'!F1000</f>
        <v>1.1399694176999999</v>
      </c>
      <c r="G1002" s="1">
        <f>'Unformatted Trip Summary'!G1000</f>
        <v>10.45409879</v>
      </c>
      <c r="H1002" s="1">
        <f>'Unformatted Trip Summary'!H1000</f>
        <v>0.32789044449999999</v>
      </c>
    </row>
    <row r="1003" spans="1:8" x14ac:dyDescent="0.2">
      <c r="A1003" t="str">
        <f>'Unformatted Trip Summary'!A1001</f>
        <v>14 OTAGO</v>
      </c>
      <c r="B1003" t="str">
        <f>'Unformatted Trip Summary'!J1001</f>
        <v>2037/38</v>
      </c>
      <c r="C1003" t="str">
        <f>'Unformatted Trip Summary'!I1001</f>
        <v>Non-Household Travel</v>
      </c>
      <c r="D1003">
        <f>'Unformatted Trip Summary'!D1001</f>
        <v>8</v>
      </c>
      <c r="E1003">
        <f>'Unformatted Trip Summary'!E1001</f>
        <v>23</v>
      </c>
      <c r="F1003" s="1">
        <f>'Unformatted Trip Summary'!F1001</f>
        <v>1.1937866888999999</v>
      </c>
      <c r="G1003" s="1">
        <f>'Unformatted Trip Summary'!G1001</f>
        <v>10.773838673</v>
      </c>
      <c r="H1003" s="1">
        <f>'Unformatted Trip Summary'!H1001</f>
        <v>0.34364379439999998</v>
      </c>
    </row>
    <row r="1004" spans="1:8" x14ac:dyDescent="0.2">
      <c r="A1004" t="str">
        <f>'Unformatted Trip Summary'!A1002</f>
        <v>14 OTAGO</v>
      </c>
      <c r="B1004" t="str">
        <f>'Unformatted Trip Summary'!J1002</f>
        <v>2042/43</v>
      </c>
      <c r="C1004" t="str">
        <f>'Unformatted Trip Summary'!I1002</f>
        <v>Non-Household Travel</v>
      </c>
      <c r="D1004">
        <f>'Unformatted Trip Summary'!D1002</f>
        <v>8</v>
      </c>
      <c r="E1004">
        <f>'Unformatted Trip Summary'!E1002</f>
        <v>23</v>
      </c>
      <c r="F1004" s="1">
        <f>'Unformatted Trip Summary'!F1002</f>
        <v>1.2576649803</v>
      </c>
      <c r="G1004" s="1">
        <f>'Unformatted Trip Summary'!G1002</f>
        <v>11.101229568999999</v>
      </c>
      <c r="H1004" s="1">
        <f>'Unformatted Trip Summary'!H1002</f>
        <v>0.3612151341</v>
      </c>
    </row>
    <row r="1005" spans="1:8" x14ac:dyDescent="0.2">
      <c r="A1005" t="str">
        <f>'Unformatted Trip Summary'!A1003</f>
        <v>15 SOUTHLAND</v>
      </c>
      <c r="B1005" t="str">
        <f>'Unformatted Trip Summary'!J1003</f>
        <v>2012/13</v>
      </c>
      <c r="C1005" t="str">
        <f>'Unformatted Trip Summary'!I1003</f>
        <v>Pedestrian</v>
      </c>
      <c r="D1005">
        <f>'Unformatted Trip Summary'!D1003</f>
        <v>180</v>
      </c>
      <c r="E1005">
        <f>'Unformatted Trip Summary'!E1003</f>
        <v>617</v>
      </c>
      <c r="F1005" s="1">
        <f>'Unformatted Trip Summary'!F1003</f>
        <v>12.52065131</v>
      </c>
      <c r="G1005" s="1">
        <f>'Unformatted Trip Summary'!G1003</f>
        <v>8.8466785109000003</v>
      </c>
      <c r="H1005" s="1">
        <f>'Unformatted Trip Summary'!H1003</f>
        <v>2.2528617661000001</v>
      </c>
    </row>
    <row r="1006" spans="1:8" x14ac:dyDescent="0.2">
      <c r="A1006" t="str">
        <f>'Unformatted Trip Summary'!A1004</f>
        <v>15 SOUTHLAND</v>
      </c>
      <c r="B1006" t="str">
        <f>'Unformatted Trip Summary'!J1004</f>
        <v>2017/18</v>
      </c>
      <c r="C1006" t="str">
        <f>'Unformatted Trip Summary'!I1004</f>
        <v>Pedestrian</v>
      </c>
      <c r="D1006">
        <f>'Unformatted Trip Summary'!D1004</f>
        <v>180</v>
      </c>
      <c r="E1006">
        <f>'Unformatted Trip Summary'!E1004</f>
        <v>617</v>
      </c>
      <c r="F1006" s="1">
        <f>'Unformatted Trip Summary'!F1004</f>
        <v>12.785017452</v>
      </c>
      <c r="G1006" s="1">
        <f>'Unformatted Trip Summary'!G1004</f>
        <v>9.0768356375000003</v>
      </c>
      <c r="H1006" s="1">
        <f>'Unformatted Trip Summary'!H1004</f>
        <v>2.3099048944999998</v>
      </c>
    </row>
    <row r="1007" spans="1:8" x14ac:dyDescent="0.2">
      <c r="A1007" t="str">
        <f>'Unformatted Trip Summary'!A1005</f>
        <v>15 SOUTHLAND</v>
      </c>
      <c r="B1007" t="str">
        <f>'Unformatted Trip Summary'!J1005</f>
        <v>2022/23</v>
      </c>
      <c r="C1007" t="str">
        <f>'Unformatted Trip Summary'!I1005</f>
        <v>Pedestrian</v>
      </c>
      <c r="D1007">
        <f>'Unformatted Trip Summary'!D1005</f>
        <v>180</v>
      </c>
      <c r="E1007">
        <f>'Unformatted Trip Summary'!E1005</f>
        <v>617</v>
      </c>
      <c r="F1007" s="1">
        <f>'Unformatted Trip Summary'!F1005</f>
        <v>12.904021147</v>
      </c>
      <c r="G1007" s="1">
        <f>'Unformatted Trip Summary'!G1005</f>
        <v>9.1731655010999997</v>
      </c>
      <c r="H1007" s="1">
        <f>'Unformatted Trip Summary'!H1005</f>
        <v>2.3308286669</v>
      </c>
    </row>
    <row r="1008" spans="1:8" x14ac:dyDescent="0.2">
      <c r="A1008" t="str">
        <f>'Unformatted Trip Summary'!A1006</f>
        <v>15 SOUTHLAND</v>
      </c>
      <c r="B1008" t="str">
        <f>'Unformatted Trip Summary'!J1006</f>
        <v>2027/28</v>
      </c>
      <c r="C1008" t="str">
        <f>'Unformatted Trip Summary'!I1006</f>
        <v>Pedestrian</v>
      </c>
      <c r="D1008">
        <f>'Unformatted Trip Summary'!D1006</f>
        <v>180</v>
      </c>
      <c r="E1008">
        <f>'Unformatted Trip Summary'!E1006</f>
        <v>617</v>
      </c>
      <c r="F1008" s="1">
        <f>'Unformatted Trip Summary'!F1006</f>
        <v>13.124469397</v>
      </c>
      <c r="G1008" s="1">
        <f>'Unformatted Trip Summary'!G1006</f>
        <v>9.3761854544999998</v>
      </c>
      <c r="H1008" s="1">
        <f>'Unformatted Trip Summary'!H1006</f>
        <v>2.3652563046999999</v>
      </c>
    </row>
    <row r="1009" spans="1:8" x14ac:dyDescent="0.2">
      <c r="A1009" t="str">
        <f>'Unformatted Trip Summary'!A1007</f>
        <v>15 SOUTHLAND</v>
      </c>
      <c r="B1009" t="str">
        <f>'Unformatted Trip Summary'!J1007</f>
        <v>2032/33</v>
      </c>
      <c r="C1009" t="str">
        <f>'Unformatted Trip Summary'!I1007</f>
        <v>Pedestrian</v>
      </c>
      <c r="D1009">
        <f>'Unformatted Trip Summary'!D1007</f>
        <v>180</v>
      </c>
      <c r="E1009">
        <f>'Unformatted Trip Summary'!E1007</f>
        <v>617</v>
      </c>
      <c r="F1009" s="1">
        <f>'Unformatted Trip Summary'!F1007</f>
        <v>13.147560262000001</v>
      </c>
      <c r="G1009" s="1">
        <f>'Unformatted Trip Summary'!G1007</f>
        <v>9.3743542585000004</v>
      </c>
      <c r="H1009" s="1">
        <f>'Unformatted Trip Summary'!H1007</f>
        <v>2.3688236627000001</v>
      </c>
    </row>
    <row r="1010" spans="1:8" x14ac:dyDescent="0.2">
      <c r="A1010" t="str">
        <f>'Unformatted Trip Summary'!A1008</f>
        <v>15 SOUTHLAND</v>
      </c>
      <c r="B1010" t="str">
        <f>'Unformatted Trip Summary'!J1008</f>
        <v>2037/38</v>
      </c>
      <c r="C1010" t="str">
        <f>'Unformatted Trip Summary'!I1008</f>
        <v>Pedestrian</v>
      </c>
      <c r="D1010">
        <f>'Unformatted Trip Summary'!D1008</f>
        <v>180</v>
      </c>
      <c r="E1010">
        <f>'Unformatted Trip Summary'!E1008</f>
        <v>617</v>
      </c>
      <c r="F1010" s="1">
        <f>'Unformatted Trip Summary'!F1008</f>
        <v>13.02233861</v>
      </c>
      <c r="G1010" s="1">
        <f>'Unformatted Trip Summary'!G1008</f>
        <v>9.3616090568000008</v>
      </c>
      <c r="H1010" s="1">
        <f>'Unformatted Trip Summary'!H1008</f>
        <v>2.3568019641000002</v>
      </c>
    </row>
    <row r="1011" spans="1:8" x14ac:dyDescent="0.2">
      <c r="A1011" t="str">
        <f>'Unformatted Trip Summary'!A1009</f>
        <v>15 SOUTHLAND</v>
      </c>
      <c r="B1011" t="str">
        <f>'Unformatted Trip Summary'!J1009</f>
        <v>2042/43</v>
      </c>
      <c r="C1011" t="str">
        <f>'Unformatted Trip Summary'!I1009</f>
        <v>Pedestrian</v>
      </c>
      <c r="D1011">
        <f>'Unformatted Trip Summary'!D1009</f>
        <v>180</v>
      </c>
      <c r="E1011">
        <f>'Unformatted Trip Summary'!E1009</f>
        <v>617</v>
      </c>
      <c r="F1011" s="1">
        <f>'Unformatted Trip Summary'!F1009</f>
        <v>12.819824722</v>
      </c>
      <c r="G1011" s="1">
        <f>'Unformatted Trip Summary'!G1009</f>
        <v>9.2714577141000003</v>
      </c>
      <c r="H1011" s="1">
        <f>'Unformatted Trip Summary'!H1009</f>
        <v>2.3254653783000001</v>
      </c>
    </row>
    <row r="1012" spans="1:8" x14ac:dyDescent="0.2">
      <c r="A1012" t="str">
        <f>'Unformatted Trip Summary'!A1010</f>
        <v>15 SOUTHLAND</v>
      </c>
      <c r="B1012" t="str">
        <f>'Unformatted Trip Summary'!J1010</f>
        <v>2012/13</v>
      </c>
      <c r="C1012" t="str">
        <f>'Unformatted Trip Summary'!I1010</f>
        <v>Cyclist</v>
      </c>
      <c r="D1012">
        <f>'Unformatted Trip Summary'!D1010</f>
        <v>19</v>
      </c>
      <c r="E1012">
        <f>'Unformatted Trip Summary'!E1010</f>
        <v>72</v>
      </c>
      <c r="F1012" s="1">
        <f>'Unformatted Trip Summary'!F1010</f>
        <v>1.0312878256</v>
      </c>
      <c r="G1012" s="1">
        <f>'Unformatted Trip Summary'!G1010</f>
        <v>7.5402861329000004</v>
      </c>
      <c r="H1012" s="1">
        <f>'Unformatted Trip Summary'!H1010</f>
        <v>0.50294231479999996</v>
      </c>
    </row>
    <row r="1013" spans="1:8" x14ac:dyDescent="0.2">
      <c r="A1013" t="str">
        <f>'Unformatted Trip Summary'!A1011</f>
        <v>15 SOUTHLAND</v>
      </c>
      <c r="B1013" t="str">
        <f>'Unformatted Trip Summary'!J1011</f>
        <v>2017/18</v>
      </c>
      <c r="C1013" t="str">
        <f>'Unformatted Trip Summary'!I1011</f>
        <v>Cyclist</v>
      </c>
      <c r="D1013">
        <f>'Unformatted Trip Summary'!D1011</f>
        <v>19</v>
      </c>
      <c r="E1013">
        <f>'Unformatted Trip Summary'!E1011</f>
        <v>72</v>
      </c>
      <c r="F1013" s="1">
        <f>'Unformatted Trip Summary'!F1011</f>
        <v>1.0778693742000001</v>
      </c>
      <c r="G1013" s="1">
        <f>'Unformatted Trip Summary'!G1011</f>
        <v>8.3561988314000004</v>
      </c>
      <c r="H1013" s="1">
        <f>'Unformatted Trip Summary'!H1011</f>
        <v>0.54808515440000005</v>
      </c>
    </row>
    <row r="1014" spans="1:8" x14ac:dyDescent="0.2">
      <c r="A1014" t="str">
        <f>'Unformatted Trip Summary'!A1012</f>
        <v>15 SOUTHLAND</v>
      </c>
      <c r="B1014" t="str">
        <f>'Unformatted Trip Summary'!J1012</f>
        <v>2022/23</v>
      </c>
      <c r="C1014" t="str">
        <f>'Unformatted Trip Summary'!I1012</f>
        <v>Cyclist</v>
      </c>
      <c r="D1014">
        <f>'Unformatted Trip Summary'!D1012</f>
        <v>19</v>
      </c>
      <c r="E1014">
        <f>'Unformatted Trip Summary'!E1012</f>
        <v>72</v>
      </c>
      <c r="F1014" s="1">
        <f>'Unformatted Trip Summary'!F1012</f>
        <v>1.0779283877000001</v>
      </c>
      <c r="G1014" s="1">
        <f>'Unformatted Trip Summary'!G1012</f>
        <v>8.5714201772000003</v>
      </c>
      <c r="H1014" s="1">
        <f>'Unformatted Trip Summary'!H1012</f>
        <v>0.56052972710000004</v>
      </c>
    </row>
    <row r="1015" spans="1:8" x14ac:dyDescent="0.2">
      <c r="A1015" t="str">
        <f>'Unformatted Trip Summary'!A1013</f>
        <v>15 SOUTHLAND</v>
      </c>
      <c r="B1015" t="str">
        <f>'Unformatted Trip Summary'!J1013</f>
        <v>2027/28</v>
      </c>
      <c r="C1015" t="str">
        <f>'Unformatted Trip Summary'!I1013</f>
        <v>Cyclist</v>
      </c>
      <c r="D1015">
        <f>'Unformatted Trip Summary'!D1013</f>
        <v>19</v>
      </c>
      <c r="E1015">
        <f>'Unformatted Trip Summary'!E1013</f>
        <v>72</v>
      </c>
      <c r="F1015" s="1">
        <f>'Unformatted Trip Summary'!F1013</f>
        <v>1.079707594</v>
      </c>
      <c r="G1015" s="1">
        <f>'Unformatted Trip Summary'!G1013</f>
        <v>8.2099335884000002</v>
      </c>
      <c r="H1015" s="1">
        <f>'Unformatted Trip Summary'!H1013</f>
        <v>0.5441730709</v>
      </c>
    </row>
    <row r="1016" spans="1:8" x14ac:dyDescent="0.2">
      <c r="A1016" t="str">
        <f>'Unformatted Trip Summary'!A1014</f>
        <v>15 SOUTHLAND</v>
      </c>
      <c r="B1016" t="str">
        <f>'Unformatted Trip Summary'!J1014</f>
        <v>2032/33</v>
      </c>
      <c r="C1016" t="str">
        <f>'Unformatted Trip Summary'!I1014</f>
        <v>Cyclist</v>
      </c>
      <c r="D1016">
        <f>'Unformatted Trip Summary'!D1014</f>
        <v>19</v>
      </c>
      <c r="E1016">
        <f>'Unformatted Trip Summary'!E1014</f>
        <v>72</v>
      </c>
      <c r="F1016" s="1">
        <f>'Unformatted Trip Summary'!F1014</f>
        <v>1.0854158451</v>
      </c>
      <c r="G1016" s="1">
        <f>'Unformatted Trip Summary'!G1014</f>
        <v>8.0006895006000001</v>
      </c>
      <c r="H1016" s="1">
        <f>'Unformatted Trip Summary'!H1014</f>
        <v>0.53186193349999999</v>
      </c>
    </row>
    <row r="1017" spans="1:8" x14ac:dyDescent="0.2">
      <c r="A1017" t="str">
        <f>'Unformatted Trip Summary'!A1015</f>
        <v>15 SOUTHLAND</v>
      </c>
      <c r="B1017" t="str">
        <f>'Unformatted Trip Summary'!J1015</f>
        <v>2037/38</v>
      </c>
      <c r="C1017" t="str">
        <f>'Unformatted Trip Summary'!I1015</f>
        <v>Cyclist</v>
      </c>
      <c r="D1017">
        <f>'Unformatted Trip Summary'!D1015</f>
        <v>19</v>
      </c>
      <c r="E1017">
        <f>'Unformatted Trip Summary'!E1015</f>
        <v>72</v>
      </c>
      <c r="F1017" s="1">
        <f>'Unformatted Trip Summary'!F1015</f>
        <v>1.0426914031000001</v>
      </c>
      <c r="G1017" s="1">
        <f>'Unformatted Trip Summary'!G1015</f>
        <v>7.8807868372999996</v>
      </c>
      <c r="H1017" s="1">
        <f>'Unformatted Trip Summary'!H1015</f>
        <v>0.51604387309999999</v>
      </c>
    </row>
    <row r="1018" spans="1:8" x14ac:dyDescent="0.2">
      <c r="A1018" t="str">
        <f>'Unformatted Trip Summary'!A1016</f>
        <v>15 SOUTHLAND</v>
      </c>
      <c r="B1018" t="str">
        <f>'Unformatted Trip Summary'!J1016</f>
        <v>2042/43</v>
      </c>
      <c r="C1018" t="str">
        <f>'Unformatted Trip Summary'!I1016</f>
        <v>Cyclist</v>
      </c>
      <c r="D1018">
        <f>'Unformatted Trip Summary'!D1016</f>
        <v>19</v>
      </c>
      <c r="E1018">
        <f>'Unformatted Trip Summary'!E1016</f>
        <v>72</v>
      </c>
      <c r="F1018" s="1">
        <f>'Unformatted Trip Summary'!F1016</f>
        <v>0.99337122639999997</v>
      </c>
      <c r="G1018" s="1">
        <f>'Unformatted Trip Summary'!G1016</f>
        <v>7.7117394051000003</v>
      </c>
      <c r="H1018" s="1">
        <f>'Unformatted Trip Summary'!H1016</f>
        <v>0.49769841500000001</v>
      </c>
    </row>
    <row r="1019" spans="1:8" x14ac:dyDescent="0.2">
      <c r="A1019" t="str">
        <f>'Unformatted Trip Summary'!A1017</f>
        <v>15 SOUTHLAND</v>
      </c>
      <c r="B1019" t="str">
        <f>'Unformatted Trip Summary'!J1017</f>
        <v>2012/13</v>
      </c>
      <c r="C1019" t="str">
        <f>'Unformatted Trip Summary'!I1017</f>
        <v>Light Vehicle Driver</v>
      </c>
      <c r="D1019">
        <f>'Unformatted Trip Summary'!D1017</f>
        <v>442</v>
      </c>
      <c r="E1019">
        <f>'Unformatted Trip Summary'!E1017</f>
        <v>3080</v>
      </c>
      <c r="F1019" s="1">
        <f>'Unformatted Trip Summary'!F1017</f>
        <v>66.981547285000005</v>
      </c>
      <c r="G1019" s="1">
        <f>'Unformatted Trip Summary'!G1017</f>
        <v>657.74873722999996</v>
      </c>
      <c r="H1019" s="1">
        <f>'Unformatted Trip Summary'!H1017</f>
        <v>14.603785903</v>
      </c>
    </row>
    <row r="1020" spans="1:8" x14ac:dyDescent="0.2">
      <c r="A1020" t="str">
        <f>'Unformatted Trip Summary'!A1018</f>
        <v>15 SOUTHLAND</v>
      </c>
      <c r="B1020" t="str">
        <f>'Unformatted Trip Summary'!J1018</f>
        <v>2017/18</v>
      </c>
      <c r="C1020" t="str">
        <f>'Unformatted Trip Summary'!I1018</f>
        <v>Light Vehicle Driver</v>
      </c>
      <c r="D1020">
        <f>'Unformatted Trip Summary'!D1018</f>
        <v>442</v>
      </c>
      <c r="E1020">
        <f>'Unformatted Trip Summary'!E1018</f>
        <v>3080</v>
      </c>
      <c r="F1020" s="1">
        <f>'Unformatted Trip Summary'!F1018</f>
        <v>70.869768739999998</v>
      </c>
      <c r="G1020" s="1">
        <f>'Unformatted Trip Summary'!G1018</f>
        <v>716.16525173000002</v>
      </c>
      <c r="H1020" s="1">
        <f>'Unformatted Trip Summary'!H1018</f>
        <v>15.764158567999999</v>
      </c>
    </row>
    <row r="1021" spans="1:8" x14ac:dyDescent="0.2">
      <c r="A1021" t="str">
        <f>'Unformatted Trip Summary'!A1019</f>
        <v>15 SOUTHLAND</v>
      </c>
      <c r="B1021" t="str">
        <f>'Unformatted Trip Summary'!J1019</f>
        <v>2022/23</v>
      </c>
      <c r="C1021" t="str">
        <f>'Unformatted Trip Summary'!I1019</f>
        <v>Light Vehicle Driver</v>
      </c>
      <c r="D1021">
        <f>'Unformatted Trip Summary'!D1019</f>
        <v>442</v>
      </c>
      <c r="E1021">
        <f>'Unformatted Trip Summary'!E1019</f>
        <v>3080</v>
      </c>
      <c r="F1021" s="1">
        <f>'Unformatted Trip Summary'!F1019</f>
        <v>72.332040285999994</v>
      </c>
      <c r="G1021" s="1">
        <f>'Unformatted Trip Summary'!G1019</f>
        <v>749.93360002999998</v>
      </c>
      <c r="H1021" s="1">
        <f>'Unformatted Trip Summary'!H1019</f>
        <v>16.367179683</v>
      </c>
    </row>
    <row r="1022" spans="1:8" x14ac:dyDescent="0.2">
      <c r="A1022" t="str">
        <f>'Unformatted Trip Summary'!A1020</f>
        <v>15 SOUTHLAND</v>
      </c>
      <c r="B1022" t="str">
        <f>'Unformatted Trip Summary'!J1020</f>
        <v>2027/28</v>
      </c>
      <c r="C1022" t="str">
        <f>'Unformatted Trip Summary'!I1020</f>
        <v>Light Vehicle Driver</v>
      </c>
      <c r="D1022">
        <f>'Unformatted Trip Summary'!D1020</f>
        <v>442</v>
      </c>
      <c r="E1022">
        <f>'Unformatted Trip Summary'!E1020</f>
        <v>3080</v>
      </c>
      <c r="F1022" s="1">
        <f>'Unformatted Trip Summary'!F1020</f>
        <v>72.539831293000006</v>
      </c>
      <c r="G1022" s="1">
        <f>'Unformatted Trip Summary'!G1020</f>
        <v>768.89111684</v>
      </c>
      <c r="H1022" s="1">
        <f>'Unformatted Trip Summary'!H1020</f>
        <v>16.642924782000001</v>
      </c>
    </row>
    <row r="1023" spans="1:8" x14ac:dyDescent="0.2">
      <c r="A1023" t="str">
        <f>'Unformatted Trip Summary'!A1021</f>
        <v>15 SOUTHLAND</v>
      </c>
      <c r="B1023" t="str">
        <f>'Unformatted Trip Summary'!J1021</f>
        <v>2032/33</v>
      </c>
      <c r="C1023" t="str">
        <f>'Unformatted Trip Summary'!I1021</f>
        <v>Light Vehicle Driver</v>
      </c>
      <c r="D1023">
        <f>'Unformatted Trip Summary'!D1021</f>
        <v>442</v>
      </c>
      <c r="E1023">
        <f>'Unformatted Trip Summary'!E1021</f>
        <v>3080</v>
      </c>
      <c r="F1023" s="1">
        <f>'Unformatted Trip Summary'!F1021</f>
        <v>73.162621907000002</v>
      </c>
      <c r="G1023" s="1">
        <f>'Unformatted Trip Summary'!G1021</f>
        <v>787.79016984999998</v>
      </c>
      <c r="H1023" s="1">
        <f>'Unformatted Trip Summary'!H1021</f>
        <v>16.957569839000001</v>
      </c>
    </row>
    <row r="1024" spans="1:8" x14ac:dyDescent="0.2">
      <c r="A1024" t="str">
        <f>'Unformatted Trip Summary'!A1022</f>
        <v>15 SOUTHLAND</v>
      </c>
      <c r="B1024" t="str">
        <f>'Unformatted Trip Summary'!J1022</f>
        <v>2037/38</v>
      </c>
      <c r="C1024" t="str">
        <f>'Unformatted Trip Summary'!I1022</f>
        <v>Light Vehicle Driver</v>
      </c>
      <c r="D1024">
        <f>'Unformatted Trip Summary'!D1022</f>
        <v>442</v>
      </c>
      <c r="E1024">
        <f>'Unformatted Trip Summary'!E1022</f>
        <v>3080</v>
      </c>
      <c r="F1024" s="1">
        <f>'Unformatted Trip Summary'!F1022</f>
        <v>73.322096023</v>
      </c>
      <c r="G1024" s="1">
        <f>'Unformatted Trip Summary'!G1022</f>
        <v>799.87898043999996</v>
      </c>
      <c r="H1024" s="1">
        <f>'Unformatted Trip Summary'!H1022</f>
        <v>17.159267236000002</v>
      </c>
    </row>
    <row r="1025" spans="1:8" x14ac:dyDescent="0.2">
      <c r="A1025" t="str">
        <f>'Unformatted Trip Summary'!A1023</f>
        <v>15 SOUTHLAND</v>
      </c>
      <c r="B1025" t="str">
        <f>'Unformatted Trip Summary'!J1023</f>
        <v>2042/43</v>
      </c>
      <c r="C1025" t="str">
        <f>'Unformatted Trip Summary'!I1023</f>
        <v>Light Vehicle Driver</v>
      </c>
      <c r="D1025">
        <f>'Unformatted Trip Summary'!D1023</f>
        <v>442</v>
      </c>
      <c r="E1025">
        <f>'Unformatted Trip Summary'!E1023</f>
        <v>3080</v>
      </c>
      <c r="F1025" s="1">
        <f>'Unformatted Trip Summary'!F1023</f>
        <v>73.318307434999994</v>
      </c>
      <c r="G1025" s="1">
        <f>'Unformatted Trip Summary'!G1023</f>
        <v>810.76458399000001</v>
      </c>
      <c r="H1025" s="1">
        <f>'Unformatted Trip Summary'!H1023</f>
        <v>17.322447091000001</v>
      </c>
    </row>
    <row r="1026" spans="1:8" x14ac:dyDescent="0.2">
      <c r="A1026" t="str">
        <f>'Unformatted Trip Summary'!A1024</f>
        <v>15 SOUTHLAND</v>
      </c>
      <c r="B1026" t="str">
        <f>'Unformatted Trip Summary'!J1024</f>
        <v>2012/13</v>
      </c>
      <c r="C1026" t="str">
        <f>'Unformatted Trip Summary'!I1024</f>
        <v>Light Vehicle Passenger</v>
      </c>
      <c r="D1026">
        <f>'Unformatted Trip Summary'!D1024</f>
        <v>289</v>
      </c>
      <c r="E1026">
        <f>'Unformatted Trip Summary'!E1024</f>
        <v>1411</v>
      </c>
      <c r="F1026" s="1">
        <f>'Unformatted Trip Summary'!F1024</f>
        <v>28.419434702</v>
      </c>
      <c r="G1026" s="1">
        <f>'Unformatted Trip Summary'!G1024</f>
        <v>380.70733008000002</v>
      </c>
      <c r="H1026" s="1">
        <f>'Unformatted Trip Summary'!H1024</f>
        <v>7.5859087797999996</v>
      </c>
    </row>
    <row r="1027" spans="1:8" x14ac:dyDescent="0.2">
      <c r="A1027" t="str">
        <f>'Unformatted Trip Summary'!A1025</f>
        <v>15 SOUTHLAND</v>
      </c>
      <c r="B1027" t="str">
        <f>'Unformatted Trip Summary'!J1025</f>
        <v>2017/18</v>
      </c>
      <c r="C1027" t="str">
        <f>'Unformatted Trip Summary'!I1025</f>
        <v>Light Vehicle Passenger</v>
      </c>
      <c r="D1027">
        <f>'Unformatted Trip Summary'!D1025</f>
        <v>289</v>
      </c>
      <c r="E1027">
        <f>'Unformatted Trip Summary'!E1025</f>
        <v>1411</v>
      </c>
      <c r="F1027" s="1">
        <f>'Unformatted Trip Summary'!F1025</f>
        <v>27.631413936000001</v>
      </c>
      <c r="G1027" s="1">
        <f>'Unformatted Trip Summary'!G1025</f>
        <v>394.79115058999997</v>
      </c>
      <c r="H1027" s="1">
        <f>'Unformatted Trip Summary'!H1025</f>
        <v>7.7101972741999996</v>
      </c>
    </row>
    <row r="1028" spans="1:8" x14ac:dyDescent="0.2">
      <c r="A1028" t="str">
        <f>'Unformatted Trip Summary'!A1026</f>
        <v>15 SOUTHLAND</v>
      </c>
      <c r="B1028" t="str">
        <f>'Unformatted Trip Summary'!J1026</f>
        <v>2022/23</v>
      </c>
      <c r="C1028" t="str">
        <f>'Unformatted Trip Summary'!I1026</f>
        <v>Light Vehicle Passenger</v>
      </c>
      <c r="D1028">
        <f>'Unformatted Trip Summary'!D1026</f>
        <v>289</v>
      </c>
      <c r="E1028">
        <f>'Unformatted Trip Summary'!E1026</f>
        <v>1411</v>
      </c>
      <c r="F1028" s="1">
        <f>'Unformatted Trip Summary'!F1026</f>
        <v>26.787203116000001</v>
      </c>
      <c r="G1028" s="1">
        <f>'Unformatted Trip Summary'!G1026</f>
        <v>404.69506409000002</v>
      </c>
      <c r="H1028" s="1">
        <f>'Unformatted Trip Summary'!H1026</f>
        <v>7.7882716501999996</v>
      </c>
    </row>
    <row r="1029" spans="1:8" x14ac:dyDescent="0.2">
      <c r="A1029" t="str">
        <f>'Unformatted Trip Summary'!A1027</f>
        <v>15 SOUTHLAND</v>
      </c>
      <c r="B1029" t="str">
        <f>'Unformatted Trip Summary'!J1027</f>
        <v>2027/28</v>
      </c>
      <c r="C1029" t="str">
        <f>'Unformatted Trip Summary'!I1027</f>
        <v>Light Vehicle Passenger</v>
      </c>
      <c r="D1029">
        <f>'Unformatted Trip Summary'!D1027</f>
        <v>289</v>
      </c>
      <c r="E1029">
        <f>'Unformatted Trip Summary'!E1027</f>
        <v>1411</v>
      </c>
      <c r="F1029" s="1">
        <f>'Unformatted Trip Summary'!F1027</f>
        <v>26.096847983</v>
      </c>
      <c r="G1029" s="1">
        <f>'Unformatted Trip Summary'!G1027</f>
        <v>409.98662594000001</v>
      </c>
      <c r="H1029" s="1">
        <f>'Unformatted Trip Summary'!H1027</f>
        <v>7.8350579275000003</v>
      </c>
    </row>
    <row r="1030" spans="1:8" x14ac:dyDescent="0.2">
      <c r="A1030" t="str">
        <f>'Unformatted Trip Summary'!A1028</f>
        <v>15 SOUTHLAND</v>
      </c>
      <c r="B1030" t="str">
        <f>'Unformatted Trip Summary'!J1028</f>
        <v>2032/33</v>
      </c>
      <c r="C1030" t="str">
        <f>'Unformatted Trip Summary'!I1028</f>
        <v>Light Vehicle Passenger</v>
      </c>
      <c r="D1030">
        <f>'Unformatted Trip Summary'!D1028</f>
        <v>289</v>
      </c>
      <c r="E1030">
        <f>'Unformatted Trip Summary'!E1028</f>
        <v>1411</v>
      </c>
      <c r="F1030" s="1">
        <f>'Unformatted Trip Summary'!F1028</f>
        <v>25.351993895</v>
      </c>
      <c r="G1030" s="1">
        <f>'Unformatted Trip Summary'!G1028</f>
        <v>409.75458447</v>
      </c>
      <c r="H1030" s="1">
        <f>'Unformatted Trip Summary'!H1028</f>
        <v>7.8042094655999996</v>
      </c>
    </row>
    <row r="1031" spans="1:8" x14ac:dyDescent="0.2">
      <c r="A1031" t="str">
        <f>'Unformatted Trip Summary'!A1029</f>
        <v>15 SOUTHLAND</v>
      </c>
      <c r="B1031" t="str">
        <f>'Unformatted Trip Summary'!J1029</f>
        <v>2037/38</v>
      </c>
      <c r="C1031" t="str">
        <f>'Unformatted Trip Summary'!I1029</f>
        <v>Light Vehicle Passenger</v>
      </c>
      <c r="D1031">
        <f>'Unformatted Trip Summary'!D1029</f>
        <v>289</v>
      </c>
      <c r="E1031">
        <f>'Unformatted Trip Summary'!E1029</f>
        <v>1411</v>
      </c>
      <c r="F1031" s="1">
        <f>'Unformatted Trip Summary'!F1029</f>
        <v>24.526253276999999</v>
      </c>
      <c r="G1031" s="1">
        <f>'Unformatted Trip Summary'!G1029</f>
        <v>405.28527001999998</v>
      </c>
      <c r="H1031" s="1">
        <f>'Unformatted Trip Summary'!H1029</f>
        <v>7.6980202857000002</v>
      </c>
    </row>
    <row r="1032" spans="1:8" x14ac:dyDescent="0.2">
      <c r="A1032" t="str">
        <f>'Unformatted Trip Summary'!A1030</f>
        <v>15 SOUTHLAND</v>
      </c>
      <c r="B1032" t="str">
        <f>'Unformatted Trip Summary'!J1030</f>
        <v>2042/43</v>
      </c>
      <c r="C1032" t="str">
        <f>'Unformatted Trip Summary'!I1030</f>
        <v>Light Vehicle Passenger</v>
      </c>
      <c r="D1032">
        <f>'Unformatted Trip Summary'!D1030</f>
        <v>289</v>
      </c>
      <c r="E1032">
        <f>'Unformatted Trip Summary'!E1030</f>
        <v>1411</v>
      </c>
      <c r="F1032" s="1">
        <f>'Unformatted Trip Summary'!F1030</f>
        <v>23.57958614</v>
      </c>
      <c r="G1032" s="1">
        <f>'Unformatted Trip Summary'!G1030</f>
        <v>397.95287323000002</v>
      </c>
      <c r="H1032" s="1">
        <f>'Unformatted Trip Summary'!H1030</f>
        <v>7.5395165228999996</v>
      </c>
    </row>
    <row r="1033" spans="1:8" x14ac:dyDescent="0.2">
      <c r="A1033" t="str">
        <f>'Unformatted Trip Summary'!A1031</f>
        <v>15 SOUTHLAND</v>
      </c>
      <c r="B1033" t="str">
        <f>'Unformatted Trip Summary'!J1031</f>
        <v>2012/13</v>
      </c>
      <c r="C1033" t="str">
        <f>'Unformatted Trip Summary'!I1031</f>
        <v>Taxi/Vehicle Share</v>
      </c>
      <c r="D1033">
        <f>'Unformatted Trip Summary'!D1031</f>
        <v>4</v>
      </c>
      <c r="E1033">
        <f>'Unformatted Trip Summary'!E1031</f>
        <v>15</v>
      </c>
      <c r="F1033" s="1">
        <f>'Unformatted Trip Summary'!F1031</f>
        <v>0.47613164409999997</v>
      </c>
      <c r="G1033" s="1">
        <f>'Unformatted Trip Summary'!G1031</f>
        <v>1.2430116738999999</v>
      </c>
      <c r="H1033" s="1">
        <f>'Unformatted Trip Summary'!H1031</f>
        <v>6.6688903300000005E-2</v>
      </c>
    </row>
    <row r="1034" spans="1:8" x14ac:dyDescent="0.2">
      <c r="A1034" t="str">
        <f>'Unformatted Trip Summary'!A1032</f>
        <v>15 SOUTHLAND</v>
      </c>
      <c r="B1034" t="str">
        <f>'Unformatted Trip Summary'!J1032</f>
        <v>2017/18</v>
      </c>
      <c r="C1034" t="str">
        <f>'Unformatted Trip Summary'!I1032</f>
        <v>Taxi/Vehicle Share</v>
      </c>
      <c r="D1034">
        <f>'Unformatted Trip Summary'!D1032</f>
        <v>4</v>
      </c>
      <c r="E1034">
        <f>'Unformatted Trip Summary'!E1032</f>
        <v>15</v>
      </c>
      <c r="F1034" s="1">
        <f>'Unformatted Trip Summary'!F1032</f>
        <v>0.51869747359999996</v>
      </c>
      <c r="G1034" s="1">
        <f>'Unformatted Trip Summary'!G1032</f>
        <v>1.4584611878</v>
      </c>
      <c r="H1034" s="1">
        <f>'Unformatted Trip Summary'!H1032</f>
        <v>7.6673302499999998E-2</v>
      </c>
    </row>
    <row r="1035" spans="1:8" x14ac:dyDescent="0.2">
      <c r="A1035" t="str">
        <f>'Unformatted Trip Summary'!A1033</f>
        <v>15 SOUTHLAND</v>
      </c>
      <c r="B1035" t="str">
        <f>'Unformatted Trip Summary'!J1033</f>
        <v>2022/23</v>
      </c>
      <c r="C1035" t="str">
        <f>'Unformatted Trip Summary'!I1033</f>
        <v>Taxi/Vehicle Share</v>
      </c>
      <c r="D1035">
        <f>'Unformatted Trip Summary'!D1033</f>
        <v>4</v>
      </c>
      <c r="E1035">
        <f>'Unformatted Trip Summary'!E1033</f>
        <v>15</v>
      </c>
      <c r="F1035" s="1">
        <f>'Unformatted Trip Summary'!F1033</f>
        <v>0.55092188689999999</v>
      </c>
      <c r="G1035" s="1">
        <f>'Unformatted Trip Summary'!G1033</f>
        <v>1.6150494734</v>
      </c>
      <c r="H1035" s="1">
        <f>'Unformatted Trip Summary'!H1033</f>
        <v>8.3946531000000005E-2</v>
      </c>
    </row>
    <row r="1036" spans="1:8" x14ac:dyDescent="0.2">
      <c r="A1036" t="str">
        <f>'Unformatted Trip Summary'!A1034</f>
        <v>15 SOUTHLAND</v>
      </c>
      <c r="B1036" t="str">
        <f>'Unformatted Trip Summary'!J1034</f>
        <v>2027/28</v>
      </c>
      <c r="C1036" t="str">
        <f>'Unformatted Trip Summary'!I1034</f>
        <v>Taxi/Vehicle Share</v>
      </c>
      <c r="D1036">
        <f>'Unformatted Trip Summary'!D1034</f>
        <v>4</v>
      </c>
      <c r="E1036">
        <f>'Unformatted Trip Summary'!E1034</f>
        <v>15</v>
      </c>
      <c r="F1036" s="1">
        <f>'Unformatted Trip Summary'!F1034</f>
        <v>0.56322286060000004</v>
      </c>
      <c r="G1036" s="1">
        <f>'Unformatted Trip Summary'!G1034</f>
        <v>1.6778092978000001</v>
      </c>
      <c r="H1036" s="1">
        <f>'Unformatted Trip Summary'!H1034</f>
        <v>8.6789243399999993E-2</v>
      </c>
    </row>
    <row r="1037" spans="1:8" x14ac:dyDescent="0.2">
      <c r="A1037" t="str">
        <f>'Unformatted Trip Summary'!A1035</f>
        <v>15 SOUTHLAND</v>
      </c>
      <c r="B1037" t="str">
        <f>'Unformatted Trip Summary'!J1035</f>
        <v>2032/33</v>
      </c>
      <c r="C1037" t="str">
        <f>'Unformatted Trip Summary'!I1035</f>
        <v>Taxi/Vehicle Share</v>
      </c>
      <c r="D1037">
        <f>'Unformatted Trip Summary'!D1035</f>
        <v>4</v>
      </c>
      <c r="E1037">
        <f>'Unformatted Trip Summary'!E1035</f>
        <v>15</v>
      </c>
      <c r="F1037" s="1">
        <f>'Unformatted Trip Summary'!F1035</f>
        <v>0.57521784539999998</v>
      </c>
      <c r="G1037" s="1">
        <f>'Unformatted Trip Summary'!G1035</f>
        <v>1.7116579802</v>
      </c>
      <c r="H1037" s="1">
        <f>'Unformatted Trip Summary'!H1035</f>
        <v>8.84954253E-2</v>
      </c>
    </row>
    <row r="1038" spans="1:8" x14ac:dyDescent="0.2">
      <c r="A1038" t="str">
        <f>'Unformatted Trip Summary'!A1036</f>
        <v>15 SOUTHLAND</v>
      </c>
      <c r="B1038" t="str">
        <f>'Unformatted Trip Summary'!J1036</f>
        <v>2037/38</v>
      </c>
      <c r="C1038" t="str">
        <f>'Unformatted Trip Summary'!I1036</f>
        <v>Taxi/Vehicle Share</v>
      </c>
      <c r="D1038">
        <f>'Unformatted Trip Summary'!D1036</f>
        <v>4</v>
      </c>
      <c r="E1038">
        <f>'Unformatted Trip Summary'!E1036</f>
        <v>15</v>
      </c>
      <c r="F1038" s="1">
        <f>'Unformatted Trip Summary'!F1036</f>
        <v>0.5755003957</v>
      </c>
      <c r="G1038" s="1">
        <f>'Unformatted Trip Summary'!G1036</f>
        <v>1.7070032287000001</v>
      </c>
      <c r="H1038" s="1">
        <f>'Unformatted Trip Summary'!H1036</f>
        <v>8.8267494799999999E-2</v>
      </c>
    </row>
    <row r="1039" spans="1:8" x14ac:dyDescent="0.2">
      <c r="A1039" t="str">
        <f>'Unformatted Trip Summary'!A1037</f>
        <v>15 SOUTHLAND</v>
      </c>
      <c r="B1039" t="str">
        <f>'Unformatted Trip Summary'!J1037</f>
        <v>2042/43</v>
      </c>
      <c r="C1039" t="str">
        <f>'Unformatted Trip Summary'!I1037</f>
        <v>Taxi/Vehicle Share</v>
      </c>
      <c r="D1039">
        <f>'Unformatted Trip Summary'!D1037</f>
        <v>4</v>
      </c>
      <c r="E1039">
        <f>'Unformatted Trip Summary'!E1037</f>
        <v>15</v>
      </c>
      <c r="F1039" s="1">
        <f>'Unformatted Trip Summary'!F1037</f>
        <v>0.57408327729999997</v>
      </c>
      <c r="G1039" s="1">
        <f>'Unformatted Trip Summary'!G1037</f>
        <v>1.6950931744</v>
      </c>
      <c r="H1039" s="1">
        <f>'Unformatted Trip Summary'!H1037</f>
        <v>8.7698902100000004E-2</v>
      </c>
    </row>
    <row r="1040" spans="1:8" x14ac:dyDescent="0.2">
      <c r="A1040" t="str">
        <f>'Unformatted Trip Summary'!A1038</f>
        <v>15 SOUTHLAND</v>
      </c>
      <c r="B1040" t="str">
        <f>'Unformatted Trip Summary'!J1038</f>
        <v>2012/13</v>
      </c>
      <c r="C1040" t="str">
        <f>'Unformatted Trip Summary'!I1038</f>
        <v>Motorcyclist</v>
      </c>
      <c r="D1040">
        <f>'Unformatted Trip Summary'!D1038</f>
        <v>8</v>
      </c>
      <c r="E1040">
        <f>'Unformatted Trip Summary'!E1038</f>
        <v>32</v>
      </c>
      <c r="F1040" s="1">
        <f>'Unformatted Trip Summary'!F1038</f>
        <v>0.62652592730000001</v>
      </c>
      <c r="G1040" s="1">
        <f>'Unformatted Trip Summary'!G1038</f>
        <v>18.926640866</v>
      </c>
      <c r="H1040" s="1">
        <f>'Unformatted Trip Summary'!H1038</f>
        <v>0.2609239458</v>
      </c>
    </row>
    <row r="1041" spans="1:8" x14ac:dyDescent="0.2">
      <c r="A1041" t="str">
        <f>'Unformatted Trip Summary'!A1039</f>
        <v>15 SOUTHLAND</v>
      </c>
      <c r="B1041" t="str">
        <f>'Unformatted Trip Summary'!J1039</f>
        <v>2017/18</v>
      </c>
      <c r="C1041" t="str">
        <f>'Unformatted Trip Summary'!I1039</f>
        <v>Motorcyclist</v>
      </c>
      <c r="D1041">
        <f>'Unformatted Trip Summary'!D1039</f>
        <v>8</v>
      </c>
      <c r="E1041">
        <f>'Unformatted Trip Summary'!E1039</f>
        <v>32</v>
      </c>
      <c r="F1041" s="1">
        <f>'Unformatted Trip Summary'!F1039</f>
        <v>0.72460535829999995</v>
      </c>
      <c r="G1041" s="1">
        <f>'Unformatted Trip Summary'!G1039</f>
        <v>24.685326618000001</v>
      </c>
      <c r="H1041" s="1">
        <f>'Unformatted Trip Summary'!H1039</f>
        <v>0.33244553160000001</v>
      </c>
    </row>
    <row r="1042" spans="1:8" x14ac:dyDescent="0.2">
      <c r="A1042" t="str">
        <f>'Unformatted Trip Summary'!A1040</f>
        <v>15 SOUTHLAND</v>
      </c>
      <c r="B1042" t="str">
        <f>'Unformatted Trip Summary'!J1040</f>
        <v>2022/23</v>
      </c>
      <c r="C1042" t="str">
        <f>'Unformatted Trip Summary'!I1040</f>
        <v>Motorcyclist</v>
      </c>
      <c r="D1042">
        <f>'Unformatted Trip Summary'!D1040</f>
        <v>8</v>
      </c>
      <c r="E1042">
        <f>'Unformatted Trip Summary'!E1040</f>
        <v>32</v>
      </c>
      <c r="F1042" s="1">
        <f>'Unformatted Trip Summary'!F1040</f>
        <v>0.79244962360000004</v>
      </c>
      <c r="G1042" s="1">
        <f>'Unformatted Trip Summary'!G1040</f>
        <v>28.950088713</v>
      </c>
      <c r="H1042" s="1">
        <f>'Unformatted Trip Summary'!H1040</f>
        <v>0.38517696350000002</v>
      </c>
    </row>
    <row r="1043" spans="1:8" x14ac:dyDescent="0.2">
      <c r="A1043" t="str">
        <f>'Unformatted Trip Summary'!A1041</f>
        <v>15 SOUTHLAND</v>
      </c>
      <c r="B1043" t="str">
        <f>'Unformatted Trip Summary'!J1041</f>
        <v>2027/28</v>
      </c>
      <c r="C1043" t="str">
        <f>'Unformatted Trip Summary'!I1041</f>
        <v>Motorcyclist</v>
      </c>
      <c r="D1043">
        <f>'Unformatted Trip Summary'!D1041</f>
        <v>8</v>
      </c>
      <c r="E1043">
        <f>'Unformatted Trip Summary'!E1041</f>
        <v>32</v>
      </c>
      <c r="F1043" s="1">
        <f>'Unformatted Trip Summary'!F1041</f>
        <v>0.81552316979999995</v>
      </c>
      <c r="G1043" s="1">
        <f>'Unformatted Trip Summary'!G1041</f>
        <v>30.930959166000001</v>
      </c>
      <c r="H1043" s="1">
        <f>'Unformatted Trip Summary'!H1041</f>
        <v>0.40892927750000002</v>
      </c>
    </row>
    <row r="1044" spans="1:8" x14ac:dyDescent="0.2">
      <c r="A1044" t="str">
        <f>'Unformatted Trip Summary'!A1042</f>
        <v>15 SOUTHLAND</v>
      </c>
      <c r="B1044" t="str">
        <f>'Unformatted Trip Summary'!J1042</f>
        <v>2032/33</v>
      </c>
      <c r="C1044" t="str">
        <f>'Unformatted Trip Summary'!I1042</f>
        <v>Motorcyclist</v>
      </c>
      <c r="D1044">
        <f>'Unformatted Trip Summary'!D1042</f>
        <v>8</v>
      </c>
      <c r="E1044">
        <f>'Unformatted Trip Summary'!E1042</f>
        <v>32</v>
      </c>
      <c r="F1044" s="1">
        <f>'Unformatted Trip Summary'!F1042</f>
        <v>0.81177587600000001</v>
      </c>
      <c r="G1044" s="1">
        <f>'Unformatted Trip Summary'!G1042</f>
        <v>31.670173677000001</v>
      </c>
      <c r="H1044" s="1">
        <f>'Unformatted Trip Summary'!H1042</f>
        <v>0.4167848938</v>
      </c>
    </row>
    <row r="1045" spans="1:8" x14ac:dyDescent="0.2">
      <c r="A1045" t="str">
        <f>'Unformatted Trip Summary'!A1043</f>
        <v>15 SOUTHLAND</v>
      </c>
      <c r="B1045" t="str">
        <f>'Unformatted Trip Summary'!J1043</f>
        <v>2037/38</v>
      </c>
      <c r="C1045" t="str">
        <f>'Unformatted Trip Summary'!I1043</f>
        <v>Motorcyclist</v>
      </c>
      <c r="D1045">
        <f>'Unformatted Trip Summary'!D1043</f>
        <v>8</v>
      </c>
      <c r="E1045">
        <f>'Unformatted Trip Summary'!E1043</f>
        <v>32</v>
      </c>
      <c r="F1045" s="1">
        <f>'Unformatted Trip Summary'!F1043</f>
        <v>0.7912327039</v>
      </c>
      <c r="G1045" s="1">
        <f>'Unformatted Trip Summary'!G1043</f>
        <v>31.577603265</v>
      </c>
      <c r="H1045" s="1">
        <f>'Unformatted Trip Summary'!H1043</f>
        <v>0.41425419279999998</v>
      </c>
    </row>
    <row r="1046" spans="1:8" x14ac:dyDescent="0.2">
      <c r="A1046" t="str">
        <f>'Unformatted Trip Summary'!A1044</f>
        <v>15 SOUTHLAND</v>
      </c>
      <c r="B1046" t="str">
        <f>'Unformatted Trip Summary'!J1044</f>
        <v>2042/43</v>
      </c>
      <c r="C1046" t="str">
        <f>'Unformatted Trip Summary'!I1044</f>
        <v>Motorcyclist</v>
      </c>
      <c r="D1046">
        <f>'Unformatted Trip Summary'!D1044</f>
        <v>8</v>
      </c>
      <c r="E1046">
        <f>'Unformatted Trip Summary'!E1044</f>
        <v>32</v>
      </c>
      <c r="F1046" s="1">
        <f>'Unformatted Trip Summary'!F1044</f>
        <v>0.76406726849999995</v>
      </c>
      <c r="G1046" s="1">
        <f>'Unformatted Trip Summary'!G1044</f>
        <v>31.224073591</v>
      </c>
      <c r="H1046" s="1">
        <f>'Unformatted Trip Summary'!H1044</f>
        <v>0.40826204700000002</v>
      </c>
    </row>
    <row r="1047" spans="1:8" x14ac:dyDescent="0.2">
      <c r="A1047" t="str">
        <f>'Unformatted Trip Summary'!A1045</f>
        <v>15 SOUTHLAND</v>
      </c>
      <c r="B1047" t="str">
        <f>'Unformatted Trip Summary'!J1045</f>
        <v>2012/13</v>
      </c>
      <c r="C1047" t="str">
        <f>'Unformatted Trip Summary'!I1045</f>
        <v>Local Bus</v>
      </c>
      <c r="D1047">
        <f>'Unformatted Trip Summary'!D1045</f>
        <v>37</v>
      </c>
      <c r="E1047">
        <f>'Unformatted Trip Summary'!E1045</f>
        <v>119</v>
      </c>
      <c r="F1047" s="1">
        <f>'Unformatted Trip Summary'!F1045</f>
        <v>2.6369167839999998</v>
      </c>
      <c r="G1047" s="1">
        <f>'Unformatted Trip Summary'!G1045</f>
        <v>30.182609224</v>
      </c>
      <c r="H1047" s="1">
        <f>'Unformatted Trip Summary'!H1045</f>
        <v>1.2152660816</v>
      </c>
    </row>
    <row r="1048" spans="1:8" x14ac:dyDescent="0.2">
      <c r="A1048" t="str">
        <f>'Unformatted Trip Summary'!A1046</f>
        <v>15 SOUTHLAND</v>
      </c>
      <c r="B1048" t="str">
        <f>'Unformatted Trip Summary'!J1046</f>
        <v>2017/18</v>
      </c>
      <c r="C1048" t="str">
        <f>'Unformatted Trip Summary'!I1046</f>
        <v>Local Bus</v>
      </c>
      <c r="D1048">
        <f>'Unformatted Trip Summary'!D1046</f>
        <v>37</v>
      </c>
      <c r="E1048">
        <f>'Unformatted Trip Summary'!E1046</f>
        <v>119</v>
      </c>
      <c r="F1048" s="1">
        <f>'Unformatted Trip Summary'!F1046</f>
        <v>2.6786484999</v>
      </c>
      <c r="G1048" s="1">
        <f>'Unformatted Trip Summary'!G1046</f>
        <v>30.507393851</v>
      </c>
      <c r="H1048" s="1">
        <f>'Unformatted Trip Summary'!H1046</f>
        <v>1.2249456878</v>
      </c>
    </row>
    <row r="1049" spans="1:8" x14ac:dyDescent="0.2">
      <c r="A1049" t="str">
        <f>'Unformatted Trip Summary'!A1047</f>
        <v>15 SOUTHLAND</v>
      </c>
      <c r="B1049" t="str">
        <f>'Unformatted Trip Summary'!J1047</f>
        <v>2022/23</v>
      </c>
      <c r="C1049" t="str">
        <f>'Unformatted Trip Summary'!I1047</f>
        <v>Local Bus</v>
      </c>
      <c r="D1049">
        <f>'Unformatted Trip Summary'!D1047</f>
        <v>37</v>
      </c>
      <c r="E1049">
        <f>'Unformatted Trip Summary'!E1047</f>
        <v>119</v>
      </c>
      <c r="F1049" s="1">
        <f>'Unformatted Trip Summary'!F1047</f>
        <v>2.719518952</v>
      </c>
      <c r="G1049" s="1">
        <f>'Unformatted Trip Summary'!G1047</f>
        <v>31.195169922000002</v>
      </c>
      <c r="H1049" s="1">
        <f>'Unformatted Trip Summary'!H1047</f>
        <v>1.2547907474</v>
      </c>
    </row>
    <row r="1050" spans="1:8" x14ac:dyDescent="0.2">
      <c r="A1050" t="str">
        <f>'Unformatted Trip Summary'!A1048</f>
        <v>15 SOUTHLAND</v>
      </c>
      <c r="B1050" t="str">
        <f>'Unformatted Trip Summary'!J1048</f>
        <v>2027/28</v>
      </c>
      <c r="C1050" t="str">
        <f>'Unformatted Trip Summary'!I1048</f>
        <v>Local Bus</v>
      </c>
      <c r="D1050">
        <f>'Unformatted Trip Summary'!D1048</f>
        <v>37</v>
      </c>
      <c r="E1050">
        <f>'Unformatted Trip Summary'!E1048</f>
        <v>119</v>
      </c>
      <c r="F1050" s="1">
        <f>'Unformatted Trip Summary'!F1048</f>
        <v>2.7798858183999999</v>
      </c>
      <c r="G1050" s="1">
        <f>'Unformatted Trip Summary'!G1048</f>
        <v>32.140559287999999</v>
      </c>
      <c r="H1050" s="1">
        <f>'Unformatted Trip Summary'!H1048</f>
        <v>1.2937955350999999</v>
      </c>
    </row>
    <row r="1051" spans="1:8" x14ac:dyDescent="0.2">
      <c r="A1051" t="str">
        <f>'Unformatted Trip Summary'!A1049</f>
        <v>15 SOUTHLAND</v>
      </c>
      <c r="B1051" t="str">
        <f>'Unformatted Trip Summary'!J1049</f>
        <v>2032/33</v>
      </c>
      <c r="C1051" t="str">
        <f>'Unformatted Trip Summary'!I1049</f>
        <v>Local Bus</v>
      </c>
      <c r="D1051">
        <f>'Unformatted Trip Summary'!D1049</f>
        <v>37</v>
      </c>
      <c r="E1051">
        <f>'Unformatted Trip Summary'!E1049</f>
        <v>119</v>
      </c>
      <c r="F1051" s="1">
        <f>'Unformatted Trip Summary'!F1049</f>
        <v>2.724391759</v>
      </c>
      <c r="G1051" s="1">
        <f>'Unformatted Trip Summary'!G1049</f>
        <v>31.701848872999999</v>
      </c>
      <c r="H1051" s="1">
        <f>'Unformatted Trip Summary'!H1049</f>
        <v>1.2771679663</v>
      </c>
    </row>
    <row r="1052" spans="1:8" x14ac:dyDescent="0.2">
      <c r="A1052" t="str">
        <f>'Unformatted Trip Summary'!A1050</f>
        <v>15 SOUTHLAND</v>
      </c>
      <c r="B1052" t="str">
        <f>'Unformatted Trip Summary'!J1050</f>
        <v>2037/38</v>
      </c>
      <c r="C1052" t="str">
        <f>'Unformatted Trip Summary'!I1050</f>
        <v>Local Bus</v>
      </c>
      <c r="D1052">
        <f>'Unformatted Trip Summary'!D1050</f>
        <v>37</v>
      </c>
      <c r="E1052">
        <f>'Unformatted Trip Summary'!E1050</f>
        <v>119</v>
      </c>
      <c r="F1052" s="1">
        <f>'Unformatted Trip Summary'!F1050</f>
        <v>2.6492214843999999</v>
      </c>
      <c r="G1052" s="1">
        <f>'Unformatted Trip Summary'!G1050</f>
        <v>30.709982422</v>
      </c>
      <c r="H1052" s="1">
        <f>'Unformatted Trip Summary'!H1050</f>
        <v>1.2458233125</v>
      </c>
    </row>
    <row r="1053" spans="1:8" x14ac:dyDescent="0.2">
      <c r="A1053" t="str">
        <f>'Unformatted Trip Summary'!A1051</f>
        <v>15 SOUTHLAND</v>
      </c>
      <c r="B1053" t="str">
        <f>'Unformatted Trip Summary'!J1051</f>
        <v>2042/43</v>
      </c>
      <c r="C1053" t="str">
        <f>'Unformatted Trip Summary'!I1051</f>
        <v>Local Bus</v>
      </c>
      <c r="D1053">
        <f>'Unformatted Trip Summary'!D1051</f>
        <v>37</v>
      </c>
      <c r="E1053">
        <f>'Unformatted Trip Summary'!E1051</f>
        <v>119</v>
      </c>
      <c r="F1053" s="1">
        <f>'Unformatted Trip Summary'!F1051</f>
        <v>2.5498404781000001</v>
      </c>
      <c r="G1053" s="1">
        <f>'Unformatted Trip Summary'!G1051</f>
        <v>29.441409641</v>
      </c>
      <c r="H1053" s="1">
        <f>'Unformatted Trip Summary'!H1051</f>
        <v>1.2034048404</v>
      </c>
    </row>
    <row r="1054" spans="1:8" x14ac:dyDescent="0.2">
      <c r="A1054" t="str">
        <f>'Unformatted Trip Summary'!A1052</f>
        <v>15 SOUTHLAND</v>
      </c>
      <c r="B1054" t="str">
        <f>'Unformatted Trip Summary'!J1052</f>
        <v>2012/13</v>
      </c>
      <c r="C1054" t="str">
        <f>'Unformatted Trip Summary'!I1052</f>
        <v>Other Household Travel</v>
      </c>
      <c r="D1054">
        <f>'Unformatted Trip Summary'!D1052</f>
        <v>3</v>
      </c>
      <c r="E1054">
        <f>'Unformatted Trip Summary'!E1052</f>
        <v>20</v>
      </c>
      <c r="F1054" s="1">
        <f>'Unformatted Trip Summary'!F1052</f>
        <v>0.42937289560000003</v>
      </c>
      <c r="G1054" s="1">
        <f>'Unformatted Trip Summary'!G1052</f>
        <v>0</v>
      </c>
      <c r="H1054" s="1">
        <f>'Unformatted Trip Summary'!H1052</f>
        <v>8.5162673699999997E-2</v>
      </c>
    </row>
    <row r="1055" spans="1:8" x14ac:dyDescent="0.2">
      <c r="A1055" t="str">
        <f>'Unformatted Trip Summary'!A1053</f>
        <v>15 SOUTHLAND</v>
      </c>
      <c r="B1055" t="str">
        <f>'Unformatted Trip Summary'!J1053</f>
        <v>2017/18</v>
      </c>
      <c r="C1055" t="str">
        <f>'Unformatted Trip Summary'!I1053</f>
        <v>Other Household Travel</v>
      </c>
      <c r="D1055">
        <f>'Unformatted Trip Summary'!D1053</f>
        <v>3</v>
      </c>
      <c r="E1055">
        <f>'Unformatted Trip Summary'!E1053</f>
        <v>20</v>
      </c>
      <c r="F1055" s="1">
        <f>'Unformatted Trip Summary'!F1053</f>
        <v>0.47900553140000002</v>
      </c>
      <c r="G1055" s="1">
        <f>'Unformatted Trip Summary'!G1053</f>
        <v>0</v>
      </c>
      <c r="H1055" s="1">
        <f>'Unformatted Trip Summary'!H1053</f>
        <v>9.5292722900000001E-2</v>
      </c>
    </row>
    <row r="1056" spans="1:8" x14ac:dyDescent="0.2">
      <c r="A1056" t="str">
        <f>'Unformatted Trip Summary'!A1054</f>
        <v>15 SOUTHLAND</v>
      </c>
      <c r="B1056" t="str">
        <f>'Unformatted Trip Summary'!J1054</f>
        <v>2022/23</v>
      </c>
      <c r="C1056" t="str">
        <f>'Unformatted Trip Summary'!I1054</f>
        <v>Other Household Travel</v>
      </c>
      <c r="D1056">
        <f>'Unformatted Trip Summary'!D1054</f>
        <v>3</v>
      </c>
      <c r="E1056">
        <f>'Unformatted Trip Summary'!E1054</f>
        <v>20</v>
      </c>
      <c r="F1056" s="1">
        <f>'Unformatted Trip Summary'!F1054</f>
        <v>0.51261855170000004</v>
      </c>
      <c r="G1056" s="1">
        <f>'Unformatted Trip Summary'!G1054</f>
        <v>0</v>
      </c>
      <c r="H1056" s="1">
        <f>'Unformatted Trip Summary'!H1054</f>
        <v>0.1024965132</v>
      </c>
    </row>
    <row r="1057" spans="1:8" x14ac:dyDescent="0.2">
      <c r="A1057" t="str">
        <f>'Unformatted Trip Summary'!A1055</f>
        <v>15 SOUTHLAND</v>
      </c>
      <c r="B1057" t="str">
        <f>'Unformatted Trip Summary'!J1055</f>
        <v>2027/28</v>
      </c>
      <c r="C1057" t="str">
        <f>'Unformatted Trip Summary'!I1055</f>
        <v>Other Household Travel</v>
      </c>
      <c r="D1057">
        <f>'Unformatted Trip Summary'!D1055</f>
        <v>3</v>
      </c>
      <c r="E1057">
        <f>'Unformatted Trip Summary'!E1055</f>
        <v>20</v>
      </c>
      <c r="F1057" s="1">
        <f>'Unformatted Trip Summary'!F1055</f>
        <v>0.54839507519999997</v>
      </c>
      <c r="G1057" s="1">
        <f>'Unformatted Trip Summary'!G1055</f>
        <v>0</v>
      </c>
      <c r="H1057" s="1">
        <f>'Unformatted Trip Summary'!H1055</f>
        <v>0.1108568816</v>
      </c>
    </row>
    <row r="1058" spans="1:8" x14ac:dyDescent="0.2">
      <c r="A1058" t="str">
        <f>'Unformatted Trip Summary'!A1056</f>
        <v>15 SOUTHLAND</v>
      </c>
      <c r="B1058" t="str">
        <f>'Unformatted Trip Summary'!J1056</f>
        <v>2032/33</v>
      </c>
      <c r="C1058" t="str">
        <f>'Unformatted Trip Summary'!I1056</f>
        <v>Other Household Travel</v>
      </c>
      <c r="D1058">
        <f>'Unformatted Trip Summary'!D1056</f>
        <v>3</v>
      </c>
      <c r="E1058">
        <f>'Unformatted Trip Summary'!E1056</f>
        <v>20</v>
      </c>
      <c r="F1058" s="1">
        <f>'Unformatted Trip Summary'!F1056</f>
        <v>0.58596459619999997</v>
      </c>
      <c r="G1058" s="1">
        <f>'Unformatted Trip Summary'!G1056</f>
        <v>0</v>
      </c>
      <c r="H1058" s="1">
        <f>'Unformatted Trip Summary'!H1056</f>
        <v>0.1203267103</v>
      </c>
    </row>
    <row r="1059" spans="1:8" x14ac:dyDescent="0.2">
      <c r="A1059" t="str">
        <f>'Unformatted Trip Summary'!A1057</f>
        <v>15 SOUTHLAND</v>
      </c>
      <c r="B1059" t="str">
        <f>'Unformatted Trip Summary'!J1057</f>
        <v>2037/38</v>
      </c>
      <c r="C1059" t="str">
        <f>'Unformatted Trip Summary'!I1057</f>
        <v>Other Household Travel</v>
      </c>
      <c r="D1059">
        <f>'Unformatted Trip Summary'!D1057</f>
        <v>3</v>
      </c>
      <c r="E1059">
        <f>'Unformatted Trip Summary'!E1057</f>
        <v>20</v>
      </c>
      <c r="F1059" s="1">
        <f>'Unformatted Trip Summary'!F1057</f>
        <v>0.60540931740000004</v>
      </c>
      <c r="G1059" s="1">
        <f>'Unformatted Trip Summary'!G1057</f>
        <v>0</v>
      </c>
      <c r="H1059" s="1">
        <f>'Unformatted Trip Summary'!H1057</f>
        <v>0.1260387473</v>
      </c>
    </row>
    <row r="1060" spans="1:8" x14ac:dyDescent="0.2">
      <c r="A1060" t="str">
        <f>'Unformatted Trip Summary'!A1058</f>
        <v>15 SOUTHLAND</v>
      </c>
      <c r="B1060" t="str">
        <f>'Unformatted Trip Summary'!J1058</f>
        <v>2042/43</v>
      </c>
      <c r="C1060" t="str">
        <f>'Unformatted Trip Summary'!I1058</f>
        <v>Other Household Travel</v>
      </c>
      <c r="D1060">
        <f>'Unformatted Trip Summary'!D1058</f>
        <v>3</v>
      </c>
      <c r="E1060">
        <f>'Unformatted Trip Summary'!E1058</f>
        <v>20</v>
      </c>
      <c r="F1060" s="1">
        <f>'Unformatted Trip Summary'!F1058</f>
        <v>0.61566628509999999</v>
      </c>
      <c r="G1060" s="1">
        <f>'Unformatted Trip Summary'!G1058</f>
        <v>0</v>
      </c>
      <c r="H1060" s="1">
        <f>'Unformatted Trip Summary'!H1058</f>
        <v>0.12968359260000001</v>
      </c>
    </row>
    <row r="1061" spans="1:8" x14ac:dyDescent="0.2">
      <c r="A1061" t="str">
        <f>'Unformatted Trip Summary'!A1059</f>
        <v>15 SOUTHLAND</v>
      </c>
      <c r="B1061" t="str">
        <f>'Unformatted Trip Summary'!J1059</f>
        <v>2012/13</v>
      </c>
      <c r="C1061" t="str">
        <f>'Unformatted Trip Summary'!I1059</f>
        <v>Air/Non-Local PT</v>
      </c>
      <c r="D1061">
        <f>'Unformatted Trip Summary'!D1059</f>
        <v>4</v>
      </c>
      <c r="E1061">
        <f>'Unformatted Trip Summary'!E1059</f>
        <v>5</v>
      </c>
      <c r="F1061" s="1">
        <f>'Unformatted Trip Summary'!F1059</f>
        <v>0.11858970739999999</v>
      </c>
      <c r="G1061" s="1">
        <f>'Unformatted Trip Summary'!G1059</f>
        <v>7.7216256564999997</v>
      </c>
      <c r="H1061" s="1">
        <f>'Unformatted Trip Summary'!H1059</f>
        <v>0.2054826143</v>
      </c>
    </row>
    <row r="1062" spans="1:8" x14ac:dyDescent="0.2">
      <c r="A1062" t="str">
        <f>'Unformatted Trip Summary'!A1060</f>
        <v>15 SOUTHLAND</v>
      </c>
      <c r="B1062" t="str">
        <f>'Unformatted Trip Summary'!J1060</f>
        <v>2017/18</v>
      </c>
      <c r="C1062" t="str">
        <f>'Unformatted Trip Summary'!I1060</f>
        <v>Air/Non-Local PT</v>
      </c>
      <c r="D1062">
        <f>'Unformatted Trip Summary'!D1060</f>
        <v>4</v>
      </c>
      <c r="E1062">
        <f>'Unformatted Trip Summary'!E1060</f>
        <v>5</v>
      </c>
      <c r="F1062" s="1">
        <f>'Unformatted Trip Summary'!F1060</f>
        <v>0.1432275851</v>
      </c>
      <c r="G1062" s="1">
        <f>'Unformatted Trip Summary'!G1060</f>
        <v>7.9537356617999997</v>
      </c>
      <c r="H1062" s="1">
        <f>'Unformatted Trip Summary'!H1060</f>
        <v>0.23874952939999999</v>
      </c>
    </row>
    <row r="1063" spans="1:8" x14ac:dyDescent="0.2">
      <c r="A1063" t="str">
        <f>'Unformatted Trip Summary'!A1061</f>
        <v>15 SOUTHLAND</v>
      </c>
      <c r="B1063" t="str">
        <f>'Unformatted Trip Summary'!J1061</f>
        <v>2022/23</v>
      </c>
      <c r="C1063" t="str">
        <f>'Unformatted Trip Summary'!I1061</f>
        <v>Air/Non-Local PT</v>
      </c>
      <c r="D1063">
        <f>'Unformatted Trip Summary'!D1061</f>
        <v>4</v>
      </c>
      <c r="E1063">
        <f>'Unformatted Trip Summary'!E1061</f>
        <v>5</v>
      </c>
      <c r="F1063" s="1">
        <f>'Unformatted Trip Summary'!F1061</f>
        <v>0.15677619179999999</v>
      </c>
      <c r="G1063" s="1">
        <f>'Unformatted Trip Summary'!G1061</f>
        <v>7.5532826714999999</v>
      </c>
      <c r="H1063" s="1">
        <f>'Unformatted Trip Summary'!H1061</f>
        <v>0.25375134700000002</v>
      </c>
    </row>
    <row r="1064" spans="1:8" x14ac:dyDescent="0.2">
      <c r="A1064" t="str">
        <f>'Unformatted Trip Summary'!A1062</f>
        <v>15 SOUTHLAND</v>
      </c>
      <c r="B1064" t="str">
        <f>'Unformatted Trip Summary'!J1062</f>
        <v>2027/28</v>
      </c>
      <c r="C1064" t="str">
        <f>'Unformatted Trip Summary'!I1062</f>
        <v>Air/Non-Local PT</v>
      </c>
      <c r="D1064">
        <f>'Unformatted Trip Summary'!D1062</f>
        <v>4</v>
      </c>
      <c r="E1064">
        <f>'Unformatted Trip Summary'!E1062</f>
        <v>5</v>
      </c>
      <c r="F1064" s="1">
        <f>'Unformatted Trip Summary'!F1062</f>
        <v>0.16539187750000001</v>
      </c>
      <c r="G1064" s="1">
        <f>'Unformatted Trip Summary'!G1062</f>
        <v>7.1592903596999999</v>
      </c>
      <c r="H1064" s="1">
        <f>'Unformatted Trip Summary'!H1062</f>
        <v>0.26213899699999998</v>
      </c>
    </row>
    <row r="1065" spans="1:8" x14ac:dyDescent="0.2">
      <c r="A1065" t="str">
        <f>'Unformatted Trip Summary'!A1063</f>
        <v>15 SOUTHLAND</v>
      </c>
      <c r="B1065" t="str">
        <f>'Unformatted Trip Summary'!J1063</f>
        <v>2032/33</v>
      </c>
      <c r="C1065" t="str">
        <f>'Unformatted Trip Summary'!I1063</f>
        <v>Air/Non-Local PT</v>
      </c>
      <c r="D1065">
        <f>'Unformatted Trip Summary'!D1063</f>
        <v>4</v>
      </c>
      <c r="E1065">
        <f>'Unformatted Trip Summary'!E1063</f>
        <v>5</v>
      </c>
      <c r="F1065" s="1">
        <f>'Unformatted Trip Summary'!F1063</f>
        <v>0.1686089238</v>
      </c>
      <c r="G1065" s="1">
        <f>'Unformatted Trip Summary'!G1063</f>
        <v>7.4124135838000003</v>
      </c>
      <c r="H1065" s="1">
        <f>'Unformatted Trip Summary'!H1063</f>
        <v>0.2683091313</v>
      </c>
    </row>
    <row r="1066" spans="1:8" x14ac:dyDescent="0.2">
      <c r="A1066" t="str">
        <f>'Unformatted Trip Summary'!A1064</f>
        <v>15 SOUTHLAND</v>
      </c>
      <c r="B1066" t="str">
        <f>'Unformatted Trip Summary'!J1064</f>
        <v>2037/38</v>
      </c>
      <c r="C1066" t="str">
        <f>'Unformatted Trip Summary'!I1064</f>
        <v>Air/Non-Local PT</v>
      </c>
      <c r="D1066">
        <f>'Unformatted Trip Summary'!D1064</f>
        <v>4</v>
      </c>
      <c r="E1066">
        <f>'Unformatted Trip Summary'!E1064</f>
        <v>5</v>
      </c>
      <c r="F1066" s="1">
        <f>'Unformatted Trip Summary'!F1064</f>
        <v>0.172897826</v>
      </c>
      <c r="G1066" s="1">
        <f>'Unformatted Trip Summary'!G1064</f>
        <v>7.6657910706000001</v>
      </c>
      <c r="H1066" s="1">
        <f>'Unformatted Trip Summary'!H1064</f>
        <v>0.27744513859999997</v>
      </c>
    </row>
    <row r="1067" spans="1:8" x14ac:dyDescent="0.2">
      <c r="A1067" t="str">
        <f>'Unformatted Trip Summary'!A1065</f>
        <v>15 SOUTHLAND</v>
      </c>
      <c r="B1067" t="str">
        <f>'Unformatted Trip Summary'!J1065</f>
        <v>2042/43</v>
      </c>
      <c r="C1067" t="str">
        <f>'Unformatted Trip Summary'!I1065</f>
        <v>Air/Non-Local PT</v>
      </c>
      <c r="D1067">
        <f>'Unformatted Trip Summary'!D1065</f>
        <v>4</v>
      </c>
      <c r="E1067">
        <f>'Unformatted Trip Summary'!E1065</f>
        <v>5</v>
      </c>
      <c r="F1067" s="1">
        <f>'Unformatted Trip Summary'!F1065</f>
        <v>0.17662499810000001</v>
      </c>
      <c r="G1067" s="1">
        <f>'Unformatted Trip Summary'!G1065</f>
        <v>7.8754399894000002</v>
      </c>
      <c r="H1067" s="1">
        <f>'Unformatted Trip Summary'!H1065</f>
        <v>0.28544015740000001</v>
      </c>
    </row>
    <row r="1068" spans="1:8" x14ac:dyDescent="0.2">
      <c r="A1068" t="str">
        <f>'Unformatted Trip Summary'!A1066</f>
        <v>15 SOUTHLAND</v>
      </c>
      <c r="B1068" t="str">
        <f>'Unformatted Trip Summary'!J1066</f>
        <v>2012/13</v>
      </c>
      <c r="C1068" t="str">
        <f>'Unformatted Trip Summary'!I1066</f>
        <v>Non-Household Travel</v>
      </c>
      <c r="D1068">
        <f>'Unformatted Trip Summary'!D1066</f>
        <v>3</v>
      </c>
      <c r="E1068">
        <f>'Unformatted Trip Summary'!E1066</f>
        <v>9</v>
      </c>
      <c r="F1068" s="1">
        <f>'Unformatted Trip Summary'!F1066</f>
        <v>0.1918163457</v>
      </c>
      <c r="G1068" s="1">
        <f>'Unformatted Trip Summary'!G1066</f>
        <v>7.2518167408999998</v>
      </c>
      <c r="H1068" s="1">
        <f>'Unformatted Trip Summary'!H1066</f>
        <v>0.26579174360000002</v>
      </c>
    </row>
    <row r="1069" spans="1:8" x14ac:dyDescent="0.2">
      <c r="A1069" t="str">
        <f>'Unformatted Trip Summary'!A1067</f>
        <v>15 SOUTHLAND</v>
      </c>
      <c r="B1069" t="str">
        <f>'Unformatted Trip Summary'!J1067</f>
        <v>2017/18</v>
      </c>
      <c r="C1069" t="str">
        <f>'Unformatted Trip Summary'!I1067</f>
        <v>Non-Household Travel</v>
      </c>
      <c r="D1069">
        <f>'Unformatted Trip Summary'!D1067</f>
        <v>3</v>
      </c>
      <c r="E1069">
        <f>'Unformatted Trip Summary'!E1067</f>
        <v>9</v>
      </c>
      <c r="F1069" s="1">
        <f>'Unformatted Trip Summary'!F1067</f>
        <v>0.20441820290000001</v>
      </c>
      <c r="G1069" s="1">
        <f>'Unformatted Trip Summary'!G1067</f>
        <v>8.7413470288999999</v>
      </c>
      <c r="H1069" s="1">
        <f>'Unformatted Trip Summary'!H1067</f>
        <v>0.36361138749999999</v>
      </c>
    </row>
    <row r="1070" spans="1:8" x14ac:dyDescent="0.2">
      <c r="A1070" t="str">
        <f>'Unformatted Trip Summary'!A1068</f>
        <v>15 SOUTHLAND</v>
      </c>
      <c r="B1070" t="str">
        <f>'Unformatted Trip Summary'!J1068</f>
        <v>2022/23</v>
      </c>
      <c r="C1070" t="str">
        <f>'Unformatted Trip Summary'!I1068</f>
        <v>Non-Household Travel</v>
      </c>
      <c r="D1070">
        <f>'Unformatted Trip Summary'!D1068</f>
        <v>3</v>
      </c>
      <c r="E1070">
        <f>'Unformatted Trip Summary'!E1068</f>
        <v>9</v>
      </c>
      <c r="F1070" s="1">
        <f>'Unformatted Trip Summary'!F1068</f>
        <v>0.2214977413</v>
      </c>
      <c r="G1070" s="1">
        <f>'Unformatted Trip Summary'!G1068</f>
        <v>10.043582462</v>
      </c>
      <c r="H1070" s="1">
        <f>'Unformatted Trip Summary'!H1068</f>
        <v>0.43041552080000001</v>
      </c>
    </row>
    <row r="1071" spans="1:8" x14ac:dyDescent="0.2">
      <c r="A1071" t="str">
        <f>'Unformatted Trip Summary'!A1069</f>
        <v>15 SOUTHLAND</v>
      </c>
      <c r="B1071" t="str">
        <f>'Unformatted Trip Summary'!J1069</f>
        <v>2027/28</v>
      </c>
      <c r="C1071" t="str">
        <f>'Unformatted Trip Summary'!I1069</f>
        <v>Non-Household Travel</v>
      </c>
      <c r="D1071">
        <f>'Unformatted Trip Summary'!D1069</f>
        <v>3</v>
      </c>
      <c r="E1071">
        <f>'Unformatted Trip Summary'!E1069</f>
        <v>9</v>
      </c>
      <c r="F1071" s="1">
        <f>'Unformatted Trip Summary'!F1069</f>
        <v>0.25093940460000003</v>
      </c>
      <c r="G1071" s="1">
        <f>'Unformatted Trip Summary'!G1069</f>
        <v>11.176968197000001</v>
      </c>
      <c r="H1071" s="1">
        <f>'Unformatted Trip Summary'!H1069</f>
        <v>0.4569077641</v>
      </c>
    </row>
    <row r="1072" spans="1:8" x14ac:dyDescent="0.2">
      <c r="A1072" t="str">
        <f>'Unformatted Trip Summary'!A1070</f>
        <v>15 SOUTHLAND</v>
      </c>
      <c r="B1072" t="str">
        <f>'Unformatted Trip Summary'!J1070</f>
        <v>2032/33</v>
      </c>
      <c r="C1072" t="str">
        <f>'Unformatted Trip Summary'!I1070</f>
        <v>Non-Household Travel</v>
      </c>
      <c r="D1072">
        <f>'Unformatted Trip Summary'!D1070</f>
        <v>3</v>
      </c>
      <c r="E1072">
        <f>'Unformatted Trip Summary'!E1070</f>
        <v>9</v>
      </c>
      <c r="F1072" s="1">
        <f>'Unformatted Trip Summary'!F1070</f>
        <v>0.2632957299</v>
      </c>
      <c r="G1072" s="1">
        <f>'Unformatted Trip Summary'!G1070</f>
        <v>11.91173291</v>
      </c>
      <c r="H1072" s="1">
        <f>'Unformatted Trip Summary'!H1070</f>
        <v>0.48372607620000002</v>
      </c>
    </row>
    <row r="1073" spans="1:8" x14ac:dyDescent="0.2">
      <c r="A1073" t="str">
        <f>'Unformatted Trip Summary'!A1071</f>
        <v>15 SOUTHLAND</v>
      </c>
      <c r="B1073" t="str">
        <f>'Unformatted Trip Summary'!J1071</f>
        <v>2037/38</v>
      </c>
      <c r="C1073" t="str">
        <f>'Unformatted Trip Summary'!I1071</f>
        <v>Non-Household Travel</v>
      </c>
      <c r="D1073">
        <f>'Unformatted Trip Summary'!D1071</f>
        <v>3</v>
      </c>
      <c r="E1073">
        <f>'Unformatted Trip Summary'!E1071</f>
        <v>9</v>
      </c>
      <c r="F1073" s="1">
        <f>'Unformatted Trip Summary'!F1071</f>
        <v>0.25898429789999999</v>
      </c>
      <c r="G1073" s="1">
        <f>'Unformatted Trip Summary'!G1071</f>
        <v>12.245507793</v>
      </c>
      <c r="H1073" s="1">
        <f>'Unformatted Trip Summary'!H1071</f>
        <v>0.52134506979999995</v>
      </c>
    </row>
    <row r="1074" spans="1:8" x14ac:dyDescent="0.2">
      <c r="A1074" t="str">
        <f>'Unformatted Trip Summary'!A1072</f>
        <v>15 SOUTHLAND</v>
      </c>
      <c r="B1074" t="str">
        <f>'Unformatted Trip Summary'!J1072</f>
        <v>2042/43</v>
      </c>
      <c r="C1074" t="str">
        <f>'Unformatted Trip Summary'!I1072</f>
        <v>Non-Household Travel</v>
      </c>
      <c r="D1074">
        <f>'Unformatted Trip Summary'!D1072</f>
        <v>3</v>
      </c>
      <c r="E1074">
        <f>'Unformatted Trip Summary'!E1072</f>
        <v>9</v>
      </c>
      <c r="F1074" s="1">
        <f>'Unformatted Trip Summary'!F1072</f>
        <v>0.25219247779999998</v>
      </c>
      <c r="G1074" s="1">
        <f>'Unformatted Trip Summary'!G1072</f>
        <v>12.53051028</v>
      </c>
      <c r="H1074" s="1">
        <f>'Unformatted Trip Summary'!H1072</f>
        <v>0.56036564119999999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1072"/>
  <sheetViews>
    <sheetView topLeftCell="A530" workbookViewId="0">
      <selection activeCell="R1047" sqref="R1047"/>
    </sheetView>
  </sheetViews>
  <sheetFormatPr defaultRowHeight="12.75" x14ac:dyDescent="0.2"/>
  <cols>
    <col min="1" max="1" width="24.140625" customWidth="1"/>
  </cols>
  <sheetData>
    <row r="1" spans="1:10" x14ac:dyDescent="0.2">
      <c r="A1" t="str">
        <f>[5]trip_summary_region!A1</f>
        <v>region_NS</v>
      </c>
      <c r="B1" t="str">
        <f>[5]trip_summary_region!B1</f>
        <v>outmode</v>
      </c>
      <c r="C1" t="str">
        <f>[5]trip_summary_region!C1</f>
        <v>Year</v>
      </c>
      <c r="D1" t="str">
        <f>[5]trip_summary_region!D1</f>
        <v>sampeopler</v>
      </c>
      <c r="E1" t="str">
        <f>[5]trip_summary_region!E1</f>
        <v>samcountr</v>
      </c>
      <c r="F1" t="str">
        <f>[5]trip_summary_region!F1</f>
        <v>tottripr</v>
      </c>
      <c r="G1" t="str">
        <f>[5]trip_summary_region!G1</f>
        <v>totdistr</v>
      </c>
      <c r="H1" t="str">
        <f>[5]trip_summary_region!H1</f>
        <v>totdurationr</v>
      </c>
      <c r="I1" t="str">
        <f>[5]trip_summary_region!I1</f>
        <v>modename</v>
      </c>
      <c r="J1" t="str">
        <f>[5]trip_summary_region!J1</f>
        <v>yearname</v>
      </c>
    </row>
    <row r="2" spans="1:10" x14ac:dyDescent="0.2">
      <c r="A2" t="str">
        <f>[5]trip_summary_region!A2</f>
        <v>01 NORTHLAND</v>
      </c>
      <c r="B2">
        <f>[5]trip_summary_region!B2</f>
        <v>0</v>
      </c>
      <c r="C2">
        <f>[5]trip_summary_region!C2</f>
        <v>2013</v>
      </c>
      <c r="D2">
        <f>[5]trip_summary_region!D2</f>
        <v>259</v>
      </c>
      <c r="E2">
        <f>[5]trip_summary_region!E2</f>
        <v>844</v>
      </c>
      <c r="F2">
        <f>[5]trip_summary_region!F2</f>
        <v>23.706864376999999</v>
      </c>
      <c r="G2">
        <f>[5]trip_summary_region!G2</f>
        <v>17.849116999</v>
      </c>
      <c r="H2">
        <f>[5]trip_summary_region!H2</f>
        <v>5.0772161771000004</v>
      </c>
      <c r="I2" t="str">
        <f>[5]trip_summary_region!I2</f>
        <v>Pedestrian</v>
      </c>
      <c r="J2" t="str">
        <f>[5]trip_summary_region!J2</f>
        <v>2012/13</v>
      </c>
    </row>
    <row r="3" spans="1:10" x14ac:dyDescent="0.2">
      <c r="A3" t="str">
        <f>[5]trip_summary_region!A3</f>
        <v>01 NORTHLAND</v>
      </c>
      <c r="B3">
        <f>[5]trip_summary_region!B3</f>
        <v>0</v>
      </c>
      <c r="C3">
        <f>[5]trip_summary_region!C3</f>
        <v>2018</v>
      </c>
      <c r="D3">
        <f>[5]trip_summary_region!D3</f>
        <v>259</v>
      </c>
      <c r="E3">
        <f>[5]trip_summary_region!E3</f>
        <v>844</v>
      </c>
      <c r="F3">
        <f>[5]trip_summary_region!F3</f>
        <v>23.970887657999999</v>
      </c>
      <c r="G3">
        <f>[5]trip_summary_region!G3</f>
        <v>17.893276409999999</v>
      </c>
      <c r="H3">
        <f>[5]trip_summary_region!H3</f>
        <v>5.0946513753999998</v>
      </c>
      <c r="I3" t="str">
        <f>[5]trip_summary_region!I3</f>
        <v>Pedestrian</v>
      </c>
      <c r="J3" t="str">
        <f>[5]trip_summary_region!J3</f>
        <v>2017/18</v>
      </c>
    </row>
    <row r="4" spans="1:10" x14ac:dyDescent="0.2">
      <c r="A4" t="str">
        <f>[5]trip_summary_region!A4</f>
        <v>01 NORTHLAND</v>
      </c>
      <c r="B4">
        <f>[5]trip_summary_region!B4</f>
        <v>0</v>
      </c>
      <c r="C4">
        <f>[5]trip_summary_region!C4</f>
        <v>2023</v>
      </c>
      <c r="D4">
        <f>[5]trip_summary_region!D4</f>
        <v>259</v>
      </c>
      <c r="E4">
        <f>[5]trip_summary_region!E4</f>
        <v>844</v>
      </c>
      <c r="F4">
        <f>[5]trip_summary_region!F4</f>
        <v>24.10029003</v>
      </c>
      <c r="G4">
        <f>[5]trip_summary_region!G4</f>
        <v>17.789791768000001</v>
      </c>
      <c r="H4">
        <f>[5]trip_summary_region!H4</f>
        <v>5.0761204244</v>
      </c>
      <c r="I4" t="str">
        <f>[5]trip_summary_region!I4</f>
        <v>Pedestrian</v>
      </c>
      <c r="J4" t="str">
        <f>[5]trip_summary_region!J4</f>
        <v>2022/23</v>
      </c>
    </row>
    <row r="5" spans="1:10" x14ac:dyDescent="0.2">
      <c r="A5" t="str">
        <f>[5]trip_summary_region!A5</f>
        <v>01 NORTHLAND</v>
      </c>
      <c r="B5">
        <f>[5]trip_summary_region!B5</f>
        <v>0</v>
      </c>
      <c r="C5">
        <f>[5]trip_summary_region!C5</f>
        <v>2028</v>
      </c>
      <c r="D5">
        <f>[5]trip_summary_region!D5</f>
        <v>259</v>
      </c>
      <c r="E5">
        <f>[5]trip_summary_region!E5</f>
        <v>844</v>
      </c>
      <c r="F5">
        <f>[5]trip_summary_region!F5</f>
        <v>24.172939677999999</v>
      </c>
      <c r="G5">
        <f>[5]trip_summary_region!G5</f>
        <v>17.620681860000001</v>
      </c>
      <c r="H5">
        <f>[5]trip_summary_region!H5</f>
        <v>5.0391262564000003</v>
      </c>
      <c r="I5" t="str">
        <f>[5]trip_summary_region!I5</f>
        <v>Pedestrian</v>
      </c>
      <c r="J5" t="str">
        <f>[5]trip_summary_region!J5</f>
        <v>2027/28</v>
      </c>
    </row>
    <row r="6" spans="1:10" x14ac:dyDescent="0.2">
      <c r="A6" t="str">
        <f>[5]trip_summary_region!A6</f>
        <v>01 NORTHLAND</v>
      </c>
      <c r="B6">
        <f>[5]trip_summary_region!B6</f>
        <v>0</v>
      </c>
      <c r="C6">
        <f>[5]trip_summary_region!C6</f>
        <v>2033</v>
      </c>
      <c r="D6">
        <f>[5]trip_summary_region!D6</f>
        <v>259</v>
      </c>
      <c r="E6">
        <f>[5]trip_summary_region!E6</f>
        <v>844</v>
      </c>
      <c r="F6">
        <f>[5]trip_summary_region!F6</f>
        <v>24.020419538999999</v>
      </c>
      <c r="G6">
        <f>[5]trip_summary_region!G6</f>
        <v>17.174556585000001</v>
      </c>
      <c r="H6">
        <f>[5]trip_summary_region!H6</f>
        <v>4.9471620080000003</v>
      </c>
      <c r="I6" t="str">
        <f>[5]trip_summary_region!I6</f>
        <v>Pedestrian</v>
      </c>
      <c r="J6" t="str">
        <f>[5]trip_summary_region!J6</f>
        <v>2032/33</v>
      </c>
    </row>
    <row r="7" spans="1:10" x14ac:dyDescent="0.2">
      <c r="A7" t="str">
        <f>[5]trip_summary_region!A7</f>
        <v>01 NORTHLAND</v>
      </c>
      <c r="B7">
        <f>[5]trip_summary_region!B7</f>
        <v>0</v>
      </c>
      <c r="C7">
        <f>[5]trip_summary_region!C7</f>
        <v>2038</v>
      </c>
      <c r="D7">
        <f>[5]trip_summary_region!D7</f>
        <v>259</v>
      </c>
      <c r="E7">
        <f>[5]trip_summary_region!E7</f>
        <v>844</v>
      </c>
      <c r="F7">
        <f>[5]trip_summary_region!F7</f>
        <v>23.672144577000001</v>
      </c>
      <c r="G7">
        <f>[5]trip_summary_region!G7</f>
        <v>16.511837359000001</v>
      </c>
      <c r="H7">
        <f>[5]trip_summary_region!H7</f>
        <v>4.7965206941999998</v>
      </c>
      <c r="I7" t="str">
        <f>[5]trip_summary_region!I7</f>
        <v>Pedestrian</v>
      </c>
      <c r="J7" t="str">
        <f>[5]trip_summary_region!J7</f>
        <v>2037/38</v>
      </c>
    </row>
    <row r="8" spans="1:10" x14ac:dyDescent="0.2">
      <c r="A8" t="str">
        <f>[5]trip_summary_region!A8</f>
        <v>01 NORTHLAND</v>
      </c>
      <c r="B8">
        <f>[5]trip_summary_region!B8</f>
        <v>0</v>
      </c>
      <c r="C8">
        <f>[5]trip_summary_region!C8</f>
        <v>2043</v>
      </c>
      <c r="D8">
        <f>[5]trip_summary_region!D8</f>
        <v>259</v>
      </c>
      <c r="E8">
        <f>[5]trip_summary_region!E8</f>
        <v>844</v>
      </c>
      <c r="F8">
        <f>[5]trip_summary_region!F8</f>
        <v>23.241684080999999</v>
      </c>
      <c r="G8">
        <f>[5]trip_summary_region!G8</f>
        <v>15.803953069</v>
      </c>
      <c r="H8">
        <f>[5]trip_summary_region!H8</f>
        <v>4.6275790457000001</v>
      </c>
      <c r="I8" t="str">
        <f>[5]trip_summary_region!I8</f>
        <v>Pedestrian</v>
      </c>
      <c r="J8" t="str">
        <f>[5]trip_summary_region!J8</f>
        <v>2042/43</v>
      </c>
    </row>
    <row r="9" spans="1:10" x14ac:dyDescent="0.2">
      <c r="A9" t="str">
        <f>[5]trip_summary_region!A9</f>
        <v>01 NORTHLAND</v>
      </c>
      <c r="B9">
        <f>[5]trip_summary_region!B9</f>
        <v>1</v>
      </c>
      <c r="C9">
        <f>[5]trip_summary_region!C9</f>
        <v>2013</v>
      </c>
      <c r="D9">
        <f>[5]trip_summary_region!D9</f>
        <v>5</v>
      </c>
      <c r="E9">
        <f>[5]trip_summary_region!E9</f>
        <v>19</v>
      </c>
      <c r="F9">
        <f>[5]trip_summary_region!F9</f>
        <v>0.66592947719999995</v>
      </c>
      <c r="G9">
        <f>[5]trip_summary_region!G9</f>
        <v>1.0072239942000001</v>
      </c>
      <c r="H9">
        <f>[5]trip_summary_region!H9</f>
        <v>0.15772883609999999</v>
      </c>
      <c r="I9" t="str">
        <f>[5]trip_summary_region!I9</f>
        <v>Cyclist</v>
      </c>
      <c r="J9" t="str">
        <f>[5]trip_summary_region!J9</f>
        <v>2012/13</v>
      </c>
    </row>
    <row r="10" spans="1:10" x14ac:dyDescent="0.2">
      <c r="A10" t="str">
        <f>[5]trip_summary_region!A10</f>
        <v>01 NORTHLAND</v>
      </c>
      <c r="B10">
        <f>[5]trip_summary_region!B10</f>
        <v>1</v>
      </c>
      <c r="C10">
        <f>[5]trip_summary_region!C10</f>
        <v>2018</v>
      </c>
      <c r="D10">
        <f>[5]trip_summary_region!D10</f>
        <v>5</v>
      </c>
      <c r="E10">
        <f>[5]trip_summary_region!E10</f>
        <v>19</v>
      </c>
      <c r="F10">
        <f>[5]trip_summary_region!F10</f>
        <v>0.62782629590000005</v>
      </c>
      <c r="G10">
        <f>[5]trip_summary_region!G10</f>
        <v>0.96181224119999997</v>
      </c>
      <c r="H10">
        <f>[5]trip_summary_region!H10</f>
        <v>0.15052034310000001</v>
      </c>
      <c r="I10" t="str">
        <f>[5]trip_summary_region!I10</f>
        <v>Cyclist</v>
      </c>
      <c r="J10" t="str">
        <f>[5]trip_summary_region!J10</f>
        <v>2017/18</v>
      </c>
    </row>
    <row r="11" spans="1:10" x14ac:dyDescent="0.2">
      <c r="A11" t="str">
        <f>[5]trip_summary_region!A11</f>
        <v>01 NORTHLAND</v>
      </c>
      <c r="B11">
        <f>[5]trip_summary_region!B11</f>
        <v>1</v>
      </c>
      <c r="C11">
        <f>[5]trip_summary_region!C11</f>
        <v>2023</v>
      </c>
      <c r="D11">
        <f>[5]trip_summary_region!D11</f>
        <v>5</v>
      </c>
      <c r="E11">
        <f>[5]trip_summary_region!E11</f>
        <v>19</v>
      </c>
      <c r="F11">
        <f>[5]trip_summary_region!F11</f>
        <v>0.63954054370000002</v>
      </c>
      <c r="G11">
        <f>[5]trip_summary_region!G11</f>
        <v>0.98944221590000003</v>
      </c>
      <c r="H11">
        <f>[5]trip_summary_region!H11</f>
        <v>0.155084634</v>
      </c>
      <c r="I11" t="str">
        <f>[5]trip_summary_region!I11</f>
        <v>Cyclist</v>
      </c>
      <c r="J11" t="str">
        <f>[5]trip_summary_region!J11</f>
        <v>2022/23</v>
      </c>
    </row>
    <row r="12" spans="1:10" x14ac:dyDescent="0.2">
      <c r="A12" t="str">
        <f>[5]trip_summary_region!A12</f>
        <v>01 NORTHLAND</v>
      </c>
      <c r="B12">
        <f>[5]trip_summary_region!B12</f>
        <v>1</v>
      </c>
      <c r="C12">
        <f>[5]trip_summary_region!C12</f>
        <v>2028</v>
      </c>
      <c r="D12">
        <f>[5]trip_summary_region!D12</f>
        <v>5</v>
      </c>
      <c r="E12">
        <f>[5]trip_summary_region!E12</f>
        <v>19</v>
      </c>
      <c r="F12">
        <f>[5]trip_summary_region!F12</f>
        <v>0.69712976969999996</v>
      </c>
      <c r="G12">
        <f>[5]trip_summary_region!G12</f>
        <v>1.0861071413000001</v>
      </c>
      <c r="H12">
        <f>[5]trip_summary_region!H12</f>
        <v>0.1708649558</v>
      </c>
      <c r="I12" t="str">
        <f>[5]trip_summary_region!I12</f>
        <v>Cyclist</v>
      </c>
      <c r="J12" t="str">
        <f>[5]trip_summary_region!J12</f>
        <v>2027/28</v>
      </c>
    </row>
    <row r="13" spans="1:10" x14ac:dyDescent="0.2">
      <c r="A13" t="str">
        <f>[5]trip_summary_region!A13</f>
        <v>01 NORTHLAND</v>
      </c>
      <c r="B13">
        <f>[5]trip_summary_region!B13</f>
        <v>1</v>
      </c>
      <c r="C13">
        <f>[5]trip_summary_region!C13</f>
        <v>2033</v>
      </c>
      <c r="D13">
        <f>[5]trip_summary_region!D13</f>
        <v>5</v>
      </c>
      <c r="E13">
        <f>[5]trip_summary_region!E13</f>
        <v>19</v>
      </c>
      <c r="F13">
        <f>[5]trip_summary_region!F13</f>
        <v>0.73747974510000003</v>
      </c>
      <c r="G13">
        <f>[5]trip_summary_region!G13</f>
        <v>1.1556714961000001</v>
      </c>
      <c r="H13">
        <f>[5]trip_summary_region!H13</f>
        <v>0.1822572298</v>
      </c>
      <c r="I13" t="str">
        <f>[5]trip_summary_region!I13</f>
        <v>Cyclist</v>
      </c>
      <c r="J13" t="str">
        <f>[5]trip_summary_region!J13</f>
        <v>2032/33</v>
      </c>
    </row>
    <row r="14" spans="1:10" x14ac:dyDescent="0.2">
      <c r="A14" t="str">
        <f>[5]trip_summary_region!A14</f>
        <v>01 NORTHLAND</v>
      </c>
      <c r="B14">
        <f>[5]trip_summary_region!B14</f>
        <v>1</v>
      </c>
      <c r="C14">
        <f>[5]trip_summary_region!C14</f>
        <v>2038</v>
      </c>
      <c r="D14">
        <f>[5]trip_summary_region!D14</f>
        <v>5</v>
      </c>
      <c r="E14">
        <f>[5]trip_summary_region!E14</f>
        <v>19</v>
      </c>
      <c r="F14">
        <f>[5]trip_summary_region!F14</f>
        <v>0.70571996059999997</v>
      </c>
      <c r="G14">
        <f>[5]trip_summary_region!G14</f>
        <v>1.1116373831999999</v>
      </c>
      <c r="H14">
        <f>[5]trip_summary_region!H14</f>
        <v>0.1752808652</v>
      </c>
      <c r="I14" t="str">
        <f>[5]trip_summary_region!I14</f>
        <v>Cyclist</v>
      </c>
      <c r="J14" t="str">
        <f>[5]trip_summary_region!J14</f>
        <v>2037/38</v>
      </c>
    </row>
    <row r="15" spans="1:10" x14ac:dyDescent="0.2">
      <c r="A15" t="str">
        <f>[5]trip_summary_region!A15</f>
        <v>01 NORTHLAND</v>
      </c>
      <c r="B15">
        <f>[5]trip_summary_region!B15</f>
        <v>1</v>
      </c>
      <c r="C15">
        <f>[5]trip_summary_region!C15</f>
        <v>2043</v>
      </c>
      <c r="D15">
        <f>[5]trip_summary_region!D15</f>
        <v>5</v>
      </c>
      <c r="E15">
        <f>[5]trip_summary_region!E15</f>
        <v>19</v>
      </c>
      <c r="F15">
        <f>[5]trip_summary_region!F15</f>
        <v>0.67545288780000001</v>
      </c>
      <c r="G15">
        <f>[5]trip_summary_region!G15</f>
        <v>1.0694312686</v>
      </c>
      <c r="H15">
        <f>[5]trip_summary_region!H15</f>
        <v>0.1686313294</v>
      </c>
      <c r="I15" t="str">
        <f>[5]trip_summary_region!I15</f>
        <v>Cyclist</v>
      </c>
      <c r="J15" t="str">
        <f>[5]trip_summary_region!J15</f>
        <v>2042/43</v>
      </c>
    </row>
    <row r="16" spans="1:10" x14ac:dyDescent="0.2">
      <c r="A16" t="str">
        <f>[5]trip_summary_region!A16</f>
        <v>01 NORTHLAND</v>
      </c>
      <c r="B16">
        <f>[5]trip_summary_region!B16</f>
        <v>2</v>
      </c>
      <c r="C16">
        <f>[5]trip_summary_region!C16</f>
        <v>2013</v>
      </c>
      <c r="D16">
        <f>[5]trip_summary_region!D16</f>
        <v>476</v>
      </c>
      <c r="E16">
        <f>[5]trip_summary_region!E16</f>
        <v>2980</v>
      </c>
      <c r="F16">
        <f>[5]trip_summary_region!F16</f>
        <v>86.333691700000003</v>
      </c>
      <c r="G16">
        <f>[5]trip_summary_region!G16</f>
        <v>1011.4273062</v>
      </c>
      <c r="H16">
        <f>[5]trip_summary_region!H16</f>
        <v>23.421840091</v>
      </c>
      <c r="I16" t="str">
        <f>[5]trip_summary_region!I16</f>
        <v>Light Vehicle Driver</v>
      </c>
      <c r="J16" t="str">
        <f>[5]trip_summary_region!J16</f>
        <v>2012/13</v>
      </c>
    </row>
    <row r="17" spans="1:10" x14ac:dyDescent="0.2">
      <c r="A17" t="str">
        <f>[5]trip_summary_region!A17</f>
        <v>01 NORTHLAND</v>
      </c>
      <c r="B17">
        <f>[5]trip_summary_region!B17</f>
        <v>2</v>
      </c>
      <c r="C17">
        <f>[5]trip_summary_region!C17</f>
        <v>2018</v>
      </c>
      <c r="D17">
        <f>[5]trip_summary_region!D17</f>
        <v>476</v>
      </c>
      <c r="E17">
        <f>[5]trip_summary_region!E17</f>
        <v>2980</v>
      </c>
      <c r="F17">
        <f>[5]trip_summary_region!F17</f>
        <v>90.221737192000006</v>
      </c>
      <c r="G17">
        <f>[5]trip_summary_region!G17</f>
        <v>1067.1095683000001</v>
      </c>
      <c r="H17">
        <f>[5]trip_summary_region!H17</f>
        <v>24.672311249</v>
      </c>
      <c r="I17" t="str">
        <f>[5]trip_summary_region!I17</f>
        <v>Light Vehicle Driver</v>
      </c>
      <c r="J17" t="str">
        <f>[5]trip_summary_region!J17</f>
        <v>2017/18</v>
      </c>
    </row>
    <row r="18" spans="1:10" x14ac:dyDescent="0.2">
      <c r="A18" t="str">
        <f>[5]trip_summary_region!A18</f>
        <v>01 NORTHLAND</v>
      </c>
      <c r="B18">
        <f>[5]trip_summary_region!B18</f>
        <v>2</v>
      </c>
      <c r="C18">
        <f>[5]trip_summary_region!C18</f>
        <v>2023</v>
      </c>
      <c r="D18">
        <f>[5]trip_summary_region!D18</f>
        <v>476</v>
      </c>
      <c r="E18">
        <f>[5]trip_summary_region!E18</f>
        <v>2980</v>
      </c>
      <c r="F18">
        <f>[5]trip_summary_region!F18</f>
        <v>92.692112644000005</v>
      </c>
      <c r="G18">
        <f>[5]trip_summary_region!G18</f>
        <v>1099.1518424000001</v>
      </c>
      <c r="H18">
        <f>[5]trip_summary_region!H18</f>
        <v>25.369317467999998</v>
      </c>
      <c r="I18" t="str">
        <f>[5]trip_summary_region!I18</f>
        <v>Light Vehicle Driver</v>
      </c>
      <c r="J18" t="str">
        <f>[5]trip_summary_region!J18</f>
        <v>2022/23</v>
      </c>
    </row>
    <row r="19" spans="1:10" x14ac:dyDescent="0.2">
      <c r="A19" t="str">
        <f>[5]trip_summary_region!A19</f>
        <v>01 NORTHLAND</v>
      </c>
      <c r="B19">
        <f>[5]trip_summary_region!B19</f>
        <v>2</v>
      </c>
      <c r="C19">
        <f>[5]trip_summary_region!C19</f>
        <v>2028</v>
      </c>
      <c r="D19">
        <f>[5]trip_summary_region!D19</f>
        <v>476</v>
      </c>
      <c r="E19">
        <f>[5]trip_summary_region!E19</f>
        <v>2980</v>
      </c>
      <c r="F19">
        <f>[5]trip_summary_region!F19</f>
        <v>94.96122767</v>
      </c>
      <c r="G19">
        <f>[5]trip_summary_region!G19</f>
        <v>1122.4274077</v>
      </c>
      <c r="H19">
        <f>[5]trip_summary_region!H19</f>
        <v>25.880495067999998</v>
      </c>
      <c r="I19" t="str">
        <f>[5]trip_summary_region!I19</f>
        <v>Light Vehicle Driver</v>
      </c>
      <c r="J19" t="str">
        <f>[5]trip_summary_region!J19</f>
        <v>2027/28</v>
      </c>
    </row>
    <row r="20" spans="1:10" x14ac:dyDescent="0.2">
      <c r="A20" t="str">
        <f>[5]trip_summary_region!A20</f>
        <v>01 NORTHLAND</v>
      </c>
      <c r="B20">
        <f>[5]trip_summary_region!B20</f>
        <v>2</v>
      </c>
      <c r="C20">
        <f>[5]trip_summary_region!C20</f>
        <v>2033</v>
      </c>
      <c r="D20">
        <f>[5]trip_summary_region!D20</f>
        <v>476</v>
      </c>
      <c r="E20">
        <f>[5]trip_summary_region!E20</f>
        <v>2980</v>
      </c>
      <c r="F20">
        <f>[5]trip_summary_region!F20</f>
        <v>96.822437593000004</v>
      </c>
      <c r="G20">
        <f>[5]trip_summary_region!G20</f>
        <v>1145.495441</v>
      </c>
      <c r="H20">
        <f>[5]trip_summary_region!H20</f>
        <v>26.431842197999998</v>
      </c>
      <c r="I20" t="str">
        <f>[5]trip_summary_region!I20</f>
        <v>Light Vehicle Driver</v>
      </c>
      <c r="J20" t="str">
        <f>[5]trip_summary_region!J20</f>
        <v>2032/33</v>
      </c>
    </row>
    <row r="21" spans="1:10" x14ac:dyDescent="0.2">
      <c r="A21" t="str">
        <f>[5]trip_summary_region!A21</f>
        <v>01 NORTHLAND</v>
      </c>
      <c r="B21">
        <f>[5]trip_summary_region!B21</f>
        <v>2</v>
      </c>
      <c r="C21">
        <f>[5]trip_summary_region!C21</f>
        <v>2038</v>
      </c>
      <c r="D21">
        <f>[5]trip_summary_region!D21</f>
        <v>476</v>
      </c>
      <c r="E21">
        <f>[5]trip_summary_region!E21</f>
        <v>2980</v>
      </c>
      <c r="F21">
        <f>[5]trip_summary_region!F21</f>
        <v>96.901019869999999</v>
      </c>
      <c r="G21">
        <f>[5]trip_summary_region!G21</f>
        <v>1153.9508355</v>
      </c>
      <c r="H21">
        <f>[5]trip_summary_region!H21</f>
        <v>26.658698159</v>
      </c>
      <c r="I21" t="str">
        <f>[5]trip_summary_region!I21</f>
        <v>Light Vehicle Driver</v>
      </c>
      <c r="J21" t="str">
        <f>[5]trip_summary_region!J21</f>
        <v>2037/38</v>
      </c>
    </row>
    <row r="22" spans="1:10" x14ac:dyDescent="0.2">
      <c r="A22" t="str">
        <f>[5]trip_summary_region!A22</f>
        <v>01 NORTHLAND</v>
      </c>
      <c r="B22">
        <f>[5]trip_summary_region!B22</f>
        <v>2</v>
      </c>
      <c r="C22">
        <f>[5]trip_summary_region!C22</f>
        <v>2043</v>
      </c>
      <c r="D22">
        <f>[5]trip_summary_region!D22</f>
        <v>476</v>
      </c>
      <c r="E22">
        <f>[5]trip_summary_region!E22</f>
        <v>2980</v>
      </c>
      <c r="F22">
        <f>[5]trip_summary_region!F22</f>
        <v>96.743108832999994</v>
      </c>
      <c r="G22">
        <f>[5]trip_summary_region!G22</f>
        <v>1158.8991278000001</v>
      </c>
      <c r="H22">
        <f>[5]trip_summary_region!H22</f>
        <v>26.791861561000001</v>
      </c>
      <c r="I22" t="str">
        <f>[5]trip_summary_region!I22</f>
        <v>Light Vehicle Driver</v>
      </c>
      <c r="J22" t="str">
        <f>[5]trip_summary_region!J22</f>
        <v>2042/43</v>
      </c>
    </row>
    <row r="23" spans="1:10" x14ac:dyDescent="0.2">
      <c r="A23" t="str">
        <f>[5]trip_summary_region!A23</f>
        <v>01 NORTHLAND</v>
      </c>
      <c r="B23">
        <f>[5]trip_summary_region!B23</f>
        <v>3</v>
      </c>
      <c r="C23">
        <f>[5]trip_summary_region!C23</f>
        <v>2013</v>
      </c>
      <c r="D23">
        <f>[5]trip_summary_region!D23</f>
        <v>380</v>
      </c>
      <c r="E23">
        <f>[5]trip_summary_region!E23</f>
        <v>1743</v>
      </c>
      <c r="F23">
        <f>[5]trip_summary_region!F23</f>
        <v>50.299563868</v>
      </c>
      <c r="G23">
        <f>[5]trip_summary_region!G23</f>
        <v>666.23785996000004</v>
      </c>
      <c r="H23">
        <f>[5]trip_summary_region!H23</f>
        <v>15.174949781</v>
      </c>
      <c r="I23" t="str">
        <f>[5]trip_summary_region!I23</f>
        <v>Light Vehicle Passenger</v>
      </c>
      <c r="J23" t="str">
        <f>[5]trip_summary_region!J23</f>
        <v>2012/13</v>
      </c>
    </row>
    <row r="24" spans="1:10" x14ac:dyDescent="0.2">
      <c r="A24" t="str">
        <f>[5]trip_summary_region!A24</f>
        <v>01 NORTHLAND</v>
      </c>
      <c r="B24">
        <f>[5]trip_summary_region!B24</f>
        <v>3</v>
      </c>
      <c r="C24">
        <f>[5]trip_summary_region!C24</f>
        <v>2018</v>
      </c>
      <c r="D24">
        <f>[5]trip_summary_region!D24</f>
        <v>380</v>
      </c>
      <c r="E24">
        <f>[5]trip_summary_region!E24</f>
        <v>1743</v>
      </c>
      <c r="F24">
        <f>[5]trip_summary_region!F24</f>
        <v>49.499323594000003</v>
      </c>
      <c r="G24">
        <f>[5]trip_summary_region!G24</f>
        <v>669.37315689000002</v>
      </c>
      <c r="H24">
        <f>[5]trip_summary_region!H24</f>
        <v>15.168946496</v>
      </c>
      <c r="I24" t="str">
        <f>[5]trip_summary_region!I24</f>
        <v>Light Vehicle Passenger</v>
      </c>
      <c r="J24" t="str">
        <f>[5]trip_summary_region!J24</f>
        <v>2017/18</v>
      </c>
    </row>
    <row r="25" spans="1:10" x14ac:dyDescent="0.2">
      <c r="A25" t="str">
        <f>[5]trip_summary_region!A25</f>
        <v>01 NORTHLAND</v>
      </c>
      <c r="B25">
        <f>[5]trip_summary_region!B25</f>
        <v>3</v>
      </c>
      <c r="C25">
        <f>[5]trip_summary_region!C25</f>
        <v>2023</v>
      </c>
      <c r="D25">
        <f>[5]trip_summary_region!D25</f>
        <v>380</v>
      </c>
      <c r="E25">
        <f>[5]trip_summary_region!E25</f>
        <v>1743</v>
      </c>
      <c r="F25">
        <f>[5]trip_summary_region!F25</f>
        <v>48.743917867999997</v>
      </c>
      <c r="G25">
        <f>[5]trip_summary_region!G25</f>
        <v>668.54005863999998</v>
      </c>
      <c r="H25">
        <f>[5]trip_summary_region!H25</f>
        <v>15.078358792</v>
      </c>
      <c r="I25" t="str">
        <f>[5]trip_summary_region!I25</f>
        <v>Light Vehicle Passenger</v>
      </c>
      <c r="J25" t="str">
        <f>[5]trip_summary_region!J25</f>
        <v>2022/23</v>
      </c>
    </row>
    <row r="26" spans="1:10" x14ac:dyDescent="0.2">
      <c r="A26" t="str">
        <f>[5]trip_summary_region!A26</f>
        <v>01 NORTHLAND</v>
      </c>
      <c r="B26">
        <f>[5]trip_summary_region!B26</f>
        <v>3</v>
      </c>
      <c r="C26">
        <f>[5]trip_summary_region!C26</f>
        <v>2028</v>
      </c>
      <c r="D26">
        <f>[5]trip_summary_region!D26</f>
        <v>380</v>
      </c>
      <c r="E26">
        <f>[5]trip_summary_region!E26</f>
        <v>1743</v>
      </c>
      <c r="F26">
        <f>[5]trip_summary_region!F26</f>
        <v>48.34817357</v>
      </c>
      <c r="G26">
        <f>[5]trip_summary_region!G26</f>
        <v>667.91266727000004</v>
      </c>
      <c r="H26">
        <f>[5]trip_summary_region!H26</f>
        <v>15.005755887999999</v>
      </c>
      <c r="I26" t="str">
        <f>[5]trip_summary_region!I26</f>
        <v>Light Vehicle Passenger</v>
      </c>
      <c r="J26" t="str">
        <f>[5]trip_summary_region!J26</f>
        <v>2027/28</v>
      </c>
    </row>
    <row r="27" spans="1:10" x14ac:dyDescent="0.2">
      <c r="A27" t="str">
        <f>[5]trip_summary_region!A27</f>
        <v>01 NORTHLAND</v>
      </c>
      <c r="B27">
        <f>[5]trip_summary_region!B27</f>
        <v>3</v>
      </c>
      <c r="C27">
        <f>[5]trip_summary_region!C27</f>
        <v>2033</v>
      </c>
      <c r="D27">
        <f>[5]trip_summary_region!D27</f>
        <v>380</v>
      </c>
      <c r="E27">
        <f>[5]trip_summary_region!E27</f>
        <v>1743</v>
      </c>
      <c r="F27">
        <f>[5]trip_summary_region!F27</f>
        <v>48.029109013000003</v>
      </c>
      <c r="G27">
        <f>[5]trip_summary_region!G27</f>
        <v>663.21524915999998</v>
      </c>
      <c r="H27">
        <f>[5]trip_summary_region!H27</f>
        <v>14.881975059</v>
      </c>
      <c r="I27" t="str">
        <f>[5]trip_summary_region!I27</f>
        <v>Light Vehicle Passenger</v>
      </c>
      <c r="J27" t="str">
        <f>[5]trip_summary_region!J27</f>
        <v>2032/33</v>
      </c>
    </row>
    <row r="28" spans="1:10" x14ac:dyDescent="0.2">
      <c r="A28" t="str">
        <f>[5]trip_summary_region!A28</f>
        <v>01 NORTHLAND</v>
      </c>
      <c r="B28">
        <f>[5]trip_summary_region!B28</f>
        <v>3</v>
      </c>
      <c r="C28">
        <f>[5]trip_summary_region!C28</f>
        <v>2038</v>
      </c>
      <c r="D28">
        <f>[5]trip_summary_region!D28</f>
        <v>380</v>
      </c>
      <c r="E28">
        <f>[5]trip_summary_region!E28</f>
        <v>1743</v>
      </c>
      <c r="F28">
        <f>[5]trip_summary_region!F28</f>
        <v>47.143100957999998</v>
      </c>
      <c r="G28">
        <f>[5]trip_summary_region!G28</f>
        <v>656.73744303000001</v>
      </c>
      <c r="H28">
        <f>[5]trip_summary_region!H28</f>
        <v>14.682811373</v>
      </c>
      <c r="I28" t="str">
        <f>[5]trip_summary_region!I28</f>
        <v>Light Vehicle Passenger</v>
      </c>
      <c r="J28" t="str">
        <f>[5]trip_summary_region!J28</f>
        <v>2037/38</v>
      </c>
    </row>
    <row r="29" spans="1:10" x14ac:dyDescent="0.2">
      <c r="A29" t="str">
        <f>[5]trip_summary_region!A29</f>
        <v>01 NORTHLAND</v>
      </c>
      <c r="B29">
        <f>[5]trip_summary_region!B29</f>
        <v>3</v>
      </c>
      <c r="C29">
        <f>[5]trip_summary_region!C29</f>
        <v>2043</v>
      </c>
      <c r="D29">
        <f>[5]trip_summary_region!D29</f>
        <v>380</v>
      </c>
      <c r="E29">
        <f>[5]trip_summary_region!E29</f>
        <v>1743</v>
      </c>
      <c r="F29">
        <f>[5]trip_summary_region!F29</f>
        <v>46.091611946</v>
      </c>
      <c r="G29">
        <f>[5]trip_summary_region!G29</f>
        <v>647.77325165000002</v>
      </c>
      <c r="H29">
        <f>[5]trip_summary_region!H29</f>
        <v>14.424277417000001</v>
      </c>
      <c r="I29" t="str">
        <f>[5]trip_summary_region!I29</f>
        <v>Light Vehicle Passenger</v>
      </c>
      <c r="J29" t="str">
        <f>[5]trip_summary_region!J29</f>
        <v>2042/43</v>
      </c>
    </row>
    <row r="30" spans="1:10" x14ac:dyDescent="0.2">
      <c r="A30" t="str">
        <f>[5]trip_summary_region!A30</f>
        <v>01 NORTHLAND</v>
      </c>
      <c r="B30">
        <f>[5]trip_summary_region!B30</f>
        <v>4</v>
      </c>
      <c r="C30">
        <f>[5]trip_summary_region!C30</f>
        <v>2013</v>
      </c>
      <c r="D30">
        <f>[5]trip_summary_region!D30</f>
        <v>4</v>
      </c>
      <c r="E30">
        <f>[5]trip_summary_region!E30</f>
        <v>6</v>
      </c>
      <c r="F30">
        <f>[5]trip_summary_region!F30</f>
        <v>0.18126348840000001</v>
      </c>
      <c r="G30">
        <f>[5]trip_summary_region!G30</f>
        <v>0.75976041549999995</v>
      </c>
      <c r="H30">
        <f>[5]trip_summary_region!H30</f>
        <v>2.5131369800000001E-2</v>
      </c>
      <c r="I30" t="s">
        <v>116</v>
      </c>
      <c r="J30" t="str">
        <f>[5]trip_summary_region!J30</f>
        <v>2012/13</v>
      </c>
    </row>
    <row r="31" spans="1:10" x14ac:dyDescent="0.2">
      <c r="A31" t="str">
        <f>[5]trip_summary_region!A31</f>
        <v>01 NORTHLAND</v>
      </c>
      <c r="B31">
        <f>[5]trip_summary_region!B31</f>
        <v>4</v>
      </c>
      <c r="C31">
        <f>[5]trip_summary_region!C31</f>
        <v>2018</v>
      </c>
      <c r="D31">
        <f>[5]trip_summary_region!D31</f>
        <v>4</v>
      </c>
      <c r="E31">
        <f>[5]trip_summary_region!E31</f>
        <v>6</v>
      </c>
      <c r="F31">
        <f>[5]trip_summary_region!F31</f>
        <v>0.18167838180000001</v>
      </c>
      <c r="G31">
        <f>[5]trip_summary_region!G31</f>
        <v>0.75837951619999999</v>
      </c>
      <c r="H31">
        <f>[5]trip_summary_region!H31</f>
        <v>2.4721541900000001E-2</v>
      </c>
      <c r="I31" t="s">
        <v>116</v>
      </c>
      <c r="J31" t="str">
        <f>[5]trip_summary_region!J31</f>
        <v>2017/18</v>
      </c>
    </row>
    <row r="32" spans="1:10" x14ac:dyDescent="0.2">
      <c r="A32" t="str">
        <f>[5]trip_summary_region!A32</f>
        <v>01 NORTHLAND</v>
      </c>
      <c r="B32">
        <f>[5]trip_summary_region!B32</f>
        <v>4</v>
      </c>
      <c r="C32">
        <f>[5]trip_summary_region!C32</f>
        <v>2023</v>
      </c>
      <c r="D32">
        <f>[5]trip_summary_region!D32</f>
        <v>4</v>
      </c>
      <c r="E32">
        <f>[5]trip_summary_region!E32</f>
        <v>6</v>
      </c>
      <c r="F32">
        <f>[5]trip_summary_region!F32</f>
        <v>0.18490322789999999</v>
      </c>
      <c r="G32">
        <f>[5]trip_summary_region!G32</f>
        <v>0.81707293270000003</v>
      </c>
      <c r="H32">
        <f>[5]trip_summary_region!H32</f>
        <v>2.5513783000000002E-2</v>
      </c>
      <c r="I32" t="s">
        <v>116</v>
      </c>
      <c r="J32" t="str">
        <f>[5]trip_summary_region!J32</f>
        <v>2022/23</v>
      </c>
    </row>
    <row r="33" spans="1:10" x14ac:dyDescent="0.2">
      <c r="A33" t="str">
        <f>[5]trip_summary_region!A33</f>
        <v>01 NORTHLAND</v>
      </c>
      <c r="B33">
        <f>[5]trip_summary_region!B33</f>
        <v>4</v>
      </c>
      <c r="C33">
        <f>[5]trip_summary_region!C33</f>
        <v>2028</v>
      </c>
      <c r="D33">
        <f>[5]trip_summary_region!D33</f>
        <v>4</v>
      </c>
      <c r="E33">
        <f>[5]trip_summary_region!E33</f>
        <v>6</v>
      </c>
      <c r="F33">
        <f>[5]trip_summary_region!F33</f>
        <v>0.20308486889999999</v>
      </c>
      <c r="G33">
        <f>[5]trip_summary_region!G33</f>
        <v>0.94094149719999998</v>
      </c>
      <c r="H33">
        <f>[5]trip_summary_region!H33</f>
        <v>2.8350057299999998E-2</v>
      </c>
      <c r="I33" t="s">
        <v>116</v>
      </c>
      <c r="J33" t="str">
        <f>[5]trip_summary_region!J33</f>
        <v>2027/28</v>
      </c>
    </row>
    <row r="34" spans="1:10" x14ac:dyDescent="0.2">
      <c r="A34" t="str">
        <f>[5]trip_summary_region!A34</f>
        <v>01 NORTHLAND</v>
      </c>
      <c r="B34">
        <f>[5]trip_summary_region!B34</f>
        <v>4</v>
      </c>
      <c r="C34">
        <f>[5]trip_summary_region!C34</f>
        <v>2033</v>
      </c>
      <c r="D34">
        <f>[5]trip_summary_region!D34</f>
        <v>4</v>
      </c>
      <c r="E34">
        <f>[5]trip_summary_region!E34</f>
        <v>6</v>
      </c>
      <c r="F34">
        <f>[5]trip_summary_region!F34</f>
        <v>0.20340569989999999</v>
      </c>
      <c r="G34">
        <f>[5]trip_summary_region!G34</f>
        <v>1.0112024128999999</v>
      </c>
      <c r="H34">
        <f>[5]trip_summary_region!H34</f>
        <v>2.9103981800000001E-2</v>
      </c>
      <c r="I34" t="s">
        <v>116</v>
      </c>
      <c r="J34" t="str">
        <f>[5]trip_summary_region!J34</f>
        <v>2032/33</v>
      </c>
    </row>
    <row r="35" spans="1:10" x14ac:dyDescent="0.2">
      <c r="A35" t="str">
        <f>[5]trip_summary_region!A35</f>
        <v>01 NORTHLAND</v>
      </c>
      <c r="B35">
        <f>[5]trip_summary_region!B35</f>
        <v>4</v>
      </c>
      <c r="C35">
        <f>[5]trip_summary_region!C35</f>
        <v>2038</v>
      </c>
      <c r="D35">
        <f>[5]trip_summary_region!D35</f>
        <v>4</v>
      </c>
      <c r="E35">
        <f>[5]trip_summary_region!E35</f>
        <v>6</v>
      </c>
      <c r="F35">
        <f>[5]trip_summary_region!F35</f>
        <v>0.19971165630000001</v>
      </c>
      <c r="G35">
        <f>[5]trip_summary_region!G35</f>
        <v>0.99464329399999996</v>
      </c>
      <c r="H35">
        <f>[5]trip_summary_region!H35</f>
        <v>2.8325607199999998E-2</v>
      </c>
      <c r="I35" t="s">
        <v>116</v>
      </c>
      <c r="J35" t="str">
        <f>[5]trip_summary_region!J35</f>
        <v>2037/38</v>
      </c>
    </row>
    <row r="36" spans="1:10" x14ac:dyDescent="0.2">
      <c r="A36" t="str">
        <f>[5]trip_summary_region!A36</f>
        <v>01 NORTHLAND</v>
      </c>
      <c r="B36">
        <f>[5]trip_summary_region!B36</f>
        <v>4</v>
      </c>
      <c r="C36">
        <f>[5]trip_summary_region!C36</f>
        <v>2043</v>
      </c>
      <c r="D36">
        <f>[5]trip_summary_region!D36</f>
        <v>4</v>
      </c>
      <c r="E36">
        <f>[5]trip_summary_region!E36</f>
        <v>6</v>
      </c>
      <c r="F36">
        <f>[5]trip_summary_region!F36</f>
        <v>0.1948885715</v>
      </c>
      <c r="G36">
        <f>[5]trip_summary_region!G36</f>
        <v>0.97017303300000002</v>
      </c>
      <c r="H36">
        <f>[5]trip_summary_region!H36</f>
        <v>2.73714938E-2</v>
      </c>
      <c r="I36" t="s">
        <v>116</v>
      </c>
      <c r="J36" t="str">
        <f>[5]trip_summary_region!J36</f>
        <v>2042/43</v>
      </c>
    </row>
    <row r="37" spans="1:10" x14ac:dyDescent="0.2">
      <c r="A37" t="str">
        <f>[5]trip_summary_region!A37</f>
        <v>01 NORTHLAND</v>
      </c>
      <c r="B37">
        <f>[5]trip_summary_region!B37</f>
        <v>5</v>
      </c>
      <c r="C37">
        <f>[5]trip_summary_region!C37</f>
        <v>2013</v>
      </c>
      <c r="D37">
        <f>[5]trip_summary_region!D37</f>
        <v>5</v>
      </c>
      <c r="E37">
        <f>[5]trip_summary_region!E37</f>
        <v>28</v>
      </c>
      <c r="F37">
        <f>[5]trip_summary_region!F37</f>
        <v>1.4141085707000001</v>
      </c>
      <c r="G37">
        <f>[5]trip_summary_region!G37</f>
        <v>9.2423909657000003</v>
      </c>
      <c r="H37">
        <f>[5]trip_summary_region!H37</f>
        <v>0.28382488960000002</v>
      </c>
      <c r="I37" t="str">
        <f>[5]trip_summary_region!I37</f>
        <v>Motorcyclist</v>
      </c>
      <c r="J37" t="str">
        <f>[5]trip_summary_region!J37</f>
        <v>2012/13</v>
      </c>
    </row>
    <row r="38" spans="1:10" x14ac:dyDescent="0.2">
      <c r="A38" t="str">
        <f>[5]trip_summary_region!A38</f>
        <v>01 NORTHLAND</v>
      </c>
      <c r="B38">
        <f>[5]trip_summary_region!B38</f>
        <v>5</v>
      </c>
      <c r="C38">
        <f>[5]trip_summary_region!C38</f>
        <v>2018</v>
      </c>
      <c r="D38">
        <f>[5]trip_summary_region!D38</f>
        <v>5</v>
      </c>
      <c r="E38">
        <f>[5]trip_summary_region!E38</f>
        <v>28</v>
      </c>
      <c r="F38">
        <f>[5]trip_summary_region!F38</f>
        <v>1.4383229858</v>
      </c>
      <c r="G38">
        <f>[5]trip_summary_region!G38</f>
        <v>9.5451597480999997</v>
      </c>
      <c r="H38">
        <f>[5]trip_summary_region!H38</f>
        <v>0.29325990969999999</v>
      </c>
      <c r="I38" t="str">
        <f>[5]trip_summary_region!I38</f>
        <v>Motorcyclist</v>
      </c>
      <c r="J38" t="str">
        <f>[5]trip_summary_region!J38</f>
        <v>2017/18</v>
      </c>
    </row>
    <row r="39" spans="1:10" x14ac:dyDescent="0.2">
      <c r="A39" t="str">
        <f>[5]trip_summary_region!A39</f>
        <v>01 NORTHLAND</v>
      </c>
      <c r="B39">
        <f>[5]trip_summary_region!B39</f>
        <v>5</v>
      </c>
      <c r="C39">
        <f>[5]trip_summary_region!C39</f>
        <v>2023</v>
      </c>
      <c r="D39">
        <f>[5]trip_summary_region!D39</f>
        <v>5</v>
      </c>
      <c r="E39">
        <f>[5]trip_summary_region!E39</f>
        <v>28</v>
      </c>
      <c r="F39">
        <f>[5]trip_summary_region!F39</f>
        <v>1.4003028153999999</v>
      </c>
      <c r="G39">
        <f>[5]trip_summary_region!G39</f>
        <v>9.316756002</v>
      </c>
      <c r="H39">
        <f>[5]trip_summary_region!H39</f>
        <v>0.28770179080000002</v>
      </c>
      <c r="I39" t="str">
        <f>[5]trip_summary_region!I39</f>
        <v>Motorcyclist</v>
      </c>
      <c r="J39" t="str">
        <f>[5]trip_summary_region!J39</f>
        <v>2022/23</v>
      </c>
    </row>
    <row r="40" spans="1:10" x14ac:dyDescent="0.2">
      <c r="A40" t="str">
        <f>[5]trip_summary_region!A40</f>
        <v>01 NORTHLAND</v>
      </c>
      <c r="B40">
        <f>[5]trip_summary_region!B40</f>
        <v>5</v>
      </c>
      <c r="C40">
        <f>[5]trip_summary_region!C40</f>
        <v>2028</v>
      </c>
      <c r="D40">
        <f>[5]trip_summary_region!D40</f>
        <v>5</v>
      </c>
      <c r="E40">
        <f>[5]trip_summary_region!E40</f>
        <v>28</v>
      </c>
      <c r="F40">
        <f>[5]trip_summary_region!F40</f>
        <v>1.2950117792</v>
      </c>
      <c r="G40">
        <f>[5]trip_summary_region!G40</f>
        <v>8.4790525605999996</v>
      </c>
      <c r="H40">
        <f>[5]trip_summary_region!H40</f>
        <v>0.2639958563</v>
      </c>
      <c r="I40" t="str">
        <f>[5]trip_summary_region!I40</f>
        <v>Motorcyclist</v>
      </c>
      <c r="J40" t="str">
        <f>[5]trip_summary_region!J40</f>
        <v>2027/28</v>
      </c>
    </row>
    <row r="41" spans="1:10" x14ac:dyDescent="0.2">
      <c r="A41" t="str">
        <f>[5]trip_summary_region!A41</f>
        <v>01 NORTHLAND</v>
      </c>
      <c r="B41">
        <f>[5]trip_summary_region!B41</f>
        <v>5</v>
      </c>
      <c r="C41">
        <f>[5]trip_summary_region!C41</f>
        <v>2033</v>
      </c>
      <c r="D41">
        <f>[5]trip_summary_region!D41</f>
        <v>5</v>
      </c>
      <c r="E41">
        <f>[5]trip_summary_region!E41</f>
        <v>28</v>
      </c>
      <c r="F41">
        <f>[5]trip_summary_region!F41</f>
        <v>1.2525024091000001</v>
      </c>
      <c r="G41">
        <f>[5]trip_summary_region!G41</f>
        <v>7.9014694030000001</v>
      </c>
      <c r="H41">
        <f>[5]trip_summary_region!H41</f>
        <v>0.2492028966</v>
      </c>
      <c r="I41" t="str">
        <f>[5]trip_summary_region!I41</f>
        <v>Motorcyclist</v>
      </c>
      <c r="J41" t="str">
        <f>[5]trip_summary_region!J41</f>
        <v>2032/33</v>
      </c>
    </row>
    <row r="42" spans="1:10" x14ac:dyDescent="0.2">
      <c r="A42" t="str">
        <f>[5]trip_summary_region!A42</f>
        <v>01 NORTHLAND</v>
      </c>
      <c r="B42">
        <f>[5]trip_summary_region!B42</f>
        <v>5</v>
      </c>
      <c r="C42">
        <f>[5]trip_summary_region!C42</f>
        <v>2038</v>
      </c>
      <c r="D42">
        <f>[5]trip_summary_region!D42</f>
        <v>5</v>
      </c>
      <c r="E42">
        <f>[5]trip_summary_region!E42</f>
        <v>28</v>
      </c>
      <c r="F42">
        <f>[5]trip_summary_region!F42</f>
        <v>1.2572819580000001</v>
      </c>
      <c r="G42">
        <f>[5]trip_summary_region!G42</f>
        <v>7.6014609684999996</v>
      </c>
      <c r="H42">
        <f>[5]trip_summary_region!H42</f>
        <v>0.24316708470000001</v>
      </c>
      <c r="I42" t="str">
        <f>[5]trip_summary_region!I42</f>
        <v>Motorcyclist</v>
      </c>
      <c r="J42" t="str">
        <f>[5]trip_summary_region!J42</f>
        <v>2037/38</v>
      </c>
    </row>
    <row r="43" spans="1:10" x14ac:dyDescent="0.2">
      <c r="A43" t="str">
        <f>[5]trip_summary_region!A43</f>
        <v>01 NORTHLAND</v>
      </c>
      <c r="B43">
        <f>[5]trip_summary_region!B43</f>
        <v>5</v>
      </c>
      <c r="C43">
        <f>[5]trip_summary_region!C43</f>
        <v>2043</v>
      </c>
      <c r="D43">
        <f>[5]trip_summary_region!D43</f>
        <v>5</v>
      </c>
      <c r="E43">
        <f>[5]trip_summary_region!E43</f>
        <v>28</v>
      </c>
      <c r="F43">
        <f>[5]trip_summary_region!F43</f>
        <v>1.2509747849999999</v>
      </c>
      <c r="G43">
        <f>[5]trip_summary_region!G43</f>
        <v>7.2104792200999999</v>
      </c>
      <c r="H43">
        <f>[5]trip_summary_region!H43</f>
        <v>0.2347997094</v>
      </c>
      <c r="I43" t="str">
        <f>[5]trip_summary_region!I43</f>
        <v>Motorcyclist</v>
      </c>
      <c r="J43" t="str">
        <f>[5]trip_summary_region!J43</f>
        <v>2042/43</v>
      </c>
    </row>
    <row r="44" spans="1:10" x14ac:dyDescent="0.2">
      <c r="A44" t="str">
        <f>[5]trip_summary_region!A44</f>
        <v>01 NORTHLAND</v>
      </c>
      <c r="B44">
        <f>[5]trip_summary_region!B44</f>
        <v>7</v>
      </c>
      <c r="C44">
        <f>[5]trip_summary_region!C44</f>
        <v>2013</v>
      </c>
      <c r="D44">
        <f>[5]trip_summary_region!D44</f>
        <v>50</v>
      </c>
      <c r="E44">
        <f>[5]trip_summary_region!E44</f>
        <v>135</v>
      </c>
      <c r="F44">
        <f>[5]trip_summary_region!F44</f>
        <v>3.6339219343</v>
      </c>
      <c r="G44">
        <f>[5]trip_summary_region!G44</f>
        <v>44.734594063999999</v>
      </c>
      <c r="H44">
        <f>[5]trip_summary_region!H44</f>
        <v>1.5691203781</v>
      </c>
      <c r="I44" t="str">
        <f>[5]trip_summary_region!I44</f>
        <v>Local Bus</v>
      </c>
      <c r="J44" t="str">
        <f>[5]trip_summary_region!J44</f>
        <v>2012/13</v>
      </c>
    </row>
    <row r="45" spans="1:10" x14ac:dyDescent="0.2">
      <c r="A45" t="str">
        <f>[5]trip_summary_region!A45</f>
        <v>01 NORTHLAND</v>
      </c>
      <c r="B45">
        <f>[5]trip_summary_region!B45</f>
        <v>7</v>
      </c>
      <c r="C45">
        <f>[5]trip_summary_region!C45</f>
        <v>2018</v>
      </c>
      <c r="D45">
        <f>[5]trip_summary_region!D45</f>
        <v>50</v>
      </c>
      <c r="E45">
        <f>[5]trip_summary_region!E45</f>
        <v>135</v>
      </c>
      <c r="F45">
        <f>[5]trip_summary_region!F45</f>
        <v>3.2480371667000001</v>
      </c>
      <c r="G45">
        <f>[5]trip_summary_region!G45</f>
        <v>39.205987982000003</v>
      </c>
      <c r="H45">
        <f>[5]trip_summary_region!H45</f>
        <v>1.4017577636</v>
      </c>
      <c r="I45" t="str">
        <f>[5]trip_summary_region!I45</f>
        <v>Local Bus</v>
      </c>
      <c r="J45" t="str">
        <f>[5]trip_summary_region!J45</f>
        <v>2017/18</v>
      </c>
    </row>
    <row r="46" spans="1:10" x14ac:dyDescent="0.2">
      <c r="A46" t="str">
        <f>[5]trip_summary_region!A46</f>
        <v>01 NORTHLAND</v>
      </c>
      <c r="B46">
        <f>[5]trip_summary_region!B46</f>
        <v>7</v>
      </c>
      <c r="C46">
        <f>[5]trip_summary_region!C46</f>
        <v>2023</v>
      </c>
      <c r="D46">
        <f>[5]trip_summary_region!D46</f>
        <v>50</v>
      </c>
      <c r="E46">
        <f>[5]trip_summary_region!E46</f>
        <v>135</v>
      </c>
      <c r="F46">
        <f>[5]trip_summary_region!F46</f>
        <v>3.0069382206999999</v>
      </c>
      <c r="G46">
        <f>[5]trip_summary_region!G46</f>
        <v>35.854320758999997</v>
      </c>
      <c r="H46">
        <f>[5]trip_summary_region!H46</f>
        <v>1.2944358518000001</v>
      </c>
      <c r="I46" t="str">
        <f>[5]trip_summary_region!I46</f>
        <v>Local Bus</v>
      </c>
      <c r="J46" t="str">
        <f>[5]trip_summary_region!J46</f>
        <v>2022/23</v>
      </c>
    </row>
    <row r="47" spans="1:10" x14ac:dyDescent="0.2">
      <c r="A47" t="str">
        <f>[5]trip_summary_region!A47</f>
        <v>01 NORTHLAND</v>
      </c>
      <c r="B47">
        <f>[5]trip_summary_region!B47</f>
        <v>7</v>
      </c>
      <c r="C47">
        <f>[5]trip_summary_region!C47</f>
        <v>2028</v>
      </c>
      <c r="D47">
        <f>[5]trip_summary_region!D47</f>
        <v>50</v>
      </c>
      <c r="E47">
        <f>[5]trip_summary_region!E47</f>
        <v>135</v>
      </c>
      <c r="F47">
        <f>[5]trip_summary_region!F47</f>
        <v>2.7905412789000001</v>
      </c>
      <c r="G47">
        <f>[5]trip_summary_region!G47</f>
        <v>33.098120516999998</v>
      </c>
      <c r="H47">
        <f>[5]trip_summary_region!H47</f>
        <v>1.1947957409000001</v>
      </c>
      <c r="I47" t="str">
        <f>[5]trip_summary_region!I47</f>
        <v>Local Bus</v>
      </c>
      <c r="J47" t="str">
        <f>[5]trip_summary_region!J47</f>
        <v>2027/28</v>
      </c>
    </row>
    <row r="48" spans="1:10" x14ac:dyDescent="0.2">
      <c r="A48" t="str">
        <f>[5]trip_summary_region!A48</f>
        <v>01 NORTHLAND</v>
      </c>
      <c r="B48">
        <f>[5]trip_summary_region!B48</f>
        <v>7</v>
      </c>
      <c r="C48">
        <f>[5]trip_summary_region!C48</f>
        <v>2033</v>
      </c>
      <c r="D48">
        <f>[5]trip_summary_region!D48</f>
        <v>50</v>
      </c>
      <c r="E48">
        <f>[5]trip_summary_region!E48</f>
        <v>135</v>
      </c>
      <c r="F48">
        <f>[5]trip_summary_region!F48</f>
        <v>2.5990738271999998</v>
      </c>
      <c r="G48">
        <f>[5]trip_summary_region!G48</f>
        <v>30.551498026000001</v>
      </c>
      <c r="H48">
        <f>[5]trip_summary_region!H48</f>
        <v>1.1070409488999999</v>
      </c>
      <c r="I48" t="str">
        <f>[5]trip_summary_region!I48</f>
        <v>Local Bus</v>
      </c>
      <c r="J48" t="str">
        <f>[5]trip_summary_region!J48</f>
        <v>2032/33</v>
      </c>
    </row>
    <row r="49" spans="1:10" x14ac:dyDescent="0.2">
      <c r="A49" t="str">
        <f>[5]trip_summary_region!A49</f>
        <v>01 NORTHLAND</v>
      </c>
      <c r="B49">
        <f>[5]trip_summary_region!B49</f>
        <v>7</v>
      </c>
      <c r="C49">
        <f>[5]trip_summary_region!C49</f>
        <v>2038</v>
      </c>
      <c r="D49">
        <f>[5]trip_summary_region!D49</f>
        <v>50</v>
      </c>
      <c r="E49">
        <f>[5]trip_summary_region!E49</f>
        <v>135</v>
      </c>
      <c r="F49">
        <f>[5]trip_summary_region!F49</f>
        <v>2.4333550844</v>
      </c>
      <c r="G49">
        <f>[5]trip_summary_region!G49</f>
        <v>28.582392772999999</v>
      </c>
      <c r="H49">
        <f>[5]trip_summary_region!H49</f>
        <v>1.0343225588</v>
      </c>
      <c r="I49" t="str">
        <f>[5]trip_summary_region!I49</f>
        <v>Local Bus</v>
      </c>
      <c r="J49" t="str">
        <f>[5]trip_summary_region!J49</f>
        <v>2037/38</v>
      </c>
    </row>
    <row r="50" spans="1:10" x14ac:dyDescent="0.2">
      <c r="A50" t="str">
        <f>[5]trip_summary_region!A50</f>
        <v>01 NORTHLAND</v>
      </c>
      <c r="B50">
        <f>[5]trip_summary_region!B50</f>
        <v>7</v>
      </c>
      <c r="C50">
        <f>[5]trip_summary_region!C50</f>
        <v>2043</v>
      </c>
      <c r="D50">
        <f>[5]trip_summary_region!D50</f>
        <v>50</v>
      </c>
      <c r="E50">
        <f>[5]trip_summary_region!E50</f>
        <v>135</v>
      </c>
      <c r="F50">
        <f>[5]trip_summary_region!F50</f>
        <v>2.2633927653999999</v>
      </c>
      <c r="G50">
        <f>[5]trip_summary_region!G50</f>
        <v>26.603315975000001</v>
      </c>
      <c r="H50">
        <f>[5]trip_summary_region!H50</f>
        <v>0.95989640379999996</v>
      </c>
      <c r="I50" t="str">
        <f>[5]trip_summary_region!I50</f>
        <v>Local Bus</v>
      </c>
      <c r="J50" t="str">
        <f>[5]trip_summary_region!J50</f>
        <v>2042/43</v>
      </c>
    </row>
    <row r="51" spans="1:10" x14ac:dyDescent="0.2">
      <c r="A51" t="str">
        <f>[5]trip_summary_region!A51</f>
        <v>01 NORTHLAND</v>
      </c>
      <c r="B51">
        <f>[5]trip_summary_region!B51</f>
        <v>8</v>
      </c>
      <c r="C51">
        <f>[5]trip_summary_region!C51</f>
        <v>2013</v>
      </c>
      <c r="D51">
        <f>[5]trip_summary_region!D51</f>
        <v>2</v>
      </c>
      <c r="E51">
        <f>[5]trip_summary_region!E51</f>
        <v>3</v>
      </c>
      <c r="F51">
        <f>[5]trip_summary_region!F51</f>
        <v>4.69171767E-2</v>
      </c>
      <c r="G51">
        <f>[5]trip_summary_region!G51</f>
        <v>0</v>
      </c>
      <c r="H51">
        <f>[5]trip_summary_region!H51</f>
        <v>1.43058123E-2</v>
      </c>
      <c r="I51" t="str">
        <f>[5]trip_summary_region!I51</f>
        <v>Local Ferry</v>
      </c>
      <c r="J51" t="str">
        <f>[5]trip_summary_region!J51</f>
        <v>2012/13</v>
      </c>
    </row>
    <row r="52" spans="1:10" x14ac:dyDescent="0.2">
      <c r="A52" t="str">
        <f>[5]trip_summary_region!A52</f>
        <v>01 NORTHLAND</v>
      </c>
      <c r="B52">
        <f>[5]trip_summary_region!B52</f>
        <v>8</v>
      </c>
      <c r="C52">
        <f>[5]trip_summary_region!C52</f>
        <v>2018</v>
      </c>
      <c r="D52">
        <f>[5]trip_summary_region!D52</f>
        <v>2</v>
      </c>
      <c r="E52">
        <f>[5]trip_summary_region!E52</f>
        <v>3</v>
      </c>
      <c r="F52">
        <f>[5]trip_summary_region!F52</f>
        <v>5.2167282199999998E-2</v>
      </c>
      <c r="G52">
        <f>[5]trip_summary_region!G52</f>
        <v>0</v>
      </c>
      <c r="H52">
        <f>[5]trip_summary_region!H52</f>
        <v>1.5018559500000001E-2</v>
      </c>
      <c r="I52" t="str">
        <f>[5]trip_summary_region!I52</f>
        <v>Local Ferry</v>
      </c>
      <c r="J52" t="str">
        <f>[5]trip_summary_region!J52</f>
        <v>2017/18</v>
      </c>
    </row>
    <row r="53" spans="1:10" x14ac:dyDescent="0.2">
      <c r="A53" t="str">
        <f>[5]trip_summary_region!A53</f>
        <v>01 NORTHLAND</v>
      </c>
      <c r="B53">
        <f>[5]trip_summary_region!B53</f>
        <v>8</v>
      </c>
      <c r="C53">
        <f>[5]trip_summary_region!C53</f>
        <v>2023</v>
      </c>
      <c r="D53">
        <f>[5]trip_summary_region!D53</f>
        <v>2</v>
      </c>
      <c r="E53">
        <f>[5]trip_summary_region!E53</f>
        <v>3</v>
      </c>
      <c r="F53">
        <f>[5]trip_summary_region!F53</f>
        <v>5.4211099700000001E-2</v>
      </c>
      <c r="G53">
        <f>[5]trip_summary_region!G53</f>
        <v>0</v>
      </c>
      <c r="H53">
        <f>[5]trip_summary_region!H53</f>
        <v>1.4894496E-2</v>
      </c>
      <c r="I53" t="str">
        <f>[5]trip_summary_region!I53</f>
        <v>Local Ferry</v>
      </c>
      <c r="J53" t="str">
        <f>[5]trip_summary_region!J53</f>
        <v>2022/23</v>
      </c>
    </row>
    <row r="54" spans="1:10" x14ac:dyDescent="0.2">
      <c r="A54" t="str">
        <f>[5]trip_summary_region!A54</f>
        <v>01 NORTHLAND</v>
      </c>
      <c r="B54">
        <f>[5]trip_summary_region!B54</f>
        <v>8</v>
      </c>
      <c r="C54">
        <f>[5]trip_summary_region!C54</f>
        <v>2028</v>
      </c>
      <c r="D54">
        <f>[5]trip_summary_region!D54</f>
        <v>2</v>
      </c>
      <c r="E54">
        <f>[5]trip_summary_region!E54</f>
        <v>3</v>
      </c>
      <c r="F54">
        <f>[5]trip_summary_region!F54</f>
        <v>5.5581152199999997E-2</v>
      </c>
      <c r="G54">
        <f>[5]trip_summary_region!G54</f>
        <v>0</v>
      </c>
      <c r="H54">
        <f>[5]trip_summary_region!H54</f>
        <v>1.4476072899999999E-2</v>
      </c>
      <c r="I54" t="str">
        <f>[5]trip_summary_region!I54</f>
        <v>Local Ferry</v>
      </c>
      <c r="J54" t="str">
        <f>[5]trip_summary_region!J54</f>
        <v>2027/28</v>
      </c>
    </row>
    <row r="55" spans="1:10" x14ac:dyDescent="0.2">
      <c r="A55" t="str">
        <f>[5]trip_summary_region!A55</f>
        <v>01 NORTHLAND</v>
      </c>
      <c r="B55">
        <f>[5]trip_summary_region!B55</f>
        <v>8</v>
      </c>
      <c r="C55">
        <f>[5]trip_summary_region!C55</f>
        <v>2033</v>
      </c>
      <c r="D55">
        <f>[5]trip_summary_region!D55</f>
        <v>2</v>
      </c>
      <c r="E55">
        <f>[5]trip_summary_region!E55</f>
        <v>3</v>
      </c>
      <c r="F55">
        <f>[5]trip_summary_region!F55</f>
        <v>5.3851019899999998E-2</v>
      </c>
      <c r="G55">
        <f>[5]trip_summary_region!G55</f>
        <v>0</v>
      </c>
      <c r="H55">
        <f>[5]trip_summary_region!H55</f>
        <v>1.3487081200000001E-2</v>
      </c>
      <c r="I55" t="str">
        <f>[5]trip_summary_region!I55</f>
        <v>Local Ferry</v>
      </c>
      <c r="J55" t="str">
        <f>[5]trip_summary_region!J55</f>
        <v>2032/33</v>
      </c>
    </row>
    <row r="56" spans="1:10" x14ac:dyDescent="0.2">
      <c r="A56" t="str">
        <f>[5]trip_summary_region!A56</f>
        <v>01 NORTHLAND</v>
      </c>
      <c r="B56">
        <f>[5]trip_summary_region!B56</f>
        <v>8</v>
      </c>
      <c r="C56">
        <f>[5]trip_summary_region!C56</f>
        <v>2038</v>
      </c>
      <c r="D56">
        <f>[5]trip_summary_region!D56</f>
        <v>2</v>
      </c>
      <c r="E56">
        <f>[5]trip_summary_region!E56</f>
        <v>3</v>
      </c>
      <c r="F56">
        <f>[5]trip_summary_region!F56</f>
        <v>4.9571540499999997E-2</v>
      </c>
      <c r="G56">
        <f>[5]trip_summary_region!G56</f>
        <v>0</v>
      </c>
      <c r="H56">
        <f>[5]trip_summary_region!H56</f>
        <v>1.20768539E-2</v>
      </c>
      <c r="I56" t="str">
        <f>[5]trip_summary_region!I56</f>
        <v>Local Ferry</v>
      </c>
      <c r="J56" t="str">
        <f>[5]trip_summary_region!J56</f>
        <v>2037/38</v>
      </c>
    </row>
    <row r="57" spans="1:10" x14ac:dyDescent="0.2">
      <c r="A57" t="str">
        <f>[5]trip_summary_region!A57</f>
        <v>01 NORTHLAND</v>
      </c>
      <c r="B57">
        <f>[5]trip_summary_region!B57</f>
        <v>8</v>
      </c>
      <c r="C57">
        <f>[5]trip_summary_region!C57</f>
        <v>2043</v>
      </c>
      <c r="D57">
        <f>[5]trip_summary_region!D57</f>
        <v>2</v>
      </c>
      <c r="E57">
        <f>[5]trip_summary_region!E57</f>
        <v>3</v>
      </c>
      <c r="F57">
        <f>[5]trip_summary_region!F57</f>
        <v>4.5255192299999997E-2</v>
      </c>
      <c r="G57">
        <f>[5]trip_summary_region!G57</f>
        <v>0</v>
      </c>
      <c r="H57">
        <f>[5]trip_summary_region!H57</f>
        <v>1.07557794E-2</v>
      </c>
      <c r="I57" t="str">
        <f>[5]trip_summary_region!I57</f>
        <v>Local Ferry</v>
      </c>
      <c r="J57" t="str">
        <f>[5]trip_summary_region!J57</f>
        <v>2042/43</v>
      </c>
    </row>
    <row r="58" spans="1:10" x14ac:dyDescent="0.2">
      <c r="A58" t="str">
        <f>[5]trip_summary_region!A58</f>
        <v>01 NORTHLAND</v>
      </c>
      <c r="B58">
        <f>[5]trip_summary_region!B58</f>
        <v>9</v>
      </c>
      <c r="C58">
        <f>[5]trip_summary_region!C58</f>
        <v>2013</v>
      </c>
      <c r="D58">
        <f>[5]trip_summary_region!D58</f>
        <v>2</v>
      </c>
      <c r="E58">
        <f>[5]trip_summary_region!E58</f>
        <v>3</v>
      </c>
      <c r="F58">
        <f>[5]trip_summary_region!F58</f>
        <v>0.1184310407</v>
      </c>
      <c r="G58">
        <f>[5]trip_summary_region!G58</f>
        <v>0</v>
      </c>
      <c r="H58">
        <f>[5]trip_summary_region!H58</f>
        <v>0</v>
      </c>
      <c r="I58" t="str">
        <f>[5]trip_summary_region!I58</f>
        <v>Other Household Travel</v>
      </c>
      <c r="J58" t="str">
        <f>[5]trip_summary_region!J58</f>
        <v>2012/13</v>
      </c>
    </row>
    <row r="59" spans="1:10" x14ac:dyDescent="0.2">
      <c r="A59" t="str">
        <f>[5]trip_summary_region!A59</f>
        <v>01 NORTHLAND</v>
      </c>
      <c r="B59">
        <f>[5]trip_summary_region!B59</f>
        <v>9</v>
      </c>
      <c r="C59">
        <f>[5]trip_summary_region!C59</f>
        <v>2018</v>
      </c>
      <c r="D59">
        <f>[5]trip_summary_region!D59</f>
        <v>2</v>
      </c>
      <c r="E59">
        <f>[5]trip_summary_region!E59</f>
        <v>3</v>
      </c>
      <c r="F59">
        <f>[5]trip_summary_region!F59</f>
        <v>0.12676431960000001</v>
      </c>
      <c r="G59">
        <f>[5]trip_summary_region!G59</f>
        <v>0</v>
      </c>
      <c r="H59">
        <f>[5]trip_summary_region!H59</f>
        <v>0</v>
      </c>
      <c r="I59" t="str">
        <f>[5]trip_summary_region!I59</f>
        <v>Other Household Travel</v>
      </c>
      <c r="J59" t="str">
        <f>[5]trip_summary_region!J59</f>
        <v>2017/18</v>
      </c>
    </row>
    <row r="60" spans="1:10" x14ac:dyDescent="0.2">
      <c r="A60" t="str">
        <f>[5]trip_summary_region!A60</f>
        <v>01 NORTHLAND</v>
      </c>
      <c r="B60">
        <f>[5]trip_summary_region!B60</f>
        <v>9</v>
      </c>
      <c r="C60">
        <f>[5]trip_summary_region!C60</f>
        <v>2023</v>
      </c>
      <c r="D60">
        <f>[5]trip_summary_region!D60</f>
        <v>2</v>
      </c>
      <c r="E60">
        <f>[5]trip_summary_region!E60</f>
        <v>3</v>
      </c>
      <c r="F60">
        <f>[5]trip_summary_region!F60</f>
        <v>0.12671845970000001</v>
      </c>
      <c r="G60">
        <f>[5]trip_summary_region!G60</f>
        <v>0</v>
      </c>
      <c r="H60">
        <f>[5]trip_summary_region!H60</f>
        <v>0</v>
      </c>
      <c r="I60" t="str">
        <f>[5]trip_summary_region!I60</f>
        <v>Other Household Travel</v>
      </c>
      <c r="J60" t="str">
        <f>[5]trip_summary_region!J60</f>
        <v>2022/23</v>
      </c>
    </row>
    <row r="61" spans="1:10" x14ac:dyDescent="0.2">
      <c r="A61" t="str">
        <f>[5]trip_summary_region!A61</f>
        <v>01 NORTHLAND</v>
      </c>
      <c r="B61">
        <f>[5]trip_summary_region!B61</f>
        <v>9</v>
      </c>
      <c r="C61">
        <f>[5]trip_summary_region!C61</f>
        <v>2028</v>
      </c>
      <c r="D61">
        <f>[5]trip_summary_region!D61</f>
        <v>2</v>
      </c>
      <c r="E61">
        <f>[5]trip_summary_region!E61</f>
        <v>3</v>
      </c>
      <c r="F61">
        <f>[5]trip_summary_region!F61</f>
        <v>0.12079150919999999</v>
      </c>
      <c r="G61">
        <f>[5]trip_summary_region!G61</f>
        <v>0</v>
      </c>
      <c r="H61">
        <f>[5]trip_summary_region!H61</f>
        <v>0</v>
      </c>
      <c r="I61" t="str">
        <f>[5]trip_summary_region!I61</f>
        <v>Other Household Travel</v>
      </c>
      <c r="J61" t="str">
        <f>[5]trip_summary_region!J61</f>
        <v>2027/28</v>
      </c>
    </row>
    <row r="62" spans="1:10" x14ac:dyDescent="0.2">
      <c r="A62" t="str">
        <f>[5]trip_summary_region!A62</f>
        <v>01 NORTHLAND</v>
      </c>
      <c r="B62">
        <f>[5]trip_summary_region!B62</f>
        <v>9</v>
      </c>
      <c r="C62">
        <f>[5]trip_summary_region!C62</f>
        <v>2033</v>
      </c>
      <c r="D62">
        <f>[5]trip_summary_region!D62</f>
        <v>2</v>
      </c>
      <c r="E62">
        <f>[5]trip_summary_region!E62</f>
        <v>3</v>
      </c>
      <c r="F62">
        <f>[5]trip_summary_region!F62</f>
        <v>0.1141387426</v>
      </c>
      <c r="G62">
        <f>[5]trip_summary_region!G62</f>
        <v>0</v>
      </c>
      <c r="H62">
        <f>[5]trip_summary_region!H62</f>
        <v>0</v>
      </c>
      <c r="I62" t="str">
        <f>[5]trip_summary_region!I62</f>
        <v>Other Household Travel</v>
      </c>
      <c r="J62" t="str">
        <f>[5]trip_summary_region!J62</f>
        <v>2032/33</v>
      </c>
    </row>
    <row r="63" spans="1:10" x14ac:dyDescent="0.2">
      <c r="A63" t="str">
        <f>[5]trip_summary_region!A63</f>
        <v>01 NORTHLAND</v>
      </c>
      <c r="B63">
        <f>[5]trip_summary_region!B63</f>
        <v>9</v>
      </c>
      <c r="C63">
        <f>[5]trip_summary_region!C63</f>
        <v>2038</v>
      </c>
      <c r="D63">
        <f>[5]trip_summary_region!D63</f>
        <v>2</v>
      </c>
      <c r="E63">
        <f>[5]trip_summary_region!E63</f>
        <v>3</v>
      </c>
      <c r="F63">
        <f>[5]trip_summary_region!F63</f>
        <v>0.10731171370000001</v>
      </c>
      <c r="G63">
        <f>[5]trip_summary_region!G63</f>
        <v>0</v>
      </c>
      <c r="H63">
        <f>[5]trip_summary_region!H63</f>
        <v>0</v>
      </c>
      <c r="I63" t="str">
        <f>[5]trip_summary_region!I63</f>
        <v>Other Household Travel</v>
      </c>
      <c r="J63" t="str">
        <f>[5]trip_summary_region!J63</f>
        <v>2037/38</v>
      </c>
    </row>
    <row r="64" spans="1:10" x14ac:dyDescent="0.2">
      <c r="A64" t="str">
        <f>[5]trip_summary_region!A64</f>
        <v>01 NORTHLAND</v>
      </c>
      <c r="B64">
        <f>[5]trip_summary_region!B64</f>
        <v>9</v>
      </c>
      <c r="C64">
        <f>[5]trip_summary_region!C64</f>
        <v>2043</v>
      </c>
      <c r="D64">
        <f>[5]trip_summary_region!D64</f>
        <v>2</v>
      </c>
      <c r="E64">
        <f>[5]trip_summary_region!E64</f>
        <v>3</v>
      </c>
      <c r="F64">
        <f>[5]trip_summary_region!F64</f>
        <v>0.1000499191</v>
      </c>
      <c r="G64">
        <f>[5]trip_summary_region!G64</f>
        <v>0</v>
      </c>
      <c r="H64">
        <f>[5]trip_summary_region!H64</f>
        <v>0</v>
      </c>
      <c r="I64" t="str">
        <f>[5]trip_summary_region!I64</f>
        <v>Other Household Travel</v>
      </c>
      <c r="J64" t="str">
        <f>[5]trip_summary_region!J64</f>
        <v>2042/43</v>
      </c>
    </row>
    <row r="65" spans="1:10" x14ac:dyDescent="0.2">
      <c r="A65" t="str">
        <f>[5]trip_summary_region!A65</f>
        <v>01 NORTHLAND</v>
      </c>
      <c r="B65">
        <f>[5]trip_summary_region!B65</f>
        <v>10</v>
      </c>
      <c r="C65">
        <f>[5]trip_summary_region!C65</f>
        <v>2013</v>
      </c>
      <c r="D65">
        <f>[5]trip_summary_region!D65</f>
        <v>5</v>
      </c>
      <c r="E65">
        <f>[5]trip_summary_region!E65</f>
        <v>8</v>
      </c>
      <c r="F65">
        <f>[5]trip_summary_region!F65</f>
        <v>0.226285661</v>
      </c>
      <c r="G65">
        <f>[5]trip_summary_region!G65</f>
        <v>0</v>
      </c>
      <c r="H65">
        <f>[5]trip_summary_region!H65</f>
        <v>0.25491621720000002</v>
      </c>
      <c r="I65" t="str">
        <f>[5]trip_summary_region!I65</f>
        <v>Air/Non-Local PT</v>
      </c>
      <c r="J65" t="str">
        <f>[5]trip_summary_region!J65</f>
        <v>2012/13</v>
      </c>
    </row>
    <row r="66" spans="1:10" x14ac:dyDescent="0.2">
      <c r="A66" t="str">
        <f>[5]trip_summary_region!A66</f>
        <v>01 NORTHLAND</v>
      </c>
      <c r="B66">
        <f>[5]trip_summary_region!B66</f>
        <v>10</v>
      </c>
      <c r="C66">
        <f>[5]trip_summary_region!C66</f>
        <v>2018</v>
      </c>
      <c r="D66">
        <f>[5]trip_summary_region!D66</f>
        <v>5</v>
      </c>
      <c r="E66">
        <f>[5]trip_summary_region!E66</f>
        <v>8</v>
      </c>
      <c r="F66">
        <f>[5]trip_summary_region!F66</f>
        <v>0.24256647519999999</v>
      </c>
      <c r="G66">
        <f>[5]trip_summary_region!G66</f>
        <v>0</v>
      </c>
      <c r="H66">
        <f>[5]trip_summary_region!H66</f>
        <v>0.28677772769999998</v>
      </c>
      <c r="I66" t="str">
        <f>[5]trip_summary_region!I66</f>
        <v>Air/Non-Local PT</v>
      </c>
      <c r="J66" t="str">
        <f>[5]trip_summary_region!J66</f>
        <v>2017/18</v>
      </c>
    </row>
    <row r="67" spans="1:10" x14ac:dyDescent="0.2">
      <c r="A67" t="str">
        <f>[5]trip_summary_region!A67</f>
        <v>01 NORTHLAND</v>
      </c>
      <c r="B67">
        <f>[5]trip_summary_region!B67</f>
        <v>10</v>
      </c>
      <c r="C67">
        <f>[5]trip_summary_region!C67</f>
        <v>2023</v>
      </c>
      <c r="D67">
        <f>[5]trip_summary_region!D67</f>
        <v>5</v>
      </c>
      <c r="E67">
        <f>[5]trip_summary_region!E67</f>
        <v>8</v>
      </c>
      <c r="F67">
        <f>[5]trip_summary_region!F67</f>
        <v>0.26222735149999998</v>
      </c>
      <c r="G67">
        <f>[5]trip_summary_region!G67</f>
        <v>0</v>
      </c>
      <c r="H67">
        <f>[5]trip_summary_region!H67</f>
        <v>0.3143623693</v>
      </c>
      <c r="I67" t="str">
        <f>[5]trip_summary_region!I67</f>
        <v>Air/Non-Local PT</v>
      </c>
      <c r="J67" t="str">
        <f>[5]trip_summary_region!J67</f>
        <v>2022/23</v>
      </c>
    </row>
    <row r="68" spans="1:10" x14ac:dyDescent="0.2">
      <c r="A68" t="str">
        <f>[5]trip_summary_region!A68</f>
        <v>01 NORTHLAND</v>
      </c>
      <c r="B68">
        <f>[5]trip_summary_region!B68</f>
        <v>10</v>
      </c>
      <c r="C68">
        <f>[5]trip_summary_region!C68</f>
        <v>2028</v>
      </c>
      <c r="D68">
        <f>[5]trip_summary_region!D68</f>
        <v>5</v>
      </c>
      <c r="E68">
        <f>[5]trip_summary_region!E68</f>
        <v>8</v>
      </c>
      <c r="F68">
        <f>[5]trip_summary_region!F68</f>
        <v>0.29131257760000001</v>
      </c>
      <c r="G68">
        <f>[5]trip_summary_region!G68</f>
        <v>0</v>
      </c>
      <c r="H68">
        <f>[5]trip_summary_region!H68</f>
        <v>0.34930525169999999</v>
      </c>
      <c r="I68" t="str">
        <f>[5]trip_summary_region!I68</f>
        <v>Air/Non-Local PT</v>
      </c>
      <c r="J68" t="str">
        <f>[5]trip_summary_region!J68</f>
        <v>2027/28</v>
      </c>
    </row>
    <row r="69" spans="1:10" x14ac:dyDescent="0.2">
      <c r="A69" t="str">
        <f>[5]trip_summary_region!A69</f>
        <v>01 NORTHLAND</v>
      </c>
      <c r="B69">
        <f>[5]trip_summary_region!B69</f>
        <v>10</v>
      </c>
      <c r="C69">
        <f>[5]trip_summary_region!C69</f>
        <v>2033</v>
      </c>
      <c r="D69">
        <f>[5]trip_summary_region!D69</f>
        <v>5</v>
      </c>
      <c r="E69">
        <f>[5]trip_summary_region!E69</f>
        <v>8</v>
      </c>
      <c r="F69">
        <f>[5]trip_summary_region!F69</f>
        <v>0.30212612329999999</v>
      </c>
      <c r="G69">
        <f>[5]trip_summary_region!G69</f>
        <v>0</v>
      </c>
      <c r="H69">
        <f>[5]trip_summary_region!H69</f>
        <v>0.36122468200000002</v>
      </c>
      <c r="I69" t="str">
        <f>[5]trip_summary_region!I69</f>
        <v>Air/Non-Local PT</v>
      </c>
      <c r="J69" t="str">
        <f>[5]trip_summary_region!J69</f>
        <v>2032/33</v>
      </c>
    </row>
    <row r="70" spans="1:10" x14ac:dyDescent="0.2">
      <c r="A70" t="str">
        <f>[5]trip_summary_region!A70</f>
        <v>01 NORTHLAND</v>
      </c>
      <c r="B70">
        <f>[5]trip_summary_region!B70</f>
        <v>10</v>
      </c>
      <c r="C70">
        <f>[5]trip_summary_region!C70</f>
        <v>2038</v>
      </c>
      <c r="D70">
        <f>[5]trip_summary_region!D70</f>
        <v>5</v>
      </c>
      <c r="E70">
        <f>[5]trip_summary_region!E70</f>
        <v>8</v>
      </c>
      <c r="F70">
        <f>[5]trip_summary_region!F70</f>
        <v>0.28850256410000003</v>
      </c>
      <c r="G70">
        <f>[5]trip_summary_region!G70</f>
        <v>0</v>
      </c>
      <c r="H70">
        <f>[5]trip_summary_region!H70</f>
        <v>0.34584967909999997</v>
      </c>
      <c r="I70" t="str">
        <f>[5]trip_summary_region!I70</f>
        <v>Air/Non-Local PT</v>
      </c>
      <c r="J70" t="str">
        <f>[5]trip_summary_region!J70</f>
        <v>2037/38</v>
      </c>
    </row>
    <row r="71" spans="1:10" x14ac:dyDescent="0.2">
      <c r="A71" t="str">
        <f>[5]trip_summary_region!A71</f>
        <v>01 NORTHLAND</v>
      </c>
      <c r="B71">
        <f>[5]trip_summary_region!B71</f>
        <v>10</v>
      </c>
      <c r="C71">
        <f>[5]trip_summary_region!C71</f>
        <v>2043</v>
      </c>
      <c r="D71">
        <f>[5]trip_summary_region!D71</f>
        <v>5</v>
      </c>
      <c r="E71">
        <f>[5]trip_summary_region!E71</f>
        <v>8</v>
      </c>
      <c r="F71">
        <f>[5]trip_summary_region!F71</f>
        <v>0.2726743351</v>
      </c>
      <c r="G71">
        <f>[5]trip_summary_region!G71</f>
        <v>0</v>
      </c>
      <c r="H71">
        <f>[5]trip_summary_region!H71</f>
        <v>0.32762397430000001</v>
      </c>
      <c r="I71" t="str">
        <f>[5]trip_summary_region!I71</f>
        <v>Air/Non-Local PT</v>
      </c>
      <c r="J71" t="str">
        <f>[5]trip_summary_region!J71</f>
        <v>2042/43</v>
      </c>
    </row>
    <row r="72" spans="1:10" x14ac:dyDescent="0.2">
      <c r="A72" t="str">
        <f>[5]trip_summary_region!A72</f>
        <v>01 NORTHLAND</v>
      </c>
      <c r="B72">
        <f>[5]trip_summary_region!B72</f>
        <v>11</v>
      </c>
      <c r="C72">
        <f>[5]trip_summary_region!C72</f>
        <v>2013</v>
      </c>
      <c r="D72">
        <f>[5]trip_summary_region!D72</f>
        <v>13</v>
      </c>
      <c r="E72">
        <f>[5]trip_summary_region!E72</f>
        <v>59</v>
      </c>
      <c r="F72">
        <f>[5]trip_summary_region!F72</f>
        <v>2.0613233212000002</v>
      </c>
      <c r="G72">
        <f>[5]trip_summary_region!G72</f>
        <v>34.810730239000002</v>
      </c>
      <c r="H72">
        <f>[5]trip_summary_region!H72</f>
        <v>0.70164482120000005</v>
      </c>
      <c r="I72" t="str">
        <f>[5]trip_summary_region!I72</f>
        <v>Non-Household Travel</v>
      </c>
      <c r="J72" t="str">
        <f>[5]trip_summary_region!J72</f>
        <v>2012/13</v>
      </c>
    </row>
    <row r="73" spans="1:10" x14ac:dyDescent="0.2">
      <c r="A73" t="str">
        <f>[5]trip_summary_region!A73</f>
        <v>01 NORTHLAND</v>
      </c>
      <c r="B73">
        <f>[5]trip_summary_region!B73</f>
        <v>11</v>
      </c>
      <c r="C73">
        <f>[5]trip_summary_region!C73</f>
        <v>2018</v>
      </c>
      <c r="D73">
        <f>[5]trip_summary_region!D73</f>
        <v>13</v>
      </c>
      <c r="E73">
        <f>[5]trip_summary_region!E73</f>
        <v>59</v>
      </c>
      <c r="F73">
        <f>[5]trip_summary_region!F73</f>
        <v>2.0637641513</v>
      </c>
      <c r="G73">
        <f>[5]trip_summary_region!G73</f>
        <v>32.823063337000001</v>
      </c>
      <c r="H73">
        <f>[5]trip_summary_region!H73</f>
        <v>0.68187938199999998</v>
      </c>
      <c r="I73" t="str">
        <f>[5]trip_summary_region!I73</f>
        <v>Non-Household Travel</v>
      </c>
      <c r="J73" t="str">
        <f>[5]trip_summary_region!J73</f>
        <v>2017/18</v>
      </c>
    </row>
    <row r="74" spans="1:10" x14ac:dyDescent="0.2">
      <c r="A74" t="str">
        <f>[5]trip_summary_region!A74</f>
        <v>01 NORTHLAND</v>
      </c>
      <c r="B74">
        <f>[5]trip_summary_region!B74</f>
        <v>11</v>
      </c>
      <c r="C74">
        <f>[5]trip_summary_region!C74</f>
        <v>2023</v>
      </c>
      <c r="D74">
        <f>[5]trip_summary_region!D74</f>
        <v>13</v>
      </c>
      <c r="E74">
        <f>[5]trip_summary_region!E74</f>
        <v>59</v>
      </c>
      <c r="F74">
        <f>[5]trip_summary_region!F74</f>
        <v>2.1570903528000001</v>
      </c>
      <c r="G74">
        <f>[5]trip_summary_region!G74</f>
        <v>32.904629638999999</v>
      </c>
      <c r="H74">
        <f>[5]trip_summary_region!H74</f>
        <v>0.70214047000000002</v>
      </c>
      <c r="I74" t="str">
        <f>[5]trip_summary_region!I74</f>
        <v>Non-Household Travel</v>
      </c>
      <c r="J74" t="str">
        <f>[5]trip_summary_region!J74</f>
        <v>2022/23</v>
      </c>
    </row>
    <row r="75" spans="1:10" x14ac:dyDescent="0.2">
      <c r="A75" t="str">
        <f>[5]trip_summary_region!A75</f>
        <v>01 NORTHLAND</v>
      </c>
      <c r="B75">
        <f>[5]trip_summary_region!B75</f>
        <v>11</v>
      </c>
      <c r="C75">
        <f>[5]trip_summary_region!C75</f>
        <v>2028</v>
      </c>
      <c r="D75">
        <f>[5]trip_summary_region!D75</f>
        <v>13</v>
      </c>
      <c r="E75">
        <f>[5]trip_summary_region!E75</f>
        <v>59</v>
      </c>
      <c r="F75">
        <f>[5]trip_summary_region!F75</f>
        <v>2.3494826745999999</v>
      </c>
      <c r="G75">
        <f>[5]trip_summary_region!G75</f>
        <v>34.497698855000003</v>
      </c>
      <c r="H75">
        <f>[5]trip_summary_region!H75</f>
        <v>0.75615397220000002</v>
      </c>
      <c r="I75" t="str">
        <f>[5]trip_summary_region!I75</f>
        <v>Non-Household Travel</v>
      </c>
      <c r="J75" t="str">
        <f>[5]trip_summary_region!J75</f>
        <v>2027/28</v>
      </c>
    </row>
    <row r="76" spans="1:10" x14ac:dyDescent="0.2">
      <c r="A76" t="str">
        <f>[5]trip_summary_region!A76</f>
        <v>01 NORTHLAND</v>
      </c>
      <c r="B76">
        <f>[5]trip_summary_region!B76</f>
        <v>11</v>
      </c>
      <c r="C76">
        <f>[5]trip_summary_region!C76</f>
        <v>2033</v>
      </c>
      <c r="D76">
        <f>[5]trip_summary_region!D76</f>
        <v>13</v>
      </c>
      <c r="E76">
        <f>[5]trip_summary_region!E76</f>
        <v>59</v>
      </c>
      <c r="F76">
        <f>[5]trip_summary_region!F76</f>
        <v>2.4860192920999999</v>
      </c>
      <c r="G76">
        <f>[5]trip_summary_region!G76</f>
        <v>35.124580449</v>
      </c>
      <c r="H76">
        <f>[5]trip_summary_region!H76</f>
        <v>0.78828886610000004</v>
      </c>
      <c r="I76" t="str">
        <f>[5]trip_summary_region!I76</f>
        <v>Non-Household Travel</v>
      </c>
      <c r="J76" t="str">
        <f>[5]trip_summary_region!J76</f>
        <v>2032/33</v>
      </c>
    </row>
    <row r="77" spans="1:10" x14ac:dyDescent="0.2">
      <c r="A77" t="str">
        <f>[5]trip_summary_region!A77</f>
        <v>01 NORTHLAND</v>
      </c>
      <c r="B77">
        <f>[5]trip_summary_region!B77</f>
        <v>11</v>
      </c>
      <c r="C77">
        <f>[5]trip_summary_region!C77</f>
        <v>2038</v>
      </c>
      <c r="D77">
        <f>[5]trip_summary_region!D77</f>
        <v>13</v>
      </c>
      <c r="E77">
        <f>[5]trip_summary_region!E77</f>
        <v>59</v>
      </c>
      <c r="F77">
        <f>[5]trip_summary_region!F77</f>
        <v>2.4233960751999999</v>
      </c>
      <c r="G77">
        <f>[5]trip_summary_region!G77</f>
        <v>33.233936022000002</v>
      </c>
      <c r="H77">
        <f>[5]trip_summary_region!H77</f>
        <v>0.75747352059999995</v>
      </c>
      <c r="I77" t="str">
        <f>[5]trip_summary_region!I77</f>
        <v>Non-Household Travel</v>
      </c>
      <c r="J77" t="str">
        <f>[5]trip_summary_region!J77</f>
        <v>2037/38</v>
      </c>
    </row>
    <row r="78" spans="1:10" x14ac:dyDescent="0.2">
      <c r="A78" t="str">
        <f>[5]trip_summary_region!A78</f>
        <v>01 NORTHLAND</v>
      </c>
      <c r="B78">
        <f>[5]trip_summary_region!B78</f>
        <v>11</v>
      </c>
      <c r="C78">
        <f>[5]trip_summary_region!C78</f>
        <v>2043</v>
      </c>
      <c r="D78">
        <f>[5]trip_summary_region!D78</f>
        <v>13</v>
      </c>
      <c r="E78">
        <f>[5]trip_summary_region!E78</f>
        <v>59</v>
      </c>
      <c r="F78">
        <f>[5]trip_summary_region!F78</f>
        <v>2.3480815383000002</v>
      </c>
      <c r="G78">
        <f>[5]trip_summary_region!G78</f>
        <v>31.259856655</v>
      </c>
      <c r="H78">
        <f>[5]trip_summary_region!H78</f>
        <v>0.72351126649999997</v>
      </c>
      <c r="I78" t="str">
        <f>[5]trip_summary_region!I78</f>
        <v>Non-Household Travel</v>
      </c>
      <c r="J78" t="str">
        <f>[5]trip_summary_region!J78</f>
        <v>2042/43</v>
      </c>
    </row>
    <row r="79" spans="1:10" x14ac:dyDescent="0.2">
      <c r="A79" t="str">
        <f>[5]trip_summary_region!A79</f>
        <v>02 AUCKLAND</v>
      </c>
      <c r="B79">
        <f>[5]trip_summary_region!B79</f>
        <v>0</v>
      </c>
      <c r="C79">
        <f>[5]trip_summary_region!C79</f>
        <v>2013</v>
      </c>
      <c r="D79">
        <f>[5]trip_summary_region!D79</f>
        <v>1541</v>
      </c>
      <c r="E79">
        <f>[5]trip_summary_region!E79</f>
        <v>5702</v>
      </c>
      <c r="F79">
        <f>[5]trip_summary_region!F79</f>
        <v>324.81096006000001</v>
      </c>
      <c r="G79">
        <f>[5]trip_summary_region!G79</f>
        <v>294.55939388000002</v>
      </c>
      <c r="H79">
        <f>[5]trip_summary_region!H79</f>
        <v>73.381071999</v>
      </c>
      <c r="I79" t="str">
        <f>[5]trip_summary_region!I79</f>
        <v>Pedestrian</v>
      </c>
      <c r="J79" t="str">
        <f>[5]trip_summary_region!J79</f>
        <v>2012/13</v>
      </c>
    </row>
    <row r="80" spans="1:10" x14ac:dyDescent="0.2">
      <c r="A80" t="str">
        <f>[5]trip_summary_region!A80</f>
        <v>02 AUCKLAND</v>
      </c>
      <c r="B80">
        <f>[5]trip_summary_region!B80</f>
        <v>0</v>
      </c>
      <c r="C80">
        <f>[5]trip_summary_region!C80</f>
        <v>2018</v>
      </c>
      <c r="D80">
        <f>[5]trip_summary_region!D80</f>
        <v>1541</v>
      </c>
      <c r="E80">
        <f>[5]trip_summary_region!E80</f>
        <v>5702</v>
      </c>
      <c r="F80">
        <f>[5]trip_summary_region!F80</f>
        <v>358.42497777</v>
      </c>
      <c r="G80">
        <f>[5]trip_summary_region!G80</f>
        <v>324.23749728000001</v>
      </c>
      <c r="H80">
        <f>[5]trip_summary_region!H80</f>
        <v>80.726239504999995</v>
      </c>
      <c r="I80" t="str">
        <f>[5]trip_summary_region!I80</f>
        <v>Pedestrian</v>
      </c>
      <c r="J80" t="str">
        <f>[5]trip_summary_region!J80</f>
        <v>2017/18</v>
      </c>
    </row>
    <row r="81" spans="1:10" x14ac:dyDescent="0.2">
      <c r="A81" t="str">
        <f>[5]trip_summary_region!A81</f>
        <v>02 AUCKLAND</v>
      </c>
      <c r="B81">
        <f>[5]trip_summary_region!B81</f>
        <v>0</v>
      </c>
      <c r="C81">
        <f>[5]trip_summary_region!C81</f>
        <v>2023</v>
      </c>
      <c r="D81">
        <f>[5]trip_summary_region!D81</f>
        <v>1541</v>
      </c>
      <c r="E81">
        <f>[5]trip_summary_region!E81</f>
        <v>5702</v>
      </c>
      <c r="F81">
        <f>[5]trip_summary_region!F81</f>
        <v>383.53305699999999</v>
      </c>
      <c r="G81">
        <f>[5]trip_summary_region!G81</f>
        <v>345.21377604000003</v>
      </c>
      <c r="H81">
        <f>[5]trip_summary_region!H81</f>
        <v>86.126645803000002</v>
      </c>
      <c r="I81" t="str">
        <f>[5]trip_summary_region!I81</f>
        <v>Pedestrian</v>
      </c>
      <c r="J81" t="str">
        <f>[5]trip_summary_region!J81</f>
        <v>2022/23</v>
      </c>
    </row>
    <row r="82" spans="1:10" x14ac:dyDescent="0.2">
      <c r="A82" t="str">
        <f>[5]trip_summary_region!A82</f>
        <v>02 AUCKLAND</v>
      </c>
      <c r="B82">
        <f>[5]trip_summary_region!B82</f>
        <v>0</v>
      </c>
      <c r="C82">
        <f>[5]trip_summary_region!C82</f>
        <v>2028</v>
      </c>
      <c r="D82">
        <f>[5]trip_summary_region!D82</f>
        <v>1541</v>
      </c>
      <c r="E82">
        <f>[5]trip_summary_region!E82</f>
        <v>5702</v>
      </c>
      <c r="F82">
        <f>[5]trip_summary_region!F82</f>
        <v>407.54572961000002</v>
      </c>
      <c r="G82">
        <f>[5]trip_summary_region!G82</f>
        <v>364.10146356000001</v>
      </c>
      <c r="H82">
        <f>[5]trip_summary_region!H82</f>
        <v>91.176255721000004</v>
      </c>
      <c r="I82" t="str">
        <f>[5]trip_summary_region!I82</f>
        <v>Pedestrian</v>
      </c>
      <c r="J82" t="str">
        <f>[5]trip_summary_region!J82</f>
        <v>2027/28</v>
      </c>
    </row>
    <row r="83" spans="1:10" x14ac:dyDescent="0.2">
      <c r="A83" t="str">
        <f>[5]trip_summary_region!A83</f>
        <v>02 AUCKLAND</v>
      </c>
      <c r="B83">
        <f>[5]trip_summary_region!B83</f>
        <v>0</v>
      </c>
      <c r="C83">
        <f>[5]trip_summary_region!C83</f>
        <v>2033</v>
      </c>
      <c r="D83">
        <f>[5]trip_summary_region!D83</f>
        <v>1541</v>
      </c>
      <c r="E83">
        <f>[5]trip_summary_region!E83</f>
        <v>5702</v>
      </c>
      <c r="F83">
        <f>[5]trip_summary_region!F83</f>
        <v>429.05263172999997</v>
      </c>
      <c r="G83">
        <f>[5]trip_summary_region!G83</f>
        <v>380.6570595</v>
      </c>
      <c r="H83">
        <f>[5]trip_summary_region!H83</f>
        <v>95.631265416999994</v>
      </c>
      <c r="I83" t="str">
        <f>[5]trip_summary_region!I83</f>
        <v>Pedestrian</v>
      </c>
      <c r="J83" t="str">
        <f>[5]trip_summary_region!J83</f>
        <v>2032/33</v>
      </c>
    </row>
    <row r="84" spans="1:10" x14ac:dyDescent="0.2">
      <c r="A84" t="str">
        <f>[5]trip_summary_region!A84</f>
        <v>02 AUCKLAND</v>
      </c>
      <c r="B84">
        <f>[5]trip_summary_region!B84</f>
        <v>0</v>
      </c>
      <c r="C84">
        <f>[5]trip_summary_region!C84</f>
        <v>2038</v>
      </c>
      <c r="D84">
        <f>[5]trip_summary_region!D84</f>
        <v>1541</v>
      </c>
      <c r="E84">
        <f>[5]trip_summary_region!E84</f>
        <v>5702</v>
      </c>
      <c r="F84">
        <f>[5]trip_summary_region!F84</f>
        <v>449.41072042000002</v>
      </c>
      <c r="G84">
        <f>[5]trip_summary_region!G84</f>
        <v>397.44956268999999</v>
      </c>
      <c r="H84">
        <f>[5]trip_summary_region!H84</f>
        <v>100.13169444</v>
      </c>
      <c r="I84" t="str">
        <f>[5]trip_summary_region!I84</f>
        <v>Pedestrian</v>
      </c>
      <c r="J84" t="str">
        <f>[5]trip_summary_region!J84</f>
        <v>2037/38</v>
      </c>
    </row>
    <row r="85" spans="1:10" x14ac:dyDescent="0.2">
      <c r="A85" t="str">
        <f>[5]trip_summary_region!A85</f>
        <v>02 AUCKLAND</v>
      </c>
      <c r="B85">
        <f>[5]trip_summary_region!B85</f>
        <v>0</v>
      </c>
      <c r="C85">
        <f>[5]trip_summary_region!C85</f>
        <v>2043</v>
      </c>
      <c r="D85">
        <f>[5]trip_summary_region!D85</f>
        <v>1541</v>
      </c>
      <c r="E85">
        <f>[5]trip_summary_region!E85</f>
        <v>5702</v>
      </c>
      <c r="F85">
        <f>[5]trip_summary_region!F85</f>
        <v>467.14882174000002</v>
      </c>
      <c r="G85">
        <f>[5]trip_summary_region!G85</f>
        <v>412.01702911000001</v>
      </c>
      <c r="H85">
        <f>[5]trip_summary_region!H85</f>
        <v>104.01870106</v>
      </c>
      <c r="I85" t="str">
        <f>[5]trip_summary_region!I85</f>
        <v>Pedestrian</v>
      </c>
      <c r="J85" t="str">
        <f>[5]trip_summary_region!J85</f>
        <v>2042/43</v>
      </c>
    </row>
    <row r="86" spans="1:10" x14ac:dyDescent="0.2">
      <c r="A86" t="str">
        <f>[5]trip_summary_region!A86</f>
        <v>02 AUCKLAND</v>
      </c>
      <c r="B86">
        <f>[5]trip_summary_region!B86</f>
        <v>1</v>
      </c>
      <c r="C86">
        <f>[5]trip_summary_region!C86</f>
        <v>2013</v>
      </c>
      <c r="D86">
        <f>[5]trip_summary_region!D86</f>
        <v>49</v>
      </c>
      <c r="E86">
        <f>[5]trip_summary_region!E86</f>
        <v>125</v>
      </c>
      <c r="F86">
        <f>[5]trip_summary_region!F86</f>
        <v>7.0506319707999996</v>
      </c>
      <c r="G86">
        <f>[5]trip_summary_region!G86</f>
        <v>55.843008154000003</v>
      </c>
      <c r="H86">
        <f>[5]trip_summary_region!H86</f>
        <v>4.3659429593999999</v>
      </c>
      <c r="I86" t="str">
        <f>[5]trip_summary_region!I86</f>
        <v>Cyclist</v>
      </c>
      <c r="J86" t="str">
        <f>[5]trip_summary_region!J86</f>
        <v>2012/13</v>
      </c>
    </row>
    <row r="87" spans="1:10" x14ac:dyDescent="0.2">
      <c r="A87" t="str">
        <f>[5]trip_summary_region!A87</f>
        <v>02 AUCKLAND</v>
      </c>
      <c r="B87">
        <f>[5]trip_summary_region!B87</f>
        <v>1</v>
      </c>
      <c r="C87">
        <f>[5]trip_summary_region!C87</f>
        <v>2018</v>
      </c>
      <c r="D87">
        <f>[5]trip_summary_region!D87</f>
        <v>49</v>
      </c>
      <c r="E87">
        <f>[5]trip_summary_region!E87</f>
        <v>125</v>
      </c>
      <c r="F87">
        <f>[5]trip_summary_region!F87</f>
        <v>7.8887271396000003</v>
      </c>
      <c r="G87">
        <f>[5]trip_summary_region!G87</f>
        <v>64.323243355000002</v>
      </c>
      <c r="H87">
        <f>[5]trip_summary_region!H87</f>
        <v>4.9810407221000004</v>
      </c>
      <c r="I87" t="str">
        <f>[5]trip_summary_region!I87</f>
        <v>Cyclist</v>
      </c>
      <c r="J87" t="str">
        <f>[5]trip_summary_region!J87</f>
        <v>2017/18</v>
      </c>
    </row>
    <row r="88" spans="1:10" x14ac:dyDescent="0.2">
      <c r="A88" t="str">
        <f>[5]trip_summary_region!A88</f>
        <v>02 AUCKLAND</v>
      </c>
      <c r="B88">
        <f>[5]trip_summary_region!B88</f>
        <v>1</v>
      </c>
      <c r="C88">
        <f>[5]trip_summary_region!C88</f>
        <v>2023</v>
      </c>
      <c r="D88">
        <f>[5]trip_summary_region!D88</f>
        <v>49</v>
      </c>
      <c r="E88">
        <f>[5]trip_summary_region!E88</f>
        <v>125</v>
      </c>
      <c r="F88">
        <f>[5]trip_summary_region!F88</f>
        <v>8.5543722765000005</v>
      </c>
      <c r="G88">
        <f>[5]trip_summary_region!G88</f>
        <v>70.485647043</v>
      </c>
      <c r="H88">
        <f>[5]trip_summary_region!H88</f>
        <v>5.4283595900000003</v>
      </c>
      <c r="I88" t="str">
        <f>[5]trip_summary_region!I88</f>
        <v>Cyclist</v>
      </c>
      <c r="J88" t="str">
        <f>[5]trip_summary_region!J88</f>
        <v>2022/23</v>
      </c>
    </row>
    <row r="89" spans="1:10" x14ac:dyDescent="0.2">
      <c r="A89" t="str">
        <f>[5]trip_summary_region!A89</f>
        <v>02 AUCKLAND</v>
      </c>
      <c r="B89">
        <f>[5]trip_summary_region!B89</f>
        <v>1</v>
      </c>
      <c r="C89">
        <f>[5]trip_summary_region!C89</f>
        <v>2028</v>
      </c>
      <c r="D89">
        <f>[5]trip_summary_region!D89</f>
        <v>49</v>
      </c>
      <c r="E89">
        <f>[5]trip_summary_region!E89</f>
        <v>125</v>
      </c>
      <c r="F89">
        <f>[5]trip_summary_region!F89</f>
        <v>9.0987588139</v>
      </c>
      <c r="G89">
        <f>[5]trip_summary_region!G89</f>
        <v>74.996569476000005</v>
      </c>
      <c r="H89">
        <f>[5]trip_summary_region!H89</f>
        <v>5.7480668307</v>
      </c>
      <c r="I89" t="str">
        <f>[5]trip_summary_region!I89</f>
        <v>Cyclist</v>
      </c>
      <c r="J89" t="str">
        <f>[5]trip_summary_region!J89</f>
        <v>2027/28</v>
      </c>
    </row>
    <row r="90" spans="1:10" x14ac:dyDescent="0.2">
      <c r="A90" t="str">
        <f>[5]trip_summary_region!A90</f>
        <v>02 AUCKLAND</v>
      </c>
      <c r="B90">
        <f>[5]trip_summary_region!B90</f>
        <v>1</v>
      </c>
      <c r="C90">
        <f>[5]trip_summary_region!C90</f>
        <v>2033</v>
      </c>
      <c r="D90">
        <f>[5]trip_summary_region!D90</f>
        <v>49</v>
      </c>
      <c r="E90">
        <f>[5]trip_summary_region!E90</f>
        <v>125</v>
      </c>
      <c r="F90">
        <f>[5]trip_summary_region!F90</f>
        <v>9.5405365872000001</v>
      </c>
      <c r="G90">
        <f>[5]trip_summary_region!G90</f>
        <v>80.485757895999996</v>
      </c>
      <c r="H90">
        <f>[5]trip_summary_region!H90</f>
        <v>6.1186436941000002</v>
      </c>
      <c r="I90" t="str">
        <f>[5]trip_summary_region!I90</f>
        <v>Cyclist</v>
      </c>
      <c r="J90" t="str">
        <f>[5]trip_summary_region!J90</f>
        <v>2032/33</v>
      </c>
    </row>
    <row r="91" spans="1:10" x14ac:dyDescent="0.2">
      <c r="A91" t="str">
        <f>[5]trip_summary_region!A91</f>
        <v>02 AUCKLAND</v>
      </c>
      <c r="B91">
        <f>[5]trip_summary_region!B91</f>
        <v>1</v>
      </c>
      <c r="C91">
        <f>[5]trip_summary_region!C91</f>
        <v>2038</v>
      </c>
      <c r="D91">
        <f>[5]trip_summary_region!D91</f>
        <v>49</v>
      </c>
      <c r="E91">
        <f>[5]trip_summary_region!E91</f>
        <v>125</v>
      </c>
      <c r="F91">
        <f>[5]trip_summary_region!F91</f>
        <v>10.205359499</v>
      </c>
      <c r="G91">
        <f>[5]trip_summary_region!G91</f>
        <v>88.396800992999999</v>
      </c>
      <c r="H91">
        <f>[5]trip_summary_region!H91</f>
        <v>6.6527695841999996</v>
      </c>
      <c r="I91" t="str">
        <f>[5]trip_summary_region!I91</f>
        <v>Cyclist</v>
      </c>
      <c r="J91" t="str">
        <f>[5]trip_summary_region!J91</f>
        <v>2037/38</v>
      </c>
    </row>
    <row r="92" spans="1:10" x14ac:dyDescent="0.2">
      <c r="A92" t="str">
        <f>[5]trip_summary_region!A92</f>
        <v>02 AUCKLAND</v>
      </c>
      <c r="B92">
        <f>[5]trip_summary_region!B92</f>
        <v>1</v>
      </c>
      <c r="C92">
        <f>[5]trip_summary_region!C92</f>
        <v>2043</v>
      </c>
      <c r="D92">
        <f>[5]trip_summary_region!D92</f>
        <v>49</v>
      </c>
      <c r="E92">
        <f>[5]trip_summary_region!E92</f>
        <v>125</v>
      </c>
      <c r="F92">
        <f>[5]trip_summary_region!F92</f>
        <v>10.847880203000001</v>
      </c>
      <c r="G92">
        <f>[5]trip_summary_region!G92</f>
        <v>96.285089486000004</v>
      </c>
      <c r="H92">
        <f>[5]trip_summary_region!H92</f>
        <v>7.183244352</v>
      </c>
      <c r="I92" t="str">
        <f>[5]trip_summary_region!I92</f>
        <v>Cyclist</v>
      </c>
      <c r="J92" t="str">
        <f>[5]trip_summary_region!J92</f>
        <v>2042/43</v>
      </c>
    </row>
    <row r="93" spans="1:10" x14ac:dyDescent="0.2">
      <c r="A93" t="str">
        <f>[5]trip_summary_region!A93</f>
        <v>02 AUCKLAND</v>
      </c>
      <c r="B93">
        <f>[5]trip_summary_region!B93</f>
        <v>2</v>
      </c>
      <c r="C93">
        <f>[5]trip_summary_region!C93</f>
        <v>2013</v>
      </c>
      <c r="D93">
        <f>[5]trip_summary_region!D93</f>
        <v>2765</v>
      </c>
      <c r="E93">
        <f>[5]trip_summary_region!E93</f>
        <v>18286</v>
      </c>
      <c r="F93">
        <f>[5]trip_summary_region!F93</f>
        <v>981.24355252999999</v>
      </c>
      <c r="G93">
        <f>[5]trip_summary_region!G93</f>
        <v>9374.4733825999992</v>
      </c>
      <c r="H93">
        <f>[5]trip_summary_region!H93</f>
        <v>295.36669345000001</v>
      </c>
      <c r="I93" t="str">
        <f>[5]trip_summary_region!I93</f>
        <v>Light Vehicle Driver</v>
      </c>
      <c r="J93" t="str">
        <f>[5]trip_summary_region!J93</f>
        <v>2012/13</v>
      </c>
    </row>
    <row r="94" spans="1:10" x14ac:dyDescent="0.2">
      <c r="A94" t="str">
        <f>[5]trip_summary_region!A94</f>
        <v>02 AUCKLAND</v>
      </c>
      <c r="B94">
        <f>[5]trip_summary_region!B94</f>
        <v>2</v>
      </c>
      <c r="C94">
        <f>[5]trip_summary_region!C94</f>
        <v>2018</v>
      </c>
      <c r="D94">
        <f>[5]trip_summary_region!D94</f>
        <v>2765</v>
      </c>
      <c r="E94">
        <f>[5]trip_summary_region!E94</f>
        <v>18286</v>
      </c>
      <c r="F94">
        <f>[5]trip_summary_region!F94</f>
        <v>1113.3408606999999</v>
      </c>
      <c r="G94">
        <f>[5]trip_summary_region!G94</f>
        <v>10682.645270000001</v>
      </c>
      <c r="H94">
        <f>[5]trip_summary_region!H94</f>
        <v>336.39468921999998</v>
      </c>
      <c r="I94" t="str">
        <f>[5]trip_summary_region!I94</f>
        <v>Light Vehicle Driver</v>
      </c>
      <c r="J94" t="str">
        <f>[5]trip_summary_region!J94</f>
        <v>2017/18</v>
      </c>
    </row>
    <row r="95" spans="1:10" x14ac:dyDescent="0.2">
      <c r="A95" t="str">
        <f>[5]trip_summary_region!A95</f>
        <v>02 AUCKLAND</v>
      </c>
      <c r="B95">
        <f>[5]trip_summary_region!B95</f>
        <v>2</v>
      </c>
      <c r="C95">
        <f>[5]trip_summary_region!C95</f>
        <v>2023</v>
      </c>
      <c r="D95">
        <f>[5]trip_summary_region!D95</f>
        <v>2765</v>
      </c>
      <c r="E95">
        <f>[5]trip_summary_region!E95</f>
        <v>18286</v>
      </c>
      <c r="F95">
        <f>[5]trip_summary_region!F95</f>
        <v>1204.6281524000001</v>
      </c>
      <c r="G95">
        <f>[5]trip_summary_region!G95</f>
        <v>11538.732435</v>
      </c>
      <c r="H95">
        <f>[5]trip_summary_region!H95</f>
        <v>363.56406843000002</v>
      </c>
      <c r="I95" t="str">
        <f>[5]trip_summary_region!I95</f>
        <v>Light Vehicle Driver</v>
      </c>
      <c r="J95" t="str">
        <f>[5]trip_summary_region!J95</f>
        <v>2022/23</v>
      </c>
    </row>
    <row r="96" spans="1:10" x14ac:dyDescent="0.2">
      <c r="A96" t="str">
        <f>[5]trip_summary_region!A96</f>
        <v>02 AUCKLAND</v>
      </c>
      <c r="B96">
        <f>[5]trip_summary_region!B96</f>
        <v>2</v>
      </c>
      <c r="C96">
        <f>[5]trip_summary_region!C96</f>
        <v>2028</v>
      </c>
      <c r="D96">
        <f>[5]trip_summary_region!D96</f>
        <v>2765</v>
      </c>
      <c r="E96">
        <f>[5]trip_summary_region!E96</f>
        <v>18286</v>
      </c>
      <c r="F96">
        <f>[5]trip_summary_region!F96</f>
        <v>1277.3423567</v>
      </c>
      <c r="G96">
        <f>[5]trip_summary_region!G96</f>
        <v>12208.241561999999</v>
      </c>
      <c r="H96">
        <f>[5]trip_summary_region!H96</f>
        <v>384.54108409999998</v>
      </c>
      <c r="I96" t="str">
        <f>[5]trip_summary_region!I96</f>
        <v>Light Vehicle Driver</v>
      </c>
      <c r="J96" t="str">
        <f>[5]trip_summary_region!J96</f>
        <v>2027/28</v>
      </c>
    </row>
    <row r="97" spans="1:10" x14ac:dyDescent="0.2">
      <c r="A97" t="str">
        <f>[5]trip_summary_region!A97</f>
        <v>02 AUCKLAND</v>
      </c>
      <c r="B97">
        <f>[5]trip_summary_region!B97</f>
        <v>2</v>
      </c>
      <c r="C97">
        <f>[5]trip_summary_region!C97</f>
        <v>2033</v>
      </c>
      <c r="D97">
        <f>[5]trip_summary_region!D97</f>
        <v>2765</v>
      </c>
      <c r="E97">
        <f>[5]trip_summary_region!E97</f>
        <v>18286</v>
      </c>
      <c r="F97">
        <f>[5]trip_summary_region!F97</f>
        <v>1352.4343154999999</v>
      </c>
      <c r="G97">
        <f>[5]trip_summary_region!G97</f>
        <v>12910.834150999999</v>
      </c>
      <c r="H97">
        <f>[5]trip_summary_region!H97</f>
        <v>406.73776893000002</v>
      </c>
      <c r="I97" t="str">
        <f>[5]trip_summary_region!I97</f>
        <v>Light Vehicle Driver</v>
      </c>
      <c r="J97" t="str">
        <f>[5]trip_summary_region!J97</f>
        <v>2032/33</v>
      </c>
    </row>
    <row r="98" spans="1:10" x14ac:dyDescent="0.2">
      <c r="A98" t="str">
        <f>[5]trip_summary_region!A98</f>
        <v>02 AUCKLAND</v>
      </c>
      <c r="B98">
        <f>[5]trip_summary_region!B98</f>
        <v>2</v>
      </c>
      <c r="C98">
        <f>[5]trip_summary_region!C98</f>
        <v>2038</v>
      </c>
      <c r="D98">
        <f>[5]trip_summary_region!D98</f>
        <v>2765</v>
      </c>
      <c r="E98">
        <f>[5]trip_summary_region!E98</f>
        <v>18286</v>
      </c>
      <c r="F98">
        <f>[5]trip_summary_region!F98</f>
        <v>1422.0853603</v>
      </c>
      <c r="G98">
        <f>[5]trip_summary_region!G98</f>
        <v>13547.176586</v>
      </c>
      <c r="H98">
        <f>[5]trip_summary_region!H98</f>
        <v>427.575467</v>
      </c>
      <c r="I98" t="str">
        <f>[5]trip_summary_region!I98</f>
        <v>Light Vehicle Driver</v>
      </c>
      <c r="J98" t="str">
        <f>[5]trip_summary_region!J98</f>
        <v>2037/38</v>
      </c>
    </row>
    <row r="99" spans="1:10" x14ac:dyDescent="0.2">
      <c r="A99" t="str">
        <f>[5]trip_summary_region!A99</f>
        <v>02 AUCKLAND</v>
      </c>
      <c r="B99">
        <f>[5]trip_summary_region!B99</f>
        <v>2</v>
      </c>
      <c r="C99">
        <f>[5]trip_summary_region!C99</f>
        <v>2043</v>
      </c>
      <c r="D99">
        <f>[5]trip_summary_region!D99</f>
        <v>2765</v>
      </c>
      <c r="E99">
        <f>[5]trip_summary_region!E99</f>
        <v>18286</v>
      </c>
      <c r="F99">
        <f>[5]trip_summary_region!F99</f>
        <v>1484.9577385</v>
      </c>
      <c r="G99">
        <f>[5]trip_summary_region!G99</f>
        <v>14130.788447999999</v>
      </c>
      <c r="H99">
        <f>[5]trip_summary_region!H99</f>
        <v>446.65725065999999</v>
      </c>
      <c r="I99" t="str">
        <f>[5]trip_summary_region!I99</f>
        <v>Light Vehicle Driver</v>
      </c>
      <c r="J99" t="str">
        <f>[5]trip_summary_region!J99</f>
        <v>2042/43</v>
      </c>
    </row>
    <row r="100" spans="1:10" x14ac:dyDescent="0.2">
      <c r="A100" t="str">
        <f>[5]trip_summary_region!A100</f>
        <v>02 AUCKLAND</v>
      </c>
      <c r="B100">
        <f>[5]trip_summary_region!B100</f>
        <v>3</v>
      </c>
      <c r="C100">
        <f>[5]trip_summary_region!C100</f>
        <v>2013</v>
      </c>
      <c r="D100">
        <f>[5]trip_summary_region!D100</f>
        <v>2092</v>
      </c>
      <c r="E100">
        <f>[5]trip_summary_region!E100</f>
        <v>9587</v>
      </c>
      <c r="F100">
        <f>[5]trip_summary_region!F100</f>
        <v>488.06073574999999</v>
      </c>
      <c r="G100">
        <f>[5]trip_summary_region!G100</f>
        <v>4814.6436660999998</v>
      </c>
      <c r="H100">
        <f>[5]trip_summary_region!H100</f>
        <v>145.42645436999999</v>
      </c>
      <c r="I100" t="str">
        <f>[5]trip_summary_region!I100</f>
        <v>Light Vehicle Passenger</v>
      </c>
      <c r="J100" t="str">
        <f>[5]trip_summary_region!J100</f>
        <v>2012/13</v>
      </c>
    </row>
    <row r="101" spans="1:10" x14ac:dyDescent="0.2">
      <c r="A101" t="str">
        <f>[5]trip_summary_region!A101</f>
        <v>02 AUCKLAND</v>
      </c>
      <c r="B101">
        <f>[5]trip_summary_region!B101</f>
        <v>3</v>
      </c>
      <c r="C101">
        <f>[5]trip_summary_region!C101</f>
        <v>2018</v>
      </c>
      <c r="D101">
        <f>[5]trip_summary_region!D101</f>
        <v>2092</v>
      </c>
      <c r="E101">
        <f>[5]trip_summary_region!E101</f>
        <v>9587</v>
      </c>
      <c r="F101">
        <f>[5]trip_summary_region!F101</f>
        <v>529.50577677000001</v>
      </c>
      <c r="G101">
        <f>[5]trip_summary_region!G101</f>
        <v>5299.5171631000003</v>
      </c>
      <c r="H101">
        <f>[5]trip_summary_region!H101</f>
        <v>158.95245370999999</v>
      </c>
      <c r="I101" t="str">
        <f>[5]trip_summary_region!I101</f>
        <v>Light Vehicle Passenger</v>
      </c>
      <c r="J101" t="str">
        <f>[5]trip_summary_region!J101</f>
        <v>2017/18</v>
      </c>
    </row>
    <row r="102" spans="1:10" x14ac:dyDescent="0.2">
      <c r="A102" t="str">
        <f>[5]trip_summary_region!A102</f>
        <v>02 AUCKLAND</v>
      </c>
      <c r="B102">
        <f>[5]trip_summary_region!B102</f>
        <v>3</v>
      </c>
      <c r="C102">
        <f>[5]trip_summary_region!C102</f>
        <v>2023</v>
      </c>
      <c r="D102">
        <f>[5]trip_summary_region!D102</f>
        <v>2092</v>
      </c>
      <c r="E102">
        <f>[5]trip_summary_region!E102</f>
        <v>9587</v>
      </c>
      <c r="F102">
        <f>[5]trip_summary_region!F102</f>
        <v>562.85545287000002</v>
      </c>
      <c r="G102">
        <f>[5]trip_summary_region!G102</f>
        <v>5674.9907599999997</v>
      </c>
      <c r="H102">
        <f>[5]trip_summary_region!H102</f>
        <v>169.27055988000001</v>
      </c>
      <c r="I102" t="str">
        <f>[5]trip_summary_region!I102</f>
        <v>Light Vehicle Passenger</v>
      </c>
      <c r="J102" t="str">
        <f>[5]trip_summary_region!J102</f>
        <v>2022/23</v>
      </c>
    </row>
    <row r="103" spans="1:10" x14ac:dyDescent="0.2">
      <c r="A103" t="str">
        <f>[5]trip_summary_region!A103</f>
        <v>02 AUCKLAND</v>
      </c>
      <c r="B103">
        <f>[5]trip_summary_region!B103</f>
        <v>3</v>
      </c>
      <c r="C103">
        <f>[5]trip_summary_region!C103</f>
        <v>2028</v>
      </c>
      <c r="D103">
        <f>[5]trip_summary_region!D103</f>
        <v>2092</v>
      </c>
      <c r="E103">
        <f>[5]trip_summary_region!E103</f>
        <v>9587</v>
      </c>
      <c r="F103">
        <f>[5]trip_summary_region!F103</f>
        <v>593.70059818000004</v>
      </c>
      <c r="G103">
        <f>[5]trip_summary_region!G103</f>
        <v>6019.8205324999999</v>
      </c>
      <c r="H103">
        <f>[5]trip_summary_region!H103</f>
        <v>178.67030728</v>
      </c>
      <c r="I103" t="str">
        <f>[5]trip_summary_region!I103</f>
        <v>Light Vehicle Passenger</v>
      </c>
      <c r="J103" t="str">
        <f>[5]trip_summary_region!J103</f>
        <v>2027/28</v>
      </c>
    </row>
    <row r="104" spans="1:10" x14ac:dyDescent="0.2">
      <c r="A104" t="str">
        <f>[5]trip_summary_region!A104</f>
        <v>02 AUCKLAND</v>
      </c>
      <c r="B104">
        <f>[5]trip_summary_region!B104</f>
        <v>3</v>
      </c>
      <c r="C104">
        <f>[5]trip_summary_region!C104</f>
        <v>2033</v>
      </c>
      <c r="D104">
        <f>[5]trip_summary_region!D104</f>
        <v>2092</v>
      </c>
      <c r="E104">
        <f>[5]trip_summary_region!E104</f>
        <v>9587</v>
      </c>
      <c r="F104">
        <f>[5]trip_summary_region!F104</f>
        <v>623.08895070000005</v>
      </c>
      <c r="G104">
        <f>[5]trip_summary_region!G104</f>
        <v>6327.6412596</v>
      </c>
      <c r="H104">
        <f>[5]trip_summary_region!H104</f>
        <v>187.32165502000001</v>
      </c>
      <c r="I104" t="str">
        <f>[5]trip_summary_region!I104</f>
        <v>Light Vehicle Passenger</v>
      </c>
      <c r="J104" t="str">
        <f>[5]trip_summary_region!J104</f>
        <v>2032/33</v>
      </c>
    </row>
    <row r="105" spans="1:10" x14ac:dyDescent="0.2">
      <c r="A105" t="str">
        <f>[5]trip_summary_region!A105</f>
        <v>02 AUCKLAND</v>
      </c>
      <c r="B105">
        <f>[5]trip_summary_region!B105</f>
        <v>3</v>
      </c>
      <c r="C105">
        <f>[5]trip_summary_region!C105</f>
        <v>2038</v>
      </c>
      <c r="D105">
        <f>[5]trip_summary_region!D105</f>
        <v>2092</v>
      </c>
      <c r="E105">
        <f>[5]trip_summary_region!E105</f>
        <v>9587</v>
      </c>
      <c r="F105">
        <f>[5]trip_summary_region!F105</f>
        <v>648.87826954000002</v>
      </c>
      <c r="G105">
        <f>[5]trip_summary_region!G105</f>
        <v>6621.1981527999997</v>
      </c>
      <c r="H105">
        <f>[5]trip_summary_region!H105</f>
        <v>195.35485550999999</v>
      </c>
      <c r="I105" t="str">
        <f>[5]trip_summary_region!I105</f>
        <v>Light Vehicle Passenger</v>
      </c>
      <c r="J105" t="str">
        <f>[5]trip_summary_region!J105</f>
        <v>2037/38</v>
      </c>
    </row>
    <row r="106" spans="1:10" x14ac:dyDescent="0.2">
      <c r="A106" t="str">
        <f>[5]trip_summary_region!A106</f>
        <v>02 AUCKLAND</v>
      </c>
      <c r="B106">
        <f>[5]trip_summary_region!B106</f>
        <v>3</v>
      </c>
      <c r="C106">
        <f>[5]trip_summary_region!C106</f>
        <v>2043</v>
      </c>
      <c r="D106">
        <f>[5]trip_summary_region!D106</f>
        <v>2092</v>
      </c>
      <c r="E106">
        <f>[5]trip_summary_region!E106</f>
        <v>9587</v>
      </c>
      <c r="F106">
        <f>[5]trip_summary_region!F106</f>
        <v>670.07934587</v>
      </c>
      <c r="G106">
        <f>[5]trip_summary_region!G106</f>
        <v>6875.3898245</v>
      </c>
      <c r="H106">
        <f>[5]trip_summary_region!H106</f>
        <v>202.14382459000001</v>
      </c>
      <c r="I106" t="str">
        <f>[5]trip_summary_region!I106</f>
        <v>Light Vehicle Passenger</v>
      </c>
      <c r="J106" t="str">
        <f>[5]trip_summary_region!J106</f>
        <v>2042/43</v>
      </c>
    </row>
    <row r="107" spans="1:10" x14ac:dyDescent="0.2">
      <c r="A107" t="str">
        <f>[5]trip_summary_region!A107</f>
        <v>02 AUCKLAND</v>
      </c>
      <c r="B107">
        <f>[5]trip_summary_region!B107</f>
        <v>4</v>
      </c>
      <c r="C107">
        <f>[5]trip_summary_region!C107</f>
        <v>2013</v>
      </c>
      <c r="D107">
        <f>[5]trip_summary_region!D107</f>
        <v>54</v>
      </c>
      <c r="E107">
        <f>[5]trip_summary_region!E107</f>
        <v>94</v>
      </c>
      <c r="F107">
        <f>[5]trip_summary_region!F107</f>
        <v>6.0232688673999997</v>
      </c>
      <c r="G107">
        <f>[5]trip_summary_region!G107</f>
        <v>41.157157814999998</v>
      </c>
      <c r="H107">
        <f>[5]trip_summary_region!H107</f>
        <v>1.9131795197999999</v>
      </c>
      <c r="I107" t="s">
        <v>116</v>
      </c>
      <c r="J107" t="str">
        <f>[5]trip_summary_region!J107</f>
        <v>2012/13</v>
      </c>
    </row>
    <row r="108" spans="1:10" x14ac:dyDescent="0.2">
      <c r="A108" t="str">
        <f>[5]trip_summary_region!A108</f>
        <v>02 AUCKLAND</v>
      </c>
      <c r="B108">
        <f>[5]trip_summary_region!B108</f>
        <v>4</v>
      </c>
      <c r="C108">
        <f>[5]trip_summary_region!C108</f>
        <v>2018</v>
      </c>
      <c r="D108">
        <f>[5]trip_summary_region!D108</f>
        <v>54</v>
      </c>
      <c r="E108">
        <f>[5]trip_summary_region!E108</f>
        <v>94</v>
      </c>
      <c r="F108">
        <f>[5]trip_summary_region!F108</f>
        <v>7.2352833911000003</v>
      </c>
      <c r="G108">
        <f>[5]trip_summary_region!G108</f>
        <v>50.028657789</v>
      </c>
      <c r="H108">
        <f>[5]trip_summary_region!H108</f>
        <v>2.2963852653000001</v>
      </c>
      <c r="I108" t="s">
        <v>116</v>
      </c>
      <c r="J108" t="str">
        <f>[5]trip_summary_region!J108</f>
        <v>2017/18</v>
      </c>
    </row>
    <row r="109" spans="1:10" x14ac:dyDescent="0.2">
      <c r="A109" t="str">
        <f>[5]trip_summary_region!A109</f>
        <v>02 AUCKLAND</v>
      </c>
      <c r="B109">
        <f>[5]trip_summary_region!B109</f>
        <v>4</v>
      </c>
      <c r="C109">
        <f>[5]trip_summary_region!C109</f>
        <v>2023</v>
      </c>
      <c r="D109">
        <f>[5]trip_summary_region!D109</f>
        <v>54</v>
      </c>
      <c r="E109">
        <f>[5]trip_summary_region!E109</f>
        <v>94</v>
      </c>
      <c r="F109">
        <f>[5]trip_summary_region!F109</f>
        <v>8.3698866730999999</v>
      </c>
      <c r="G109">
        <f>[5]trip_summary_region!G109</f>
        <v>59.218597435</v>
      </c>
      <c r="H109">
        <f>[5]trip_summary_region!H109</f>
        <v>2.6592429663999999</v>
      </c>
      <c r="I109" t="s">
        <v>116</v>
      </c>
      <c r="J109" t="str">
        <f>[5]trip_summary_region!J109</f>
        <v>2022/23</v>
      </c>
    </row>
    <row r="110" spans="1:10" x14ac:dyDescent="0.2">
      <c r="A110" t="str">
        <f>[5]trip_summary_region!A110</f>
        <v>02 AUCKLAND</v>
      </c>
      <c r="B110">
        <f>[5]trip_summary_region!B110</f>
        <v>4</v>
      </c>
      <c r="C110">
        <f>[5]trip_summary_region!C110</f>
        <v>2028</v>
      </c>
      <c r="D110">
        <f>[5]trip_summary_region!D110</f>
        <v>54</v>
      </c>
      <c r="E110">
        <f>[5]trip_summary_region!E110</f>
        <v>94</v>
      </c>
      <c r="F110">
        <f>[5]trip_summary_region!F110</f>
        <v>9.5788252895999992</v>
      </c>
      <c r="G110">
        <f>[5]trip_summary_region!G110</f>
        <v>69.053840624000003</v>
      </c>
      <c r="H110">
        <f>[5]trip_summary_region!H110</f>
        <v>3.0419055691999999</v>
      </c>
      <c r="I110" t="s">
        <v>116</v>
      </c>
      <c r="J110" t="str">
        <f>[5]trip_summary_region!J110</f>
        <v>2027/28</v>
      </c>
    </row>
    <row r="111" spans="1:10" x14ac:dyDescent="0.2">
      <c r="A111" t="str">
        <f>[5]trip_summary_region!A111</f>
        <v>02 AUCKLAND</v>
      </c>
      <c r="B111">
        <f>[5]trip_summary_region!B111</f>
        <v>4</v>
      </c>
      <c r="C111">
        <f>[5]trip_summary_region!C111</f>
        <v>2033</v>
      </c>
      <c r="D111">
        <f>[5]trip_summary_region!D111</f>
        <v>54</v>
      </c>
      <c r="E111">
        <f>[5]trip_summary_region!E111</f>
        <v>94</v>
      </c>
      <c r="F111">
        <f>[5]trip_summary_region!F111</f>
        <v>10.759396396</v>
      </c>
      <c r="G111">
        <f>[5]trip_summary_region!G111</f>
        <v>78.352185917</v>
      </c>
      <c r="H111">
        <f>[5]trip_summary_region!H111</f>
        <v>3.4157408883000002</v>
      </c>
      <c r="I111" t="s">
        <v>116</v>
      </c>
      <c r="J111" t="str">
        <f>[5]trip_summary_region!J111</f>
        <v>2032/33</v>
      </c>
    </row>
    <row r="112" spans="1:10" x14ac:dyDescent="0.2">
      <c r="A112" t="str">
        <f>[5]trip_summary_region!A112</f>
        <v>02 AUCKLAND</v>
      </c>
      <c r="B112">
        <f>[5]trip_summary_region!B112</f>
        <v>4</v>
      </c>
      <c r="C112">
        <f>[5]trip_summary_region!C112</f>
        <v>2038</v>
      </c>
      <c r="D112">
        <f>[5]trip_summary_region!D112</f>
        <v>54</v>
      </c>
      <c r="E112">
        <f>[5]trip_summary_region!E112</f>
        <v>94</v>
      </c>
      <c r="F112">
        <f>[5]trip_summary_region!F112</f>
        <v>11.808522829999999</v>
      </c>
      <c r="G112">
        <f>[5]trip_summary_region!G112</f>
        <v>86.601620698000005</v>
      </c>
      <c r="H112">
        <f>[5]trip_summary_region!H112</f>
        <v>3.7451322487000001</v>
      </c>
      <c r="I112" t="s">
        <v>116</v>
      </c>
      <c r="J112" t="str">
        <f>[5]trip_summary_region!J112</f>
        <v>2037/38</v>
      </c>
    </row>
    <row r="113" spans="1:10" x14ac:dyDescent="0.2">
      <c r="A113" t="str">
        <f>[5]trip_summary_region!A113</f>
        <v>02 AUCKLAND</v>
      </c>
      <c r="B113">
        <f>[5]trip_summary_region!B113</f>
        <v>4</v>
      </c>
      <c r="C113">
        <f>[5]trip_summary_region!C113</f>
        <v>2043</v>
      </c>
      <c r="D113">
        <f>[5]trip_summary_region!D113</f>
        <v>54</v>
      </c>
      <c r="E113">
        <f>[5]trip_summary_region!E113</f>
        <v>94</v>
      </c>
      <c r="F113">
        <f>[5]trip_summary_region!F113</f>
        <v>12.865843633000001</v>
      </c>
      <c r="G113">
        <f>[5]trip_summary_region!G113</f>
        <v>94.965837269000005</v>
      </c>
      <c r="H113">
        <f>[5]trip_summary_region!H113</f>
        <v>4.075781331</v>
      </c>
      <c r="I113" t="s">
        <v>116</v>
      </c>
      <c r="J113" t="str">
        <f>[5]trip_summary_region!J113</f>
        <v>2042/43</v>
      </c>
    </row>
    <row r="114" spans="1:10" x14ac:dyDescent="0.2">
      <c r="A114" t="str">
        <f>[5]trip_summary_region!A114</f>
        <v>02 AUCKLAND</v>
      </c>
      <c r="B114">
        <f>[5]trip_summary_region!B114</f>
        <v>5</v>
      </c>
      <c r="C114">
        <f>[5]trip_summary_region!C114</f>
        <v>2013</v>
      </c>
      <c r="D114">
        <f>[5]trip_summary_region!D114</f>
        <v>15</v>
      </c>
      <c r="E114">
        <f>[5]trip_summary_region!E114</f>
        <v>69</v>
      </c>
      <c r="F114">
        <f>[5]trip_summary_region!F114</f>
        <v>4.1170216905999997</v>
      </c>
      <c r="G114">
        <f>[5]trip_summary_region!G114</f>
        <v>43.570185572</v>
      </c>
      <c r="H114">
        <f>[5]trip_summary_region!H114</f>
        <v>1.5334409518000001</v>
      </c>
      <c r="I114" t="str">
        <f>[5]trip_summary_region!I114</f>
        <v>Motorcyclist</v>
      </c>
      <c r="J114" t="str">
        <f>[5]trip_summary_region!J114</f>
        <v>2012/13</v>
      </c>
    </row>
    <row r="115" spans="1:10" x14ac:dyDescent="0.2">
      <c r="A115" t="str">
        <f>[5]trip_summary_region!A115</f>
        <v>02 AUCKLAND</v>
      </c>
      <c r="B115">
        <f>[5]trip_summary_region!B115</f>
        <v>5</v>
      </c>
      <c r="C115">
        <f>[5]trip_summary_region!C115</f>
        <v>2018</v>
      </c>
      <c r="D115">
        <f>[5]trip_summary_region!D115</f>
        <v>15</v>
      </c>
      <c r="E115">
        <f>[5]trip_summary_region!E115</f>
        <v>69</v>
      </c>
      <c r="F115">
        <f>[5]trip_summary_region!F115</f>
        <v>4.7313973600999999</v>
      </c>
      <c r="G115">
        <f>[5]trip_summary_region!G115</f>
        <v>49.945812476</v>
      </c>
      <c r="H115">
        <f>[5]trip_summary_region!H115</f>
        <v>1.7760237491999999</v>
      </c>
      <c r="I115" t="str">
        <f>[5]trip_summary_region!I115</f>
        <v>Motorcyclist</v>
      </c>
      <c r="J115" t="str">
        <f>[5]trip_summary_region!J115</f>
        <v>2017/18</v>
      </c>
    </row>
    <row r="116" spans="1:10" x14ac:dyDescent="0.2">
      <c r="A116" t="str">
        <f>[5]trip_summary_region!A116</f>
        <v>02 AUCKLAND</v>
      </c>
      <c r="B116">
        <f>[5]trip_summary_region!B116</f>
        <v>5</v>
      </c>
      <c r="C116">
        <f>[5]trip_summary_region!C116</f>
        <v>2023</v>
      </c>
      <c r="D116">
        <f>[5]trip_summary_region!D116</f>
        <v>15</v>
      </c>
      <c r="E116">
        <f>[5]trip_summary_region!E116</f>
        <v>69</v>
      </c>
      <c r="F116">
        <f>[5]trip_summary_region!F116</f>
        <v>5.2998143878999997</v>
      </c>
      <c r="G116">
        <f>[5]trip_summary_region!G116</f>
        <v>54.167794825000001</v>
      </c>
      <c r="H116">
        <f>[5]trip_summary_region!H116</f>
        <v>1.9620104072</v>
      </c>
      <c r="I116" t="str">
        <f>[5]trip_summary_region!I116</f>
        <v>Motorcyclist</v>
      </c>
      <c r="J116" t="str">
        <f>[5]trip_summary_region!J116</f>
        <v>2022/23</v>
      </c>
    </row>
    <row r="117" spans="1:10" x14ac:dyDescent="0.2">
      <c r="A117" t="str">
        <f>[5]trip_summary_region!A117</f>
        <v>02 AUCKLAND</v>
      </c>
      <c r="B117">
        <f>[5]trip_summary_region!B117</f>
        <v>5</v>
      </c>
      <c r="C117">
        <f>[5]trip_summary_region!C117</f>
        <v>2028</v>
      </c>
      <c r="D117">
        <f>[5]trip_summary_region!D117</f>
        <v>15</v>
      </c>
      <c r="E117">
        <f>[5]trip_summary_region!E117</f>
        <v>69</v>
      </c>
      <c r="F117">
        <f>[5]trip_summary_region!F117</f>
        <v>5.9718867377000002</v>
      </c>
      <c r="G117">
        <f>[5]trip_summary_region!G117</f>
        <v>58.128926276999998</v>
      </c>
      <c r="H117">
        <f>[5]trip_summary_region!H117</f>
        <v>2.1494213970999998</v>
      </c>
      <c r="I117" t="str">
        <f>[5]trip_summary_region!I117</f>
        <v>Motorcyclist</v>
      </c>
      <c r="J117" t="str">
        <f>[5]trip_summary_region!J117</f>
        <v>2027/28</v>
      </c>
    </row>
    <row r="118" spans="1:10" x14ac:dyDescent="0.2">
      <c r="A118" t="str">
        <f>[5]trip_summary_region!A118</f>
        <v>02 AUCKLAND</v>
      </c>
      <c r="B118">
        <f>[5]trip_summary_region!B118</f>
        <v>5</v>
      </c>
      <c r="C118">
        <f>[5]trip_summary_region!C118</f>
        <v>2033</v>
      </c>
      <c r="D118">
        <f>[5]trip_summary_region!D118</f>
        <v>15</v>
      </c>
      <c r="E118">
        <f>[5]trip_summary_region!E118</f>
        <v>69</v>
      </c>
      <c r="F118">
        <f>[5]trip_summary_region!F118</f>
        <v>6.5645294598000001</v>
      </c>
      <c r="G118">
        <f>[5]trip_summary_region!G118</f>
        <v>62.295299972999999</v>
      </c>
      <c r="H118">
        <f>[5]trip_summary_region!H118</f>
        <v>2.3386744127000001</v>
      </c>
      <c r="I118" t="str">
        <f>[5]trip_summary_region!I118</f>
        <v>Motorcyclist</v>
      </c>
      <c r="J118" t="str">
        <f>[5]trip_summary_region!J118</f>
        <v>2032/33</v>
      </c>
    </row>
    <row r="119" spans="1:10" x14ac:dyDescent="0.2">
      <c r="A119" t="str">
        <f>[5]trip_summary_region!A119</f>
        <v>02 AUCKLAND</v>
      </c>
      <c r="B119">
        <f>[5]trip_summary_region!B119</f>
        <v>5</v>
      </c>
      <c r="C119">
        <f>[5]trip_summary_region!C119</f>
        <v>2038</v>
      </c>
      <c r="D119">
        <f>[5]trip_summary_region!D119</f>
        <v>15</v>
      </c>
      <c r="E119">
        <f>[5]trip_summary_region!E119</f>
        <v>69</v>
      </c>
      <c r="F119">
        <f>[5]trip_summary_region!F119</f>
        <v>6.8239964105000004</v>
      </c>
      <c r="G119">
        <f>[5]trip_summary_region!G119</f>
        <v>64.702701042000001</v>
      </c>
      <c r="H119">
        <f>[5]trip_summary_region!H119</f>
        <v>2.4597771864000002</v>
      </c>
      <c r="I119" t="str">
        <f>[5]trip_summary_region!I119</f>
        <v>Motorcyclist</v>
      </c>
      <c r="J119" t="str">
        <f>[5]trip_summary_region!J119</f>
        <v>2037/38</v>
      </c>
    </row>
    <row r="120" spans="1:10" x14ac:dyDescent="0.2">
      <c r="A120" t="str">
        <f>[5]trip_summary_region!A120</f>
        <v>02 AUCKLAND</v>
      </c>
      <c r="B120">
        <f>[5]trip_summary_region!B120</f>
        <v>5</v>
      </c>
      <c r="C120">
        <f>[5]trip_summary_region!C120</f>
        <v>2043</v>
      </c>
      <c r="D120">
        <f>[5]trip_summary_region!D120</f>
        <v>15</v>
      </c>
      <c r="E120">
        <f>[5]trip_summary_region!E120</f>
        <v>69</v>
      </c>
      <c r="F120">
        <f>[5]trip_summary_region!F120</f>
        <v>7.0434695846000004</v>
      </c>
      <c r="G120">
        <f>[5]trip_summary_region!G120</f>
        <v>66.909300877000007</v>
      </c>
      <c r="H120">
        <f>[5]trip_summary_region!H120</f>
        <v>2.5713561492000001</v>
      </c>
      <c r="I120" t="str">
        <f>[5]trip_summary_region!I120</f>
        <v>Motorcyclist</v>
      </c>
      <c r="J120" t="str">
        <f>[5]trip_summary_region!J120</f>
        <v>2042/43</v>
      </c>
    </row>
    <row r="121" spans="1:10" x14ac:dyDescent="0.2">
      <c r="A121" t="str">
        <f>[5]trip_summary_region!A121</f>
        <v>02 AUCKLAND</v>
      </c>
      <c r="B121">
        <f>[5]trip_summary_region!B121</f>
        <v>6</v>
      </c>
      <c r="C121">
        <f>[5]trip_summary_region!C121</f>
        <v>2013</v>
      </c>
      <c r="D121">
        <f>[5]trip_summary_region!D121</f>
        <v>83</v>
      </c>
      <c r="E121">
        <f>[5]trip_summary_region!E121</f>
        <v>197</v>
      </c>
      <c r="F121">
        <f>[5]trip_summary_region!F121</f>
        <v>10.588451037</v>
      </c>
      <c r="G121">
        <f>[5]trip_summary_region!G121</f>
        <v>126.27968744</v>
      </c>
      <c r="H121">
        <f>[5]trip_summary_region!H121</f>
        <v>4.2843438359999997</v>
      </c>
      <c r="I121" t="str">
        <f>[5]trip_summary_region!I121</f>
        <v>Local Train</v>
      </c>
      <c r="J121" t="str">
        <f>[5]trip_summary_region!J121</f>
        <v>2012/13</v>
      </c>
    </row>
    <row r="122" spans="1:10" x14ac:dyDescent="0.2">
      <c r="A122" t="str">
        <f>[5]trip_summary_region!A122</f>
        <v>02 AUCKLAND</v>
      </c>
      <c r="B122">
        <f>[5]trip_summary_region!B122</f>
        <v>6</v>
      </c>
      <c r="C122">
        <f>[5]trip_summary_region!C122</f>
        <v>2018</v>
      </c>
      <c r="D122">
        <f>[5]trip_summary_region!D122</f>
        <v>83</v>
      </c>
      <c r="E122">
        <f>[5]trip_summary_region!E122</f>
        <v>197</v>
      </c>
      <c r="F122">
        <f>[5]trip_summary_region!F122</f>
        <v>11.937472622</v>
      </c>
      <c r="G122">
        <f>[5]trip_summary_region!G122</f>
        <v>144.32576847999999</v>
      </c>
      <c r="H122">
        <f>[5]trip_summary_region!H122</f>
        <v>4.8988979616000004</v>
      </c>
      <c r="I122" t="str">
        <f>[5]trip_summary_region!I122</f>
        <v>Local Train</v>
      </c>
      <c r="J122" t="str">
        <f>[5]trip_summary_region!J122</f>
        <v>2017/18</v>
      </c>
    </row>
    <row r="123" spans="1:10" x14ac:dyDescent="0.2">
      <c r="A123" t="str">
        <f>[5]trip_summary_region!A123</f>
        <v>02 AUCKLAND</v>
      </c>
      <c r="B123">
        <f>[5]trip_summary_region!B123</f>
        <v>6</v>
      </c>
      <c r="C123">
        <f>[5]trip_summary_region!C123</f>
        <v>2023</v>
      </c>
      <c r="D123">
        <f>[5]trip_summary_region!D123</f>
        <v>83</v>
      </c>
      <c r="E123">
        <f>[5]trip_summary_region!E123</f>
        <v>197</v>
      </c>
      <c r="F123">
        <f>[5]trip_summary_region!F123</f>
        <v>12.872055543</v>
      </c>
      <c r="G123">
        <f>[5]trip_summary_region!G123</f>
        <v>156.37574419000001</v>
      </c>
      <c r="H123">
        <f>[5]trip_summary_region!H123</f>
        <v>5.3217289628</v>
      </c>
      <c r="I123" t="str">
        <f>[5]trip_summary_region!I123</f>
        <v>Local Train</v>
      </c>
      <c r="J123" t="str">
        <f>[5]trip_summary_region!J123</f>
        <v>2022/23</v>
      </c>
    </row>
    <row r="124" spans="1:10" x14ac:dyDescent="0.2">
      <c r="A124" t="str">
        <f>[5]trip_summary_region!A124</f>
        <v>02 AUCKLAND</v>
      </c>
      <c r="B124">
        <f>[5]trip_summary_region!B124</f>
        <v>6</v>
      </c>
      <c r="C124">
        <f>[5]trip_summary_region!C124</f>
        <v>2028</v>
      </c>
      <c r="D124">
        <f>[5]trip_summary_region!D124</f>
        <v>83</v>
      </c>
      <c r="E124">
        <f>[5]trip_summary_region!E124</f>
        <v>197</v>
      </c>
      <c r="F124">
        <f>[5]trip_summary_region!F124</f>
        <v>13.837702297</v>
      </c>
      <c r="G124">
        <f>[5]trip_summary_region!G124</f>
        <v>167.89874710000001</v>
      </c>
      <c r="H124">
        <f>[5]trip_summary_region!H124</f>
        <v>5.7082717365000004</v>
      </c>
      <c r="I124" t="str">
        <f>[5]trip_summary_region!I124</f>
        <v>Local Train</v>
      </c>
      <c r="J124" t="str">
        <f>[5]trip_summary_region!J124</f>
        <v>2027/28</v>
      </c>
    </row>
    <row r="125" spans="1:10" x14ac:dyDescent="0.2">
      <c r="A125" t="str">
        <f>[5]trip_summary_region!A125</f>
        <v>02 AUCKLAND</v>
      </c>
      <c r="B125">
        <f>[5]trip_summary_region!B125</f>
        <v>6</v>
      </c>
      <c r="C125">
        <f>[5]trip_summary_region!C125</f>
        <v>2033</v>
      </c>
      <c r="D125">
        <f>[5]trip_summary_region!D125</f>
        <v>83</v>
      </c>
      <c r="E125">
        <f>[5]trip_summary_region!E125</f>
        <v>197</v>
      </c>
      <c r="F125">
        <f>[5]trip_summary_region!F125</f>
        <v>14.702700576</v>
      </c>
      <c r="G125">
        <f>[5]trip_summary_region!G125</f>
        <v>178.86448240000001</v>
      </c>
      <c r="H125">
        <f>[5]trip_summary_region!H125</f>
        <v>6.0546913252000003</v>
      </c>
      <c r="I125" t="str">
        <f>[5]trip_summary_region!I125</f>
        <v>Local Train</v>
      </c>
      <c r="J125" t="str">
        <f>[5]trip_summary_region!J125</f>
        <v>2032/33</v>
      </c>
    </row>
    <row r="126" spans="1:10" x14ac:dyDescent="0.2">
      <c r="A126" t="str">
        <f>[5]trip_summary_region!A126</f>
        <v>02 AUCKLAND</v>
      </c>
      <c r="B126">
        <f>[5]trip_summary_region!B126</f>
        <v>6</v>
      </c>
      <c r="C126">
        <f>[5]trip_summary_region!C126</f>
        <v>2038</v>
      </c>
      <c r="D126">
        <f>[5]trip_summary_region!D126</f>
        <v>83</v>
      </c>
      <c r="E126">
        <f>[5]trip_summary_region!E126</f>
        <v>197</v>
      </c>
      <c r="F126">
        <f>[5]trip_summary_region!F126</f>
        <v>15.334267584999999</v>
      </c>
      <c r="G126">
        <f>[5]trip_summary_region!G126</f>
        <v>187.36236491</v>
      </c>
      <c r="H126">
        <f>[5]trip_summary_region!H126</f>
        <v>6.3408358907000002</v>
      </c>
      <c r="I126" t="str">
        <f>[5]trip_summary_region!I126</f>
        <v>Local Train</v>
      </c>
      <c r="J126" t="str">
        <f>[5]trip_summary_region!J126</f>
        <v>2037/38</v>
      </c>
    </row>
    <row r="127" spans="1:10" x14ac:dyDescent="0.2">
      <c r="A127" t="str">
        <f>[5]trip_summary_region!A127</f>
        <v>02 AUCKLAND</v>
      </c>
      <c r="B127">
        <f>[5]trip_summary_region!B127</f>
        <v>6</v>
      </c>
      <c r="C127">
        <f>[5]trip_summary_region!C127</f>
        <v>2043</v>
      </c>
      <c r="D127">
        <f>[5]trip_summary_region!D127</f>
        <v>83</v>
      </c>
      <c r="E127">
        <f>[5]trip_summary_region!E127</f>
        <v>197</v>
      </c>
      <c r="F127">
        <f>[5]trip_summary_region!F127</f>
        <v>15.871956074</v>
      </c>
      <c r="G127">
        <f>[5]trip_summary_region!G127</f>
        <v>194.74504454999999</v>
      </c>
      <c r="H127">
        <f>[5]trip_summary_region!H127</f>
        <v>6.5868740203999998</v>
      </c>
      <c r="I127" t="str">
        <f>[5]trip_summary_region!I127</f>
        <v>Local Train</v>
      </c>
      <c r="J127" t="str">
        <f>[5]trip_summary_region!J127</f>
        <v>2042/43</v>
      </c>
    </row>
    <row r="128" spans="1:10" x14ac:dyDescent="0.2">
      <c r="A128" t="str">
        <f>[5]trip_summary_region!A128</f>
        <v>02 AUCKLAND</v>
      </c>
      <c r="B128">
        <f>[5]trip_summary_region!B128</f>
        <v>7</v>
      </c>
      <c r="C128">
        <f>[5]trip_summary_region!C128</f>
        <v>2013</v>
      </c>
      <c r="D128">
        <f>[5]trip_summary_region!D128</f>
        <v>334</v>
      </c>
      <c r="E128">
        <f>[5]trip_summary_region!E128</f>
        <v>882</v>
      </c>
      <c r="F128">
        <f>[5]trip_summary_region!F128</f>
        <v>54.403429504999998</v>
      </c>
      <c r="G128">
        <f>[5]trip_summary_region!G128</f>
        <v>439.27566032999999</v>
      </c>
      <c r="H128">
        <f>[5]trip_summary_region!H128</f>
        <v>22.622672496</v>
      </c>
      <c r="I128" t="str">
        <f>[5]trip_summary_region!I128</f>
        <v>Local Bus</v>
      </c>
      <c r="J128" t="str">
        <f>[5]trip_summary_region!J128</f>
        <v>2012/13</v>
      </c>
    </row>
    <row r="129" spans="1:10" x14ac:dyDescent="0.2">
      <c r="A129" t="str">
        <f>[5]trip_summary_region!A129</f>
        <v>02 AUCKLAND</v>
      </c>
      <c r="B129">
        <f>[5]trip_summary_region!B129</f>
        <v>7</v>
      </c>
      <c r="C129">
        <f>[5]trip_summary_region!C129</f>
        <v>2018</v>
      </c>
      <c r="D129">
        <f>[5]trip_summary_region!D129</f>
        <v>334</v>
      </c>
      <c r="E129">
        <f>[5]trip_summary_region!E129</f>
        <v>882</v>
      </c>
      <c r="F129">
        <f>[5]trip_summary_region!F129</f>
        <v>59.340296318</v>
      </c>
      <c r="G129">
        <f>[5]trip_summary_region!G129</f>
        <v>484.18754948999998</v>
      </c>
      <c r="H129">
        <f>[5]trip_summary_region!H129</f>
        <v>24.897863955999998</v>
      </c>
      <c r="I129" t="str">
        <f>[5]trip_summary_region!I129</f>
        <v>Local Bus</v>
      </c>
      <c r="J129" t="str">
        <f>[5]trip_summary_region!J129</f>
        <v>2017/18</v>
      </c>
    </row>
    <row r="130" spans="1:10" x14ac:dyDescent="0.2">
      <c r="A130" t="str">
        <f>[5]trip_summary_region!A130</f>
        <v>02 AUCKLAND</v>
      </c>
      <c r="B130">
        <f>[5]trip_summary_region!B130</f>
        <v>7</v>
      </c>
      <c r="C130">
        <f>[5]trip_summary_region!C130</f>
        <v>2023</v>
      </c>
      <c r="D130">
        <f>[5]trip_summary_region!D130</f>
        <v>334</v>
      </c>
      <c r="E130">
        <f>[5]trip_summary_region!E130</f>
        <v>882</v>
      </c>
      <c r="F130">
        <f>[5]trip_summary_region!F130</f>
        <v>62.246093332000001</v>
      </c>
      <c r="G130">
        <f>[5]trip_summary_region!G130</f>
        <v>510.65408436000001</v>
      </c>
      <c r="H130">
        <f>[5]trip_summary_region!H130</f>
        <v>26.164405055</v>
      </c>
      <c r="I130" t="str">
        <f>[5]trip_summary_region!I130</f>
        <v>Local Bus</v>
      </c>
      <c r="J130" t="str">
        <f>[5]trip_summary_region!J130</f>
        <v>2022/23</v>
      </c>
    </row>
    <row r="131" spans="1:10" x14ac:dyDescent="0.2">
      <c r="A131" t="str">
        <f>[5]trip_summary_region!A131</f>
        <v>02 AUCKLAND</v>
      </c>
      <c r="B131">
        <f>[5]trip_summary_region!B131</f>
        <v>7</v>
      </c>
      <c r="C131">
        <f>[5]trip_summary_region!C131</f>
        <v>2028</v>
      </c>
      <c r="D131">
        <f>[5]trip_summary_region!D131</f>
        <v>334</v>
      </c>
      <c r="E131">
        <f>[5]trip_summary_region!E131</f>
        <v>882</v>
      </c>
      <c r="F131">
        <f>[5]trip_summary_region!F131</f>
        <v>65.910707149000004</v>
      </c>
      <c r="G131">
        <f>[5]trip_summary_region!G131</f>
        <v>540.44903929999998</v>
      </c>
      <c r="H131">
        <f>[5]trip_summary_region!H131</f>
        <v>27.685138536</v>
      </c>
      <c r="I131" t="str">
        <f>[5]trip_summary_region!I131</f>
        <v>Local Bus</v>
      </c>
      <c r="J131" t="str">
        <f>[5]trip_summary_region!J131</f>
        <v>2027/28</v>
      </c>
    </row>
    <row r="132" spans="1:10" x14ac:dyDescent="0.2">
      <c r="A132" t="str">
        <f>[5]trip_summary_region!A132</f>
        <v>02 AUCKLAND</v>
      </c>
      <c r="B132">
        <f>[5]trip_summary_region!B132</f>
        <v>7</v>
      </c>
      <c r="C132">
        <f>[5]trip_summary_region!C132</f>
        <v>2033</v>
      </c>
      <c r="D132">
        <f>[5]trip_summary_region!D132</f>
        <v>334</v>
      </c>
      <c r="E132">
        <f>[5]trip_summary_region!E132</f>
        <v>882</v>
      </c>
      <c r="F132">
        <f>[5]trip_summary_region!F132</f>
        <v>68.606486290000007</v>
      </c>
      <c r="G132">
        <f>[5]trip_summary_region!G132</f>
        <v>560.33770738999999</v>
      </c>
      <c r="H132">
        <f>[5]trip_summary_region!H132</f>
        <v>28.743872939999999</v>
      </c>
      <c r="I132" t="str">
        <f>[5]trip_summary_region!I132</f>
        <v>Local Bus</v>
      </c>
      <c r="J132" t="str">
        <f>[5]trip_summary_region!J132</f>
        <v>2032/33</v>
      </c>
    </row>
    <row r="133" spans="1:10" x14ac:dyDescent="0.2">
      <c r="A133" t="str">
        <f>[5]trip_summary_region!A133</f>
        <v>02 AUCKLAND</v>
      </c>
      <c r="B133">
        <f>[5]trip_summary_region!B133</f>
        <v>7</v>
      </c>
      <c r="C133">
        <f>[5]trip_summary_region!C133</f>
        <v>2038</v>
      </c>
      <c r="D133">
        <f>[5]trip_summary_region!D133</f>
        <v>334</v>
      </c>
      <c r="E133">
        <f>[5]trip_summary_region!E133</f>
        <v>882</v>
      </c>
      <c r="F133">
        <f>[5]trip_summary_region!F133</f>
        <v>71.191453946999999</v>
      </c>
      <c r="G133">
        <f>[5]trip_summary_region!G133</f>
        <v>580.12991282999997</v>
      </c>
      <c r="H133">
        <f>[5]trip_summary_region!H133</f>
        <v>29.797348301</v>
      </c>
      <c r="I133" t="str">
        <f>[5]trip_summary_region!I133</f>
        <v>Local Bus</v>
      </c>
      <c r="J133" t="str">
        <f>[5]trip_summary_region!J133</f>
        <v>2037/38</v>
      </c>
    </row>
    <row r="134" spans="1:10" x14ac:dyDescent="0.2">
      <c r="A134" t="str">
        <f>[5]trip_summary_region!A134</f>
        <v>02 AUCKLAND</v>
      </c>
      <c r="B134">
        <f>[5]trip_summary_region!B134</f>
        <v>7</v>
      </c>
      <c r="C134">
        <f>[5]trip_summary_region!C134</f>
        <v>2043</v>
      </c>
      <c r="D134">
        <f>[5]trip_summary_region!D134</f>
        <v>334</v>
      </c>
      <c r="E134">
        <f>[5]trip_summary_region!E134</f>
        <v>882</v>
      </c>
      <c r="F134">
        <f>[5]trip_summary_region!F134</f>
        <v>73.334295260999994</v>
      </c>
      <c r="G134">
        <f>[5]trip_summary_region!G134</f>
        <v>596.30149001999996</v>
      </c>
      <c r="H134">
        <f>[5]trip_summary_region!H134</f>
        <v>30.673427348000001</v>
      </c>
      <c r="I134" t="str">
        <f>[5]trip_summary_region!I134</f>
        <v>Local Bus</v>
      </c>
      <c r="J134" t="str">
        <f>[5]trip_summary_region!J134</f>
        <v>2042/43</v>
      </c>
    </row>
    <row r="135" spans="1:10" x14ac:dyDescent="0.2">
      <c r="A135" t="str">
        <f>[5]trip_summary_region!A135</f>
        <v>02 AUCKLAND</v>
      </c>
      <c r="B135">
        <f>[5]trip_summary_region!B135</f>
        <v>8</v>
      </c>
      <c r="C135">
        <f>[5]trip_summary_region!C135</f>
        <v>2013</v>
      </c>
      <c r="D135">
        <f>[5]trip_summary_region!D135</f>
        <v>33</v>
      </c>
      <c r="E135">
        <f>[5]trip_summary_region!E135</f>
        <v>75</v>
      </c>
      <c r="F135">
        <f>[5]trip_summary_region!F135</f>
        <v>4.3086283299000003</v>
      </c>
      <c r="G135">
        <f>[5]trip_summary_region!G135</f>
        <v>0</v>
      </c>
      <c r="H135">
        <f>[5]trip_summary_region!H135</f>
        <v>1.2124045342000001</v>
      </c>
      <c r="I135" t="str">
        <f>[5]trip_summary_region!I135</f>
        <v>Local Ferry</v>
      </c>
      <c r="J135" t="str">
        <f>[5]trip_summary_region!J135</f>
        <v>2012/13</v>
      </c>
    </row>
    <row r="136" spans="1:10" x14ac:dyDescent="0.2">
      <c r="A136" t="str">
        <f>[5]trip_summary_region!A136</f>
        <v>02 AUCKLAND</v>
      </c>
      <c r="B136">
        <f>[5]trip_summary_region!B136</f>
        <v>8</v>
      </c>
      <c r="C136">
        <f>[5]trip_summary_region!C136</f>
        <v>2018</v>
      </c>
      <c r="D136">
        <f>[5]trip_summary_region!D136</f>
        <v>33</v>
      </c>
      <c r="E136">
        <f>[5]trip_summary_region!E136</f>
        <v>75</v>
      </c>
      <c r="F136">
        <f>[5]trip_summary_region!F136</f>
        <v>4.9520708047999999</v>
      </c>
      <c r="G136">
        <f>[5]trip_summary_region!G136</f>
        <v>0</v>
      </c>
      <c r="H136">
        <f>[5]trip_summary_region!H136</f>
        <v>1.4002895271</v>
      </c>
      <c r="I136" t="str">
        <f>[5]trip_summary_region!I136</f>
        <v>Local Ferry</v>
      </c>
      <c r="J136" t="str">
        <f>[5]trip_summary_region!J136</f>
        <v>2017/18</v>
      </c>
    </row>
    <row r="137" spans="1:10" x14ac:dyDescent="0.2">
      <c r="A137" t="str">
        <f>[5]trip_summary_region!A137</f>
        <v>02 AUCKLAND</v>
      </c>
      <c r="B137">
        <f>[5]trip_summary_region!B137</f>
        <v>8</v>
      </c>
      <c r="C137">
        <f>[5]trip_summary_region!C137</f>
        <v>2023</v>
      </c>
      <c r="D137">
        <f>[5]trip_summary_region!D137</f>
        <v>33</v>
      </c>
      <c r="E137">
        <f>[5]trip_summary_region!E137</f>
        <v>75</v>
      </c>
      <c r="F137">
        <f>[5]trip_summary_region!F137</f>
        <v>5.4945987857</v>
      </c>
      <c r="G137">
        <f>[5]trip_summary_region!G137</f>
        <v>0</v>
      </c>
      <c r="H137">
        <f>[5]trip_summary_region!H137</f>
        <v>1.5446902177999999</v>
      </c>
      <c r="I137" t="str">
        <f>[5]trip_summary_region!I137</f>
        <v>Local Ferry</v>
      </c>
      <c r="J137" t="str">
        <f>[5]trip_summary_region!J137</f>
        <v>2022/23</v>
      </c>
    </row>
    <row r="138" spans="1:10" x14ac:dyDescent="0.2">
      <c r="A138" t="str">
        <f>[5]trip_summary_region!A138</f>
        <v>02 AUCKLAND</v>
      </c>
      <c r="B138">
        <f>[5]trip_summary_region!B138</f>
        <v>8</v>
      </c>
      <c r="C138">
        <f>[5]trip_summary_region!C138</f>
        <v>2028</v>
      </c>
      <c r="D138">
        <f>[5]trip_summary_region!D138</f>
        <v>33</v>
      </c>
      <c r="E138">
        <f>[5]trip_summary_region!E138</f>
        <v>75</v>
      </c>
      <c r="F138">
        <f>[5]trip_summary_region!F138</f>
        <v>5.9739649892999998</v>
      </c>
      <c r="G138">
        <f>[5]trip_summary_region!G138</f>
        <v>0</v>
      </c>
      <c r="H138">
        <f>[5]trip_summary_region!H138</f>
        <v>1.6698032126</v>
      </c>
      <c r="I138" t="str">
        <f>[5]trip_summary_region!I138</f>
        <v>Local Ferry</v>
      </c>
      <c r="J138" t="str">
        <f>[5]trip_summary_region!J138</f>
        <v>2027/28</v>
      </c>
    </row>
    <row r="139" spans="1:10" x14ac:dyDescent="0.2">
      <c r="A139" t="str">
        <f>[5]trip_summary_region!A139</f>
        <v>02 AUCKLAND</v>
      </c>
      <c r="B139">
        <f>[5]trip_summary_region!B139</f>
        <v>8</v>
      </c>
      <c r="C139">
        <f>[5]trip_summary_region!C139</f>
        <v>2033</v>
      </c>
      <c r="D139">
        <f>[5]trip_summary_region!D139</f>
        <v>33</v>
      </c>
      <c r="E139">
        <f>[5]trip_summary_region!E139</f>
        <v>75</v>
      </c>
      <c r="F139">
        <f>[5]trip_summary_region!F139</f>
        <v>6.4318981770999999</v>
      </c>
      <c r="G139">
        <f>[5]trip_summary_region!G139</f>
        <v>0</v>
      </c>
      <c r="H139">
        <f>[5]trip_summary_region!H139</f>
        <v>1.7926517800999999</v>
      </c>
      <c r="I139" t="str">
        <f>[5]trip_summary_region!I139</f>
        <v>Local Ferry</v>
      </c>
      <c r="J139" t="str">
        <f>[5]trip_summary_region!J139</f>
        <v>2032/33</v>
      </c>
    </row>
    <row r="140" spans="1:10" x14ac:dyDescent="0.2">
      <c r="A140" t="str">
        <f>[5]trip_summary_region!A140</f>
        <v>02 AUCKLAND</v>
      </c>
      <c r="B140">
        <f>[5]trip_summary_region!B140</f>
        <v>8</v>
      </c>
      <c r="C140">
        <f>[5]trip_summary_region!C140</f>
        <v>2038</v>
      </c>
      <c r="D140">
        <f>[5]trip_summary_region!D140</f>
        <v>33</v>
      </c>
      <c r="E140">
        <f>[5]trip_summary_region!E140</f>
        <v>75</v>
      </c>
      <c r="F140">
        <f>[5]trip_summary_region!F140</f>
        <v>7.0840019435999997</v>
      </c>
      <c r="G140">
        <f>[5]trip_summary_region!G140</f>
        <v>0</v>
      </c>
      <c r="H140">
        <f>[5]trip_summary_region!H140</f>
        <v>1.962745572</v>
      </c>
      <c r="I140" t="str">
        <f>[5]trip_summary_region!I140</f>
        <v>Local Ferry</v>
      </c>
      <c r="J140" t="str">
        <f>[5]trip_summary_region!J140</f>
        <v>2037/38</v>
      </c>
    </row>
    <row r="141" spans="1:10" x14ac:dyDescent="0.2">
      <c r="A141" t="str">
        <f>[5]trip_summary_region!A141</f>
        <v>02 AUCKLAND</v>
      </c>
      <c r="B141">
        <f>[5]trip_summary_region!B141</f>
        <v>8</v>
      </c>
      <c r="C141">
        <f>[5]trip_summary_region!C141</f>
        <v>2043</v>
      </c>
      <c r="D141">
        <f>[5]trip_summary_region!D141</f>
        <v>33</v>
      </c>
      <c r="E141">
        <f>[5]trip_summary_region!E141</f>
        <v>75</v>
      </c>
      <c r="F141">
        <f>[5]trip_summary_region!F141</f>
        <v>7.7191371460999996</v>
      </c>
      <c r="G141">
        <f>[5]trip_summary_region!G141</f>
        <v>0</v>
      </c>
      <c r="H141">
        <f>[5]trip_summary_region!H141</f>
        <v>2.1266529032000001</v>
      </c>
      <c r="I141" t="str">
        <f>[5]trip_summary_region!I141</f>
        <v>Local Ferry</v>
      </c>
      <c r="J141" t="str">
        <f>[5]trip_summary_region!J141</f>
        <v>2042/43</v>
      </c>
    </row>
    <row r="142" spans="1:10" x14ac:dyDescent="0.2">
      <c r="A142" t="str">
        <f>[5]trip_summary_region!A142</f>
        <v>02 AUCKLAND</v>
      </c>
      <c r="B142">
        <f>[5]trip_summary_region!B142</f>
        <v>9</v>
      </c>
      <c r="C142">
        <f>[5]trip_summary_region!C142</f>
        <v>2013</v>
      </c>
      <c r="D142">
        <f>[5]trip_summary_region!D142</f>
        <v>21</v>
      </c>
      <c r="E142">
        <f>[5]trip_summary_region!E142</f>
        <v>52</v>
      </c>
      <c r="F142">
        <f>[5]trip_summary_region!F142</f>
        <v>2.2145179384000002</v>
      </c>
      <c r="G142">
        <f>[5]trip_summary_region!G142</f>
        <v>1.8241938706</v>
      </c>
      <c r="H142">
        <f>[5]trip_summary_region!H142</f>
        <v>2.4325058500000001</v>
      </c>
      <c r="I142" t="str">
        <f>[5]trip_summary_region!I142</f>
        <v>Other Household Travel</v>
      </c>
      <c r="J142" t="str">
        <f>[5]trip_summary_region!J142</f>
        <v>2012/13</v>
      </c>
    </row>
    <row r="143" spans="1:10" x14ac:dyDescent="0.2">
      <c r="A143" t="str">
        <f>[5]trip_summary_region!A143</f>
        <v>02 AUCKLAND</v>
      </c>
      <c r="B143">
        <f>[5]trip_summary_region!B143</f>
        <v>9</v>
      </c>
      <c r="C143">
        <f>[5]trip_summary_region!C143</f>
        <v>2018</v>
      </c>
      <c r="D143">
        <f>[5]trip_summary_region!D143</f>
        <v>21</v>
      </c>
      <c r="E143">
        <f>[5]trip_summary_region!E143</f>
        <v>52</v>
      </c>
      <c r="F143">
        <f>[5]trip_summary_region!F143</f>
        <v>2.5076537030999999</v>
      </c>
      <c r="G143">
        <f>[5]trip_summary_region!G143</f>
        <v>1.828931372</v>
      </c>
      <c r="H143">
        <f>[5]trip_summary_region!H143</f>
        <v>2.8736177908</v>
      </c>
      <c r="I143" t="str">
        <f>[5]trip_summary_region!I143</f>
        <v>Other Household Travel</v>
      </c>
      <c r="J143" t="str">
        <f>[5]trip_summary_region!J143</f>
        <v>2017/18</v>
      </c>
    </row>
    <row r="144" spans="1:10" x14ac:dyDescent="0.2">
      <c r="A144" t="str">
        <f>[5]trip_summary_region!A144</f>
        <v>02 AUCKLAND</v>
      </c>
      <c r="B144">
        <f>[5]trip_summary_region!B144</f>
        <v>9</v>
      </c>
      <c r="C144">
        <f>[5]trip_summary_region!C144</f>
        <v>2023</v>
      </c>
      <c r="D144">
        <f>[5]trip_summary_region!D144</f>
        <v>21</v>
      </c>
      <c r="E144">
        <f>[5]trip_summary_region!E144</f>
        <v>52</v>
      </c>
      <c r="F144">
        <f>[5]trip_summary_region!F144</f>
        <v>2.7404091551</v>
      </c>
      <c r="G144">
        <f>[5]trip_summary_region!G144</f>
        <v>1.7646649882000001</v>
      </c>
      <c r="H144">
        <f>[5]trip_summary_region!H144</f>
        <v>3.1339711822999998</v>
      </c>
      <c r="I144" t="str">
        <f>[5]trip_summary_region!I144</f>
        <v>Other Household Travel</v>
      </c>
      <c r="J144" t="str">
        <f>[5]trip_summary_region!J144</f>
        <v>2022/23</v>
      </c>
    </row>
    <row r="145" spans="1:10" x14ac:dyDescent="0.2">
      <c r="A145" t="str">
        <f>[5]trip_summary_region!A145</f>
        <v>02 AUCKLAND</v>
      </c>
      <c r="B145">
        <f>[5]trip_summary_region!B145</f>
        <v>9</v>
      </c>
      <c r="C145">
        <f>[5]trip_summary_region!C145</f>
        <v>2028</v>
      </c>
      <c r="D145">
        <f>[5]trip_summary_region!D145</f>
        <v>21</v>
      </c>
      <c r="E145">
        <f>[5]trip_summary_region!E145</f>
        <v>52</v>
      </c>
      <c r="F145">
        <f>[5]trip_summary_region!F145</f>
        <v>2.9105085325000002</v>
      </c>
      <c r="G145">
        <f>[5]trip_summary_region!G145</f>
        <v>1.7324432209</v>
      </c>
      <c r="H145">
        <f>[5]trip_summary_region!H145</f>
        <v>3.2118378204</v>
      </c>
      <c r="I145" t="str">
        <f>[5]trip_summary_region!I145</f>
        <v>Other Household Travel</v>
      </c>
      <c r="J145" t="str">
        <f>[5]trip_summary_region!J145</f>
        <v>2027/28</v>
      </c>
    </row>
    <row r="146" spans="1:10" x14ac:dyDescent="0.2">
      <c r="A146" t="str">
        <f>[5]trip_summary_region!A146</f>
        <v>02 AUCKLAND</v>
      </c>
      <c r="B146">
        <f>[5]trip_summary_region!B146</f>
        <v>9</v>
      </c>
      <c r="C146">
        <f>[5]trip_summary_region!C146</f>
        <v>2033</v>
      </c>
      <c r="D146">
        <f>[5]trip_summary_region!D146</f>
        <v>21</v>
      </c>
      <c r="E146">
        <f>[5]trip_summary_region!E146</f>
        <v>52</v>
      </c>
      <c r="F146">
        <f>[5]trip_summary_region!F146</f>
        <v>3.0701075441999999</v>
      </c>
      <c r="G146">
        <f>[5]trip_summary_region!G146</f>
        <v>1.6212361179999999</v>
      </c>
      <c r="H146">
        <f>[5]trip_summary_region!H146</f>
        <v>3.3144669131</v>
      </c>
      <c r="I146" t="str">
        <f>[5]trip_summary_region!I146</f>
        <v>Other Household Travel</v>
      </c>
      <c r="J146" t="str">
        <f>[5]trip_summary_region!J146</f>
        <v>2032/33</v>
      </c>
    </row>
    <row r="147" spans="1:10" x14ac:dyDescent="0.2">
      <c r="A147" t="str">
        <f>[5]trip_summary_region!A147</f>
        <v>02 AUCKLAND</v>
      </c>
      <c r="B147">
        <f>[5]trip_summary_region!B147</f>
        <v>9</v>
      </c>
      <c r="C147">
        <f>[5]trip_summary_region!C147</f>
        <v>2038</v>
      </c>
      <c r="D147">
        <f>[5]trip_summary_region!D147</f>
        <v>21</v>
      </c>
      <c r="E147">
        <f>[5]trip_summary_region!E147</f>
        <v>52</v>
      </c>
      <c r="F147">
        <f>[5]trip_summary_region!F147</f>
        <v>3.2573736228999999</v>
      </c>
      <c r="G147">
        <f>[5]trip_summary_region!G147</f>
        <v>1.4428453501</v>
      </c>
      <c r="H147">
        <f>[5]trip_summary_region!H147</f>
        <v>3.5002699187999999</v>
      </c>
      <c r="I147" t="str">
        <f>[5]trip_summary_region!I147</f>
        <v>Other Household Travel</v>
      </c>
      <c r="J147" t="str">
        <f>[5]trip_summary_region!J147</f>
        <v>2037/38</v>
      </c>
    </row>
    <row r="148" spans="1:10" x14ac:dyDescent="0.2">
      <c r="A148" t="str">
        <f>[5]trip_summary_region!A148</f>
        <v>02 AUCKLAND</v>
      </c>
      <c r="B148">
        <f>[5]trip_summary_region!B148</f>
        <v>9</v>
      </c>
      <c r="C148">
        <f>[5]trip_summary_region!C148</f>
        <v>2043</v>
      </c>
      <c r="D148">
        <f>[5]trip_summary_region!D148</f>
        <v>21</v>
      </c>
      <c r="E148">
        <f>[5]trip_summary_region!E148</f>
        <v>52</v>
      </c>
      <c r="F148">
        <f>[5]trip_summary_region!F148</f>
        <v>3.4430802545999999</v>
      </c>
      <c r="G148">
        <f>[5]trip_summary_region!G148</f>
        <v>1.2707919969000001</v>
      </c>
      <c r="H148">
        <f>[5]trip_summary_region!H148</f>
        <v>3.6843503657999999</v>
      </c>
      <c r="I148" t="str">
        <f>[5]trip_summary_region!I148</f>
        <v>Other Household Travel</v>
      </c>
      <c r="J148" t="str">
        <f>[5]trip_summary_region!J148</f>
        <v>2042/43</v>
      </c>
    </row>
    <row r="149" spans="1:10" x14ac:dyDescent="0.2">
      <c r="A149" t="str">
        <f>[5]trip_summary_region!A149</f>
        <v>02 AUCKLAND</v>
      </c>
      <c r="B149">
        <f>[5]trip_summary_region!B149</f>
        <v>10</v>
      </c>
      <c r="C149">
        <f>[5]trip_summary_region!C149</f>
        <v>2013</v>
      </c>
      <c r="D149">
        <f>[5]trip_summary_region!D149</f>
        <v>46</v>
      </c>
      <c r="E149">
        <f>[5]trip_summary_region!E149</f>
        <v>52</v>
      </c>
      <c r="F149">
        <f>[5]trip_summary_region!F149</f>
        <v>2.8879196329000001</v>
      </c>
      <c r="G149">
        <f>[5]trip_summary_region!G149</f>
        <v>37.321781539</v>
      </c>
      <c r="H149">
        <f>[5]trip_summary_region!H149</f>
        <v>5.1213278228999997</v>
      </c>
      <c r="I149" t="str">
        <f>[5]trip_summary_region!I149</f>
        <v>Air/Non-Local PT</v>
      </c>
      <c r="J149" t="str">
        <f>[5]trip_summary_region!J149</f>
        <v>2012/13</v>
      </c>
    </row>
    <row r="150" spans="1:10" x14ac:dyDescent="0.2">
      <c r="A150" t="str">
        <f>[5]trip_summary_region!A150</f>
        <v>02 AUCKLAND</v>
      </c>
      <c r="B150">
        <f>[5]trip_summary_region!B150</f>
        <v>10</v>
      </c>
      <c r="C150">
        <f>[5]trip_summary_region!C150</f>
        <v>2018</v>
      </c>
      <c r="D150">
        <f>[5]trip_summary_region!D150</f>
        <v>46</v>
      </c>
      <c r="E150">
        <f>[5]trip_summary_region!E150</f>
        <v>52</v>
      </c>
      <c r="F150">
        <f>[5]trip_summary_region!F150</f>
        <v>3.6253390777000001</v>
      </c>
      <c r="G150">
        <f>[5]trip_summary_region!G150</f>
        <v>44.160615550999999</v>
      </c>
      <c r="H150">
        <f>[5]trip_summary_region!H150</f>
        <v>6.3644454560000003</v>
      </c>
      <c r="I150" t="str">
        <f>[5]trip_summary_region!I150</f>
        <v>Air/Non-Local PT</v>
      </c>
      <c r="J150" t="str">
        <f>[5]trip_summary_region!J150</f>
        <v>2017/18</v>
      </c>
    </row>
    <row r="151" spans="1:10" x14ac:dyDescent="0.2">
      <c r="A151" t="str">
        <f>[5]trip_summary_region!A151</f>
        <v>02 AUCKLAND</v>
      </c>
      <c r="B151">
        <f>[5]trip_summary_region!B151</f>
        <v>10</v>
      </c>
      <c r="C151">
        <f>[5]trip_summary_region!C151</f>
        <v>2023</v>
      </c>
      <c r="D151">
        <f>[5]trip_summary_region!D151</f>
        <v>46</v>
      </c>
      <c r="E151">
        <f>[5]trip_summary_region!E151</f>
        <v>52</v>
      </c>
      <c r="F151">
        <f>[5]trip_summary_region!F151</f>
        <v>4.1760120080999998</v>
      </c>
      <c r="G151">
        <f>[5]trip_summary_region!G151</f>
        <v>49.320631413000001</v>
      </c>
      <c r="H151">
        <f>[5]trip_summary_region!H151</f>
        <v>7.2648962681000002</v>
      </c>
      <c r="I151" t="str">
        <f>[5]trip_summary_region!I151</f>
        <v>Air/Non-Local PT</v>
      </c>
      <c r="J151" t="str">
        <f>[5]trip_summary_region!J151</f>
        <v>2022/23</v>
      </c>
    </row>
    <row r="152" spans="1:10" x14ac:dyDescent="0.2">
      <c r="A152" t="str">
        <f>[5]trip_summary_region!A152</f>
        <v>02 AUCKLAND</v>
      </c>
      <c r="B152">
        <f>[5]trip_summary_region!B152</f>
        <v>10</v>
      </c>
      <c r="C152">
        <f>[5]trip_summary_region!C152</f>
        <v>2028</v>
      </c>
      <c r="D152">
        <f>[5]trip_summary_region!D152</f>
        <v>46</v>
      </c>
      <c r="E152">
        <f>[5]trip_summary_region!E152</f>
        <v>52</v>
      </c>
      <c r="F152">
        <f>[5]trip_summary_region!F152</f>
        <v>4.5972161600000003</v>
      </c>
      <c r="G152">
        <f>[5]trip_summary_region!G152</f>
        <v>52.904903212999997</v>
      </c>
      <c r="H152">
        <f>[5]trip_summary_region!H152</f>
        <v>7.9448510663</v>
      </c>
      <c r="I152" t="str">
        <f>[5]trip_summary_region!I152</f>
        <v>Air/Non-Local PT</v>
      </c>
      <c r="J152" t="str">
        <f>[5]trip_summary_region!J152</f>
        <v>2027/28</v>
      </c>
    </row>
    <row r="153" spans="1:10" x14ac:dyDescent="0.2">
      <c r="A153" t="str">
        <f>[5]trip_summary_region!A153</f>
        <v>02 AUCKLAND</v>
      </c>
      <c r="B153">
        <f>[5]trip_summary_region!B153</f>
        <v>10</v>
      </c>
      <c r="C153">
        <f>[5]trip_summary_region!C153</f>
        <v>2033</v>
      </c>
      <c r="D153">
        <f>[5]trip_summary_region!D153</f>
        <v>46</v>
      </c>
      <c r="E153">
        <f>[5]trip_summary_region!E153</f>
        <v>52</v>
      </c>
      <c r="F153">
        <f>[5]trip_summary_region!F153</f>
        <v>5.0614363704000001</v>
      </c>
      <c r="G153">
        <f>[5]trip_summary_region!G153</f>
        <v>54.282445283000001</v>
      </c>
      <c r="H153">
        <f>[5]trip_summary_region!H153</f>
        <v>8.7251839426999993</v>
      </c>
      <c r="I153" t="str">
        <f>[5]trip_summary_region!I153</f>
        <v>Air/Non-Local PT</v>
      </c>
      <c r="J153" t="str">
        <f>[5]trip_summary_region!J153</f>
        <v>2032/33</v>
      </c>
    </row>
    <row r="154" spans="1:10" x14ac:dyDescent="0.2">
      <c r="A154" t="str">
        <f>[5]trip_summary_region!A154</f>
        <v>02 AUCKLAND</v>
      </c>
      <c r="B154">
        <f>[5]trip_summary_region!B154</f>
        <v>10</v>
      </c>
      <c r="C154">
        <f>[5]trip_summary_region!C154</f>
        <v>2038</v>
      </c>
      <c r="D154">
        <f>[5]trip_summary_region!D154</f>
        <v>46</v>
      </c>
      <c r="E154">
        <f>[5]trip_summary_region!E154</f>
        <v>52</v>
      </c>
      <c r="F154">
        <f>[5]trip_summary_region!F154</f>
        <v>5.5795440060999999</v>
      </c>
      <c r="G154">
        <f>[5]trip_summary_region!G154</f>
        <v>58.084007167999999</v>
      </c>
      <c r="H154">
        <f>[5]trip_summary_region!H154</f>
        <v>9.6478104918999996</v>
      </c>
      <c r="I154" t="str">
        <f>[5]trip_summary_region!I154</f>
        <v>Air/Non-Local PT</v>
      </c>
      <c r="J154" t="str">
        <f>[5]trip_summary_region!J154</f>
        <v>2037/38</v>
      </c>
    </row>
    <row r="155" spans="1:10" x14ac:dyDescent="0.2">
      <c r="A155" t="str">
        <f>[5]trip_summary_region!A155</f>
        <v>02 AUCKLAND</v>
      </c>
      <c r="B155">
        <f>[5]trip_summary_region!B155</f>
        <v>10</v>
      </c>
      <c r="C155">
        <f>[5]trip_summary_region!C155</f>
        <v>2043</v>
      </c>
      <c r="D155">
        <f>[5]trip_summary_region!D155</f>
        <v>46</v>
      </c>
      <c r="E155">
        <f>[5]trip_summary_region!E155</f>
        <v>52</v>
      </c>
      <c r="F155">
        <f>[5]trip_summary_region!F155</f>
        <v>6.1039494893999997</v>
      </c>
      <c r="G155">
        <f>[5]trip_summary_region!G155</f>
        <v>62.110884007999999</v>
      </c>
      <c r="H155">
        <f>[5]trip_summary_region!H155</f>
        <v>10.581375107</v>
      </c>
      <c r="I155" t="str">
        <f>[5]trip_summary_region!I155</f>
        <v>Air/Non-Local PT</v>
      </c>
      <c r="J155" t="str">
        <f>[5]trip_summary_region!J155</f>
        <v>2042/43</v>
      </c>
    </row>
    <row r="156" spans="1:10" x14ac:dyDescent="0.2">
      <c r="A156" t="str">
        <f>[5]trip_summary_region!A156</f>
        <v>02 AUCKLAND</v>
      </c>
      <c r="B156">
        <f>[5]trip_summary_region!B156</f>
        <v>11</v>
      </c>
      <c r="C156">
        <f>[5]trip_summary_region!C156</f>
        <v>2013</v>
      </c>
      <c r="D156">
        <f>[5]trip_summary_region!D156</f>
        <v>49</v>
      </c>
      <c r="E156">
        <f>[5]trip_summary_region!E156</f>
        <v>220</v>
      </c>
      <c r="F156">
        <f>[5]trip_summary_region!F156</f>
        <v>12.895006201999999</v>
      </c>
      <c r="G156">
        <f>[5]trip_summary_region!G156</f>
        <v>179.51641304</v>
      </c>
      <c r="H156">
        <f>[5]trip_summary_region!H156</f>
        <v>5.2074041506000004</v>
      </c>
      <c r="I156" t="str">
        <f>[5]trip_summary_region!I156</f>
        <v>Non-Household Travel</v>
      </c>
      <c r="J156" t="str">
        <f>[5]trip_summary_region!J156</f>
        <v>2012/13</v>
      </c>
    </row>
    <row r="157" spans="1:10" x14ac:dyDescent="0.2">
      <c r="A157" t="str">
        <f>[5]trip_summary_region!A157</f>
        <v>02 AUCKLAND</v>
      </c>
      <c r="B157">
        <f>[5]trip_summary_region!B157</f>
        <v>11</v>
      </c>
      <c r="C157">
        <f>[5]trip_summary_region!C157</f>
        <v>2018</v>
      </c>
      <c r="D157">
        <f>[5]trip_summary_region!D157</f>
        <v>49</v>
      </c>
      <c r="E157">
        <f>[5]trip_summary_region!E157</f>
        <v>220</v>
      </c>
      <c r="F157">
        <f>[5]trip_summary_region!F157</f>
        <v>14.269898961999999</v>
      </c>
      <c r="G157">
        <f>[5]trip_summary_region!G157</f>
        <v>195.53655961999999</v>
      </c>
      <c r="H157">
        <f>[5]trip_summary_region!H157</f>
        <v>5.7255063754000002</v>
      </c>
      <c r="I157" t="str">
        <f>[5]trip_summary_region!I157</f>
        <v>Non-Household Travel</v>
      </c>
      <c r="J157" t="str">
        <f>[5]trip_summary_region!J157</f>
        <v>2017/18</v>
      </c>
    </row>
    <row r="158" spans="1:10" x14ac:dyDescent="0.2">
      <c r="A158" t="str">
        <f>[5]trip_summary_region!A158</f>
        <v>02 AUCKLAND</v>
      </c>
      <c r="B158">
        <f>[5]trip_summary_region!B158</f>
        <v>11</v>
      </c>
      <c r="C158">
        <f>[5]trip_summary_region!C158</f>
        <v>2023</v>
      </c>
      <c r="D158">
        <f>[5]trip_summary_region!D158</f>
        <v>49</v>
      </c>
      <c r="E158">
        <f>[5]trip_summary_region!E158</f>
        <v>220</v>
      </c>
      <c r="F158">
        <f>[5]trip_summary_region!F158</f>
        <v>15.119972141</v>
      </c>
      <c r="G158">
        <f>[5]trip_summary_region!G158</f>
        <v>204.78646727</v>
      </c>
      <c r="H158">
        <f>[5]trip_summary_region!H158</f>
        <v>6.0185847973</v>
      </c>
      <c r="I158" t="str">
        <f>[5]trip_summary_region!I158</f>
        <v>Non-Household Travel</v>
      </c>
      <c r="J158" t="str">
        <f>[5]trip_summary_region!J158</f>
        <v>2022/23</v>
      </c>
    </row>
    <row r="159" spans="1:10" x14ac:dyDescent="0.2">
      <c r="A159" t="str">
        <f>[5]trip_summary_region!A159</f>
        <v>02 AUCKLAND</v>
      </c>
      <c r="B159">
        <f>[5]trip_summary_region!B159</f>
        <v>11</v>
      </c>
      <c r="C159">
        <f>[5]trip_summary_region!C159</f>
        <v>2028</v>
      </c>
      <c r="D159">
        <f>[5]trip_summary_region!D159</f>
        <v>49</v>
      </c>
      <c r="E159">
        <f>[5]trip_summary_region!E159</f>
        <v>220</v>
      </c>
      <c r="F159">
        <f>[5]trip_summary_region!F159</f>
        <v>15.564988656000001</v>
      </c>
      <c r="G159">
        <f>[5]trip_summary_region!G159</f>
        <v>207.75818301000001</v>
      </c>
      <c r="H159">
        <f>[5]trip_summary_region!H159</f>
        <v>6.1235700618999998</v>
      </c>
      <c r="I159" t="str">
        <f>[5]trip_summary_region!I159</f>
        <v>Non-Household Travel</v>
      </c>
      <c r="J159" t="str">
        <f>[5]trip_summary_region!J159</f>
        <v>2027/28</v>
      </c>
    </row>
    <row r="160" spans="1:10" x14ac:dyDescent="0.2">
      <c r="A160" t="str">
        <f>[5]trip_summary_region!A160</f>
        <v>02 AUCKLAND</v>
      </c>
      <c r="B160">
        <f>[5]trip_summary_region!B160</f>
        <v>11</v>
      </c>
      <c r="C160">
        <f>[5]trip_summary_region!C160</f>
        <v>2033</v>
      </c>
      <c r="D160">
        <f>[5]trip_summary_region!D160</f>
        <v>49</v>
      </c>
      <c r="E160">
        <f>[5]trip_summary_region!E160</f>
        <v>220</v>
      </c>
      <c r="F160">
        <f>[5]trip_summary_region!F160</f>
        <v>16.204297455999999</v>
      </c>
      <c r="G160">
        <f>[5]trip_summary_region!G160</f>
        <v>213.32703791</v>
      </c>
      <c r="H160">
        <f>[5]trip_summary_region!H160</f>
        <v>6.3336205870000004</v>
      </c>
      <c r="I160" t="str">
        <f>[5]trip_summary_region!I160</f>
        <v>Non-Household Travel</v>
      </c>
      <c r="J160" t="str">
        <f>[5]trip_summary_region!J160</f>
        <v>2032/33</v>
      </c>
    </row>
    <row r="161" spans="1:10" x14ac:dyDescent="0.2">
      <c r="A161" t="str">
        <f>[5]trip_summary_region!A161</f>
        <v>02 AUCKLAND</v>
      </c>
      <c r="B161">
        <f>[5]trip_summary_region!B161</f>
        <v>11</v>
      </c>
      <c r="C161">
        <f>[5]trip_summary_region!C161</f>
        <v>2038</v>
      </c>
      <c r="D161">
        <f>[5]trip_summary_region!D161</f>
        <v>49</v>
      </c>
      <c r="E161">
        <f>[5]trip_summary_region!E161</f>
        <v>220</v>
      </c>
      <c r="F161">
        <f>[5]trip_summary_region!F161</f>
        <v>17.065710446000001</v>
      </c>
      <c r="G161">
        <f>[5]trip_summary_region!G161</f>
        <v>222.40549913000001</v>
      </c>
      <c r="H161">
        <f>[5]trip_summary_region!H161</f>
        <v>6.6371373481999996</v>
      </c>
      <c r="I161" t="str">
        <f>[5]trip_summary_region!I161</f>
        <v>Non-Household Travel</v>
      </c>
      <c r="J161" t="str">
        <f>[5]trip_summary_region!J161</f>
        <v>2037/38</v>
      </c>
    </row>
    <row r="162" spans="1:10" x14ac:dyDescent="0.2">
      <c r="A162" t="str">
        <f>[5]trip_summary_region!A162</f>
        <v>02 AUCKLAND</v>
      </c>
      <c r="B162">
        <f>[5]trip_summary_region!B162</f>
        <v>11</v>
      </c>
      <c r="C162">
        <f>[5]trip_summary_region!C162</f>
        <v>2043</v>
      </c>
      <c r="D162">
        <f>[5]trip_summary_region!D162</f>
        <v>49</v>
      </c>
      <c r="E162">
        <f>[5]trip_summary_region!E162</f>
        <v>220</v>
      </c>
      <c r="F162">
        <f>[5]trip_summary_region!F162</f>
        <v>17.817238417999999</v>
      </c>
      <c r="G162">
        <f>[5]trip_summary_region!G162</f>
        <v>230.04992404999999</v>
      </c>
      <c r="H162">
        <f>[5]trip_summary_region!H162</f>
        <v>6.9042081421999999</v>
      </c>
      <c r="I162" t="str">
        <f>[5]trip_summary_region!I162</f>
        <v>Non-Household Travel</v>
      </c>
      <c r="J162" t="str">
        <f>[5]trip_summary_region!J162</f>
        <v>2042/43</v>
      </c>
    </row>
    <row r="163" spans="1:10" x14ac:dyDescent="0.2">
      <c r="A163" t="str">
        <f>[5]trip_summary_region!A163</f>
        <v>03 WAIKATO</v>
      </c>
      <c r="B163">
        <f>[5]trip_summary_region!B163</f>
        <v>0</v>
      </c>
      <c r="C163">
        <f>[5]trip_summary_region!C163</f>
        <v>2013</v>
      </c>
      <c r="D163">
        <f>[5]trip_summary_region!D163</f>
        <v>628</v>
      </c>
      <c r="E163">
        <f>[5]trip_summary_region!E163</f>
        <v>2089</v>
      </c>
      <c r="F163">
        <f>[5]trip_summary_region!F163</f>
        <v>68.689195601999998</v>
      </c>
      <c r="G163">
        <f>[5]trip_summary_region!G163</f>
        <v>52.675735545000002</v>
      </c>
      <c r="H163">
        <f>[5]trip_summary_region!H163</f>
        <v>13.69170819</v>
      </c>
      <c r="I163" t="str">
        <f>[5]trip_summary_region!I163</f>
        <v>Pedestrian</v>
      </c>
      <c r="J163" t="str">
        <f>[5]trip_summary_region!J163</f>
        <v>2012/13</v>
      </c>
    </row>
    <row r="164" spans="1:10" x14ac:dyDescent="0.2">
      <c r="A164" t="str">
        <f>[5]trip_summary_region!A164</f>
        <v>03 WAIKATO</v>
      </c>
      <c r="B164">
        <f>[5]trip_summary_region!B164</f>
        <v>0</v>
      </c>
      <c r="C164">
        <f>[5]trip_summary_region!C164</f>
        <v>2018</v>
      </c>
      <c r="D164">
        <f>[5]trip_summary_region!D164</f>
        <v>628</v>
      </c>
      <c r="E164">
        <f>[5]trip_summary_region!E164</f>
        <v>2089</v>
      </c>
      <c r="F164">
        <f>[5]trip_summary_region!F164</f>
        <v>73.188301964999994</v>
      </c>
      <c r="G164">
        <f>[5]trip_summary_region!G164</f>
        <v>55.911415208999998</v>
      </c>
      <c r="H164">
        <f>[5]trip_summary_region!H164</f>
        <v>14.487372998</v>
      </c>
      <c r="I164" t="str">
        <f>[5]trip_summary_region!I164</f>
        <v>Pedestrian</v>
      </c>
      <c r="J164" t="str">
        <f>[5]trip_summary_region!J164</f>
        <v>2017/18</v>
      </c>
    </row>
    <row r="165" spans="1:10" x14ac:dyDescent="0.2">
      <c r="A165" t="str">
        <f>[5]trip_summary_region!A165</f>
        <v>03 WAIKATO</v>
      </c>
      <c r="B165">
        <f>[5]trip_summary_region!B165</f>
        <v>0</v>
      </c>
      <c r="C165">
        <f>[5]trip_summary_region!C165</f>
        <v>2023</v>
      </c>
      <c r="D165">
        <f>[5]trip_summary_region!D165</f>
        <v>628</v>
      </c>
      <c r="E165">
        <f>[5]trip_summary_region!E165</f>
        <v>2089</v>
      </c>
      <c r="F165">
        <f>[5]trip_summary_region!F165</f>
        <v>76.230794062000001</v>
      </c>
      <c r="G165">
        <f>[5]trip_summary_region!G165</f>
        <v>58.183017065000001</v>
      </c>
      <c r="H165">
        <f>[5]trip_summary_region!H165</f>
        <v>15.054325166</v>
      </c>
      <c r="I165" t="str">
        <f>[5]trip_summary_region!I165</f>
        <v>Pedestrian</v>
      </c>
      <c r="J165" t="str">
        <f>[5]trip_summary_region!J165</f>
        <v>2022/23</v>
      </c>
    </row>
    <row r="166" spans="1:10" x14ac:dyDescent="0.2">
      <c r="A166" t="str">
        <f>[5]trip_summary_region!A166</f>
        <v>03 WAIKATO</v>
      </c>
      <c r="B166">
        <f>[5]trip_summary_region!B166</f>
        <v>0</v>
      </c>
      <c r="C166">
        <f>[5]trip_summary_region!C166</f>
        <v>2028</v>
      </c>
      <c r="D166">
        <f>[5]trip_summary_region!D166</f>
        <v>628</v>
      </c>
      <c r="E166">
        <f>[5]trip_summary_region!E166</f>
        <v>2089</v>
      </c>
      <c r="F166">
        <f>[5]trip_summary_region!F166</f>
        <v>78.502548884999996</v>
      </c>
      <c r="G166">
        <f>[5]trip_summary_region!G166</f>
        <v>59.541047353000003</v>
      </c>
      <c r="H166">
        <f>[5]trip_summary_region!H166</f>
        <v>15.400432581</v>
      </c>
      <c r="I166" t="str">
        <f>[5]trip_summary_region!I166</f>
        <v>Pedestrian</v>
      </c>
      <c r="J166" t="str">
        <f>[5]trip_summary_region!J166</f>
        <v>2027/28</v>
      </c>
    </row>
    <row r="167" spans="1:10" x14ac:dyDescent="0.2">
      <c r="A167" t="str">
        <f>[5]trip_summary_region!A167</f>
        <v>03 WAIKATO</v>
      </c>
      <c r="B167">
        <f>[5]trip_summary_region!B167</f>
        <v>0</v>
      </c>
      <c r="C167">
        <f>[5]trip_summary_region!C167</f>
        <v>2033</v>
      </c>
      <c r="D167">
        <f>[5]trip_summary_region!D167</f>
        <v>628</v>
      </c>
      <c r="E167">
        <f>[5]trip_summary_region!E167</f>
        <v>2089</v>
      </c>
      <c r="F167">
        <f>[5]trip_summary_region!F167</f>
        <v>80.082227672000002</v>
      </c>
      <c r="G167">
        <f>[5]trip_summary_region!G167</f>
        <v>60.242940095999998</v>
      </c>
      <c r="H167">
        <f>[5]trip_summary_region!H167</f>
        <v>15.612068894</v>
      </c>
      <c r="I167" t="str">
        <f>[5]trip_summary_region!I167</f>
        <v>Pedestrian</v>
      </c>
      <c r="J167" t="str">
        <f>[5]trip_summary_region!J167</f>
        <v>2032/33</v>
      </c>
    </row>
    <row r="168" spans="1:10" x14ac:dyDescent="0.2">
      <c r="A168" t="str">
        <f>[5]trip_summary_region!A168</f>
        <v>03 WAIKATO</v>
      </c>
      <c r="B168">
        <f>[5]trip_summary_region!B168</f>
        <v>0</v>
      </c>
      <c r="C168">
        <f>[5]trip_summary_region!C168</f>
        <v>2038</v>
      </c>
      <c r="D168">
        <f>[5]trip_summary_region!D168</f>
        <v>628</v>
      </c>
      <c r="E168">
        <f>[5]trip_summary_region!E168</f>
        <v>2089</v>
      </c>
      <c r="F168">
        <f>[5]trip_summary_region!F168</f>
        <v>80.904936926999994</v>
      </c>
      <c r="G168">
        <f>[5]trip_summary_region!G168</f>
        <v>60.670447520000003</v>
      </c>
      <c r="H168">
        <f>[5]trip_summary_region!H168</f>
        <v>15.710238313</v>
      </c>
      <c r="I168" t="str">
        <f>[5]trip_summary_region!I168</f>
        <v>Pedestrian</v>
      </c>
      <c r="J168" t="str">
        <f>[5]trip_summary_region!J168</f>
        <v>2037/38</v>
      </c>
    </row>
    <row r="169" spans="1:10" x14ac:dyDescent="0.2">
      <c r="A169" t="str">
        <f>[5]trip_summary_region!A169</f>
        <v>03 WAIKATO</v>
      </c>
      <c r="B169">
        <f>[5]trip_summary_region!B169</f>
        <v>0</v>
      </c>
      <c r="C169">
        <f>[5]trip_summary_region!C169</f>
        <v>2043</v>
      </c>
      <c r="D169">
        <f>[5]trip_summary_region!D169</f>
        <v>628</v>
      </c>
      <c r="E169">
        <f>[5]trip_summary_region!E169</f>
        <v>2089</v>
      </c>
      <c r="F169">
        <f>[5]trip_summary_region!F169</f>
        <v>81.408834811000006</v>
      </c>
      <c r="G169">
        <f>[5]trip_summary_region!G169</f>
        <v>60.843454364999999</v>
      </c>
      <c r="H169">
        <f>[5]trip_summary_region!H169</f>
        <v>15.734247155</v>
      </c>
      <c r="I169" t="str">
        <f>[5]trip_summary_region!I169</f>
        <v>Pedestrian</v>
      </c>
      <c r="J169" t="str">
        <f>[5]trip_summary_region!J169</f>
        <v>2042/43</v>
      </c>
    </row>
    <row r="170" spans="1:10" x14ac:dyDescent="0.2">
      <c r="A170" t="str">
        <f>[5]trip_summary_region!A170</f>
        <v>03 WAIKATO</v>
      </c>
      <c r="B170">
        <f>[5]trip_summary_region!B170</f>
        <v>1</v>
      </c>
      <c r="C170">
        <f>[5]trip_summary_region!C170</f>
        <v>2013</v>
      </c>
      <c r="D170">
        <f>[5]trip_summary_region!D170</f>
        <v>60</v>
      </c>
      <c r="E170">
        <f>[5]trip_summary_region!E170</f>
        <v>183</v>
      </c>
      <c r="F170">
        <f>[5]trip_summary_region!F170</f>
        <v>5.8956498267999997</v>
      </c>
      <c r="G170">
        <f>[5]trip_summary_region!G170</f>
        <v>21.829422874999999</v>
      </c>
      <c r="H170">
        <f>[5]trip_summary_region!H170</f>
        <v>1.7805943500000001</v>
      </c>
      <c r="I170" t="str">
        <f>[5]trip_summary_region!I170</f>
        <v>Cyclist</v>
      </c>
      <c r="J170" t="str">
        <f>[5]trip_summary_region!J170</f>
        <v>2012/13</v>
      </c>
    </row>
    <row r="171" spans="1:10" x14ac:dyDescent="0.2">
      <c r="A171" t="str">
        <f>[5]trip_summary_region!A171</f>
        <v>03 WAIKATO</v>
      </c>
      <c r="B171">
        <f>[5]trip_summary_region!B171</f>
        <v>1</v>
      </c>
      <c r="C171">
        <f>[5]trip_summary_region!C171</f>
        <v>2018</v>
      </c>
      <c r="D171">
        <f>[5]trip_summary_region!D171</f>
        <v>60</v>
      </c>
      <c r="E171">
        <f>[5]trip_summary_region!E171</f>
        <v>183</v>
      </c>
      <c r="F171">
        <f>[5]trip_summary_region!F171</f>
        <v>6.2723498164000002</v>
      </c>
      <c r="G171">
        <f>[5]trip_summary_region!G171</f>
        <v>22.962464419</v>
      </c>
      <c r="H171">
        <f>[5]trip_summary_region!H171</f>
        <v>1.9127793846000001</v>
      </c>
      <c r="I171" t="str">
        <f>[5]trip_summary_region!I171</f>
        <v>Cyclist</v>
      </c>
      <c r="J171" t="str">
        <f>[5]trip_summary_region!J171</f>
        <v>2017/18</v>
      </c>
    </row>
    <row r="172" spans="1:10" x14ac:dyDescent="0.2">
      <c r="A172" t="str">
        <f>[5]trip_summary_region!A172</f>
        <v>03 WAIKATO</v>
      </c>
      <c r="B172">
        <f>[5]trip_summary_region!B172</f>
        <v>1</v>
      </c>
      <c r="C172">
        <f>[5]trip_summary_region!C172</f>
        <v>2023</v>
      </c>
      <c r="D172">
        <f>[5]trip_summary_region!D172</f>
        <v>60</v>
      </c>
      <c r="E172">
        <f>[5]trip_summary_region!E172</f>
        <v>183</v>
      </c>
      <c r="F172">
        <f>[5]trip_summary_region!F172</f>
        <v>6.6648311250000001</v>
      </c>
      <c r="G172">
        <f>[5]trip_summary_region!G172</f>
        <v>23.962271675</v>
      </c>
      <c r="H172">
        <f>[5]trip_summary_region!H172</f>
        <v>2.0412033315999998</v>
      </c>
      <c r="I172" t="str">
        <f>[5]trip_summary_region!I172</f>
        <v>Cyclist</v>
      </c>
      <c r="J172" t="str">
        <f>[5]trip_summary_region!J172</f>
        <v>2022/23</v>
      </c>
    </row>
    <row r="173" spans="1:10" x14ac:dyDescent="0.2">
      <c r="A173" t="str">
        <f>[5]trip_summary_region!A173</f>
        <v>03 WAIKATO</v>
      </c>
      <c r="B173">
        <f>[5]trip_summary_region!B173</f>
        <v>1</v>
      </c>
      <c r="C173">
        <f>[5]trip_summary_region!C173</f>
        <v>2028</v>
      </c>
      <c r="D173">
        <f>[5]trip_summary_region!D173</f>
        <v>60</v>
      </c>
      <c r="E173">
        <f>[5]trip_summary_region!E173</f>
        <v>183</v>
      </c>
      <c r="F173">
        <f>[5]trip_summary_region!F173</f>
        <v>6.9586134670000002</v>
      </c>
      <c r="G173">
        <f>[5]trip_summary_region!G173</f>
        <v>24.50879681</v>
      </c>
      <c r="H173">
        <f>[5]trip_summary_region!H173</f>
        <v>2.1353845358000001</v>
      </c>
      <c r="I173" t="str">
        <f>[5]trip_summary_region!I173</f>
        <v>Cyclist</v>
      </c>
      <c r="J173" t="str">
        <f>[5]trip_summary_region!J173</f>
        <v>2027/28</v>
      </c>
    </row>
    <row r="174" spans="1:10" x14ac:dyDescent="0.2">
      <c r="A174" t="str">
        <f>[5]trip_summary_region!A174</f>
        <v>03 WAIKATO</v>
      </c>
      <c r="B174">
        <f>[5]trip_summary_region!B174</f>
        <v>1</v>
      </c>
      <c r="C174">
        <f>[5]trip_summary_region!C174</f>
        <v>2033</v>
      </c>
      <c r="D174">
        <f>[5]trip_summary_region!D174</f>
        <v>60</v>
      </c>
      <c r="E174">
        <f>[5]trip_summary_region!E174</f>
        <v>183</v>
      </c>
      <c r="F174">
        <f>[5]trip_summary_region!F174</f>
        <v>7.2918281698999996</v>
      </c>
      <c r="G174">
        <f>[5]trip_summary_region!G174</f>
        <v>25.102605004000001</v>
      </c>
      <c r="H174">
        <f>[5]trip_summary_region!H174</f>
        <v>2.2379029984000001</v>
      </c>
      <c r="I174" t="str">
        <f>[5]trip_summary_region!I174</f>
        <v>Cyclist</v>
      </c>
      <c r="J174" t="str">
        <f>[5]trip_summary_region!J174</f>
        <v>2032/33</v>
      </c>
    </row>
    <row r="175" spans="1:10" x14ac:dyDescent="0.2">
      <c r="A175" t="str">
        <f>[5]trip_summary_region!A175</f>
        <v>03 WAIKATO</v>
      </c>
      <c r="B175">
        <f>[5]trip_summary_region!B175</f>
        <v>1</v>
      </c>
      <c r="C175">
        <f>[5]trip_summary_region!C175</f>
        <v>2038</v>
      </c>
      <c r="D175">
        <f>[5]trip_summary_region!D175</f>
        <v>60</v>
      </c>
      <c r="E175">
        <f>[5]trip_summary_region!E175</f>
        <v>183</v>
      </c>
      <c r="F175">
        <f>[5]trip_summary_region!F175</f>
        <v>7.7223942429000001</v>
      </c>
      <c r="G175">
        <f>[5]trip_summary_region!G175</f>
        <v>25.839488916000001</v>
      </c>
      <c r="H175">
        <f>[5]trip_summary_region!H175</f>
        <v>2.3803013839</v>
      </c>
      <c r="I175" t="str">
        <f>[5]trip_summary_region!I175</f>
        <v>Cyclist</v>
      </c>
      <c r="J175" t="str">
        <f>[5]trip_summary_region!J175</f>
        <v>2037/38</v>
      </c>
    </row>
    <row r="176" spans="1:10" x14ac:dyDescent="0.2">
      <c r="A176" t="str">
        <f>[5]trip_summary_region!A176</f>
        <v>03 WAIKATO</v>
      </c>
      <c r="B176">
        <f>[5]trip_summary_region!B176</f>
        <v>1</v>
      </c>
      <c r="C176">
        <f>[5]trip_summary_region!C176</f>
        <v>2043</v>
      </c>
      <c r="D176">
        <f>[5]trip_summary_region!D176</f>
        <v>60</v>
      </c>
      <c r="E176">
        <f>[5]trip_summary_region!E176</f>
        <v>183</v>
      </c>
      <c r="F176">
        <f>[5]trip_summary_region!F176</f>
        <v>8.1720793817999997</v>
      </c>
      <c r="G176">
        <f>[5]trip_summary_region!G176</f>
        <v>26.535505400000002</v>
      </c>
      <c r="H176">
        <f>[5]trip_summary_region!H176</f>
        <v>2.5303598197000001</v>
      </c>
      <c r="I176" t="str">
        <f>[5]trip_summary_region!I176</f>
        <v>Cyclist</v>
      </c>
      <c r="J176" t="str">
        <f>[5]trip_summary_region!J176</f>
        <v>2042/43</v>
      </c>
    </row>
    <row r="177" spans="1:10" x14ac:dyDescent="0.2">
      <c r="A177" t="str">
        <f>[5]trip_summary_region!A177</f>
        <v>03 WAIKATO</v>
      </c>
      <c r="B177">
        <f>[5]trip_summary_region!B177</f>
        <v>2</v>
      </c>
      <c r="C177">
        <f>[5]trip_summary_region!C177</f>
        <v>2013</v>
      </c>
      <c r="D177">
        <f>[5]trip_summary_region!D177</f>
        <v>1302</v>
      </c>
      <c r="E177">
        <f>[5]trip_summary_region!E177</f>
        <v>9074</v>
      </c>
      <c r="F177">
        <f>[5]trip_summary_region!F177</f>
        <v>305.41478153000003</v>
      </c>
      <c r="G177">
        <f>[5]trip_summary_region!G177</f>
        <v>3709.9843593000001</v>
      </c>
      <c r="H177">
        <f>[5]trip_summary_region!H177</f>
        <v>82.274552721999996</v>
      </c>
      <c r="I177" t="str">
        <f>[5]trip_summary_region!I177</f>
        <v>Light Vehicle Driver</v>
      </c>
      <c r="J177" t="str">
        <f>[5]trip_summary_region!J177</f>
        <v>2012/13</v>
      </c>
    </row>
    <row r="178" spans="1:10" x14ac:dyDescent="0.2">
      <c r="A178" t="str">
        <f>[5]trip_summary_region!A178</f>
        <v>03 WAIKATO</v>
      </c>
      <c r="B178">
        <f>[5]trip_summary_region!B178</f>
        <v>2</v>
      </c>
      <c r="C178">
        <f>[5]trip_summary_region!C178</f>
        <v>2018</v>
      </c>
      <c r="D178">
        <f>[5]trip_summary_region!D178</f>
        <v>1302</v>
      </c>
      <c r="E178">
        <f>[5]trip_summary_region!E178</f>
        <v>9074</v>
      </c>
      <c r="F178">
        <f>[5]trip_summary_region!F178</f>
        <v>334.75251218</v>
      </c>
      <c r="G178">
        <f>[5]trip_summary_region!G178</f>
        <v>4058.5916625</v>
      </c>
      <c r="H178">
        <f>[5]trip_summary_region!H178</f>
        <v>90.109977568999994</v>
      </c>
      <c r="I178" t="str">
        <f>[5]trip_summary_region!I178</f>
        <v>Light Vehicle Driver</v>
      </c>
      <c r="J178" t="str">
        <f>[5]trip_summary_region!J178</f>
        <v>2017/18</v>
      </c>
    </row>
    <row r="179" spans="1:10" x14ac:dyDescent="0.2">
      <c r="A179" t="str">
        <f>[5]trip_summary_region!A179</f>
        <v>03 WAIKATO</v>
      </c>
      <c r="B179">
        <f>[5]trip_summary_region!B179</f>
        <v>2</v>
      </c>
      <c r="C179">
        <f>[5]trip_summary_region!C179</f>
        <v>2023</v>
      </c>
      <c r="D179">
        <f>[5]trip_summary_region!D179</f>
        <v>1302</v>
      </c>
      <c r="E179">
        <f>[5]trip_summary_region!E179</f>
        <v>9074</v>
      </c>
      <c r="F179">
        <f>[5]trip_summary_region!F179</f>
        <v>353.93680162999999</v>
      </c>
      <c r="G179">
        <f>[5]trip_summary_region!G179</f>
        <v>4292.6326912000004</v>
      </c>
      <c r="H179">
        <f>[5]trip_summary_region!H179</f>
        <v>95.227626747000002</v>
      </c>
      <c r="I179" t="str">
        <f>[5]trip_summary_region!I179</f>
        <v>Light Vehicle Driver</v>
      </c>
      <c r="J179" t="str">
        <f>[5]trip_summary_region!J179</f>
        <v>2022/23</v>
      </c>
    </row>
    <row r="180" spans="1:10" x14ac:dyDescent="0.2">
      <c r="A180" t="str">
        <f>[5]trip_summary_region!A180</f>
        <v>03 WAIKATO</v>
      </c>
      <c r="B180">
        <f>[5]trip_summary_region!B180</f>
        <v>2</v>
      </c>
      <c r="C180">
        <f>[5]trip_summary_region!C180</f>
        <v>2028</v>
      </c>
      <c r="D180">
        <f>[5]trip_summary_region!D180</f>
        <v>1302</v>
      </c>
      <c r="E180">
        <f>[5]trip_summary_region!E180</f>
        <v>9074</v>
      </c>
      <c r="F180">
        <f>[5]trip_summary_region!F180</f>
        <v>369.74557141000003</v>
      </c>
      <c r="G180">
        <f>[5]trip_summary_region!G180</f>
        <v>4487.5972259</v>
      </c>
      <c r="H180">
        <f>[5]trip_summary_region!H180</f>
        <v>99.480809231999999</v>
      </c>
      <c r="I180" t="str">
        <f>[5]trip_summary_region!I180</f>
        <v>Light Vehicle Driver</v>
      </c>
      <c r="J180" t="str">
        <f>[5]trip_summary_region!J180</f>
        <v>2027/28</v>
      </c>
    </row>
    <row r="181" spans="1:10" x14ac:dyDescent="0.2">
      <c r="A181" t="str">
        <f>[5]trip_summary_region!A181</f>
        <v>03 WAIKATO</v>
      </c>
      <c r="B181">
        <f>[5]trip_summary_region!B181</f>
        <v>2</v>
      </c>
      <c r="C181">
        <f>[5]trip_summary_region!C181</f>
        <v>2033</v>
      </c>
      <c r="D181">
        <f>[5]trip_summary_region!D181</f>
        <v>1302</v>
      </c>
      <c r="E181">
        <f>[5]trip_summary_region!E181</f>
        <v>9074</v>
      </c>
      <c r="F181">
        <f>[5]trip_summary_region!F181</f>
        <v>384.10905219</v>
      </c>
      <c r="G181">
        <f>[5]trip_summary_region!G181</f>
        <v>4666.1399758999996</v>
      </c>
      <c r="H181">
        <f>[5]trip_summary_region!H181</f>
        <v>103.32425698</v>
      </c>
      <c r="I181" t="str">
        <f>[5]trip_summary_region!I181</f>
        <v>Light Vehicle Driver</v>
      </c>
      <c r="J181" t="str">
        <f>[5]trip_summary_region!J181</f>
        <v>2032/33</v>
      </c>
    </row>
    <row r="182" spans="1:10" x14ac:dyDescent="0.2">
      <c r="A182" t="str">
        <f>[5]trip_summary_region!A182</f>
        <v>03 WAIKATO</v>
      </c>
      <c r="B182">
        <f>[5]trip_summary_region!B182</f>
        <v>2</v>
      </c>
      <c r="C182">
        <f>[5]trip_summary_region!C182</f>
        <v>2038</v>
      </c>
      <c r="D182">
        <f>[5]trip_summary_region!D182</f>
        <v>1302</v>
      </c>
      <c r="E182">
        <f>[5]trip_summary_region!E182</f>
        <v>9074</v>
      </c>
      <c r="F182">
        <f>[5]trip_summary_region!F182</f>
        <v>394.09080809</v>
      </c>
      <c r="G182">
        <f>[5]trip_summary_region!G182</f>
        <v>4794.3030316000004</v>
      </c>
      <c r="H182">
        <f>[5]trip_summary_region!H182</f>
        <v>106.00559839</v>
      </c>
      <c r="I182" t="str">
        <f>[5]trip_summary_region!I182</f>
        <v>Light Vehicle Driver</v>
      </c>
      <c r="J182" t="str">
        <f>[5]trip_summary_region!J182</f>
        <v>2037/38</v>
      </c>
    </row>
    <row r="183" spans="1:10" x14ac:dyDescent="0.2">
      <c r="A183" t="str">
        <f>[5]trip_summary_region!A183</f>
        <v>03 WAIKATO</v>
      </c>
      <c r="B183">
        <f>[5]trip_summary_region!B183</f>
        <v>2</v>
      </c>
      <c r="C183">
        <f>[5]trip_summary_region!C183</f>
        <v>2043</v>
      </c>
      <c r="D183">
        <f>[5]trip_summary_region!D183</f>
        <v>1302</v>
      </c>
      <c r="E183">
        <f>[5]trip_summary_region!E183</f>
        <v>9074</v>
      </c>
      <c r="F183">
        <f>[5]trip_summary_region!F183</f>
        <v>402.71126878000001</v>
      </c>
      <c r="G183">
        <f>[5]trip_summary_region!G183</f>
        <v>4907.4889635</v>
      </c>
      <c r="H183">
        <f>[5]trip_summary_region!H183</f>
        <v>108.33887279</v>
      </c>
      <c r="I183" t="str">
        <f>[5]trip_summary_region!I183</f>
        <v>Light Vehicle Driver</v>
      </c>
      <c r="J183" t="str">
        <f>[5]trip_summary_region!J183</f>
        <v>2042/43</v>
      </c>
    </row>
    <row r="184" spans="1:10" x14ac:dyDescent="0.2">
      <c r="A184" t="str">
        <f>[5]trip_summary_region!A184</f>
        <v>03 WAIKATO</v>
      </c>
      <c r="B184">
        <f>[5]trip_summary_region!B184</f>
        <v>3</v>
      </c>
      <c r="C184">
        <f>[5]trip_summary_region!C184</f>
        <v>2013</v>
      </c>
      <c r="D184">
        <f>[5]trip_summary_region!D184</f>
        <v>931</v>
      </c>
      <c r="E184">
        <f>[5]trip_summary_region!E184</f>
        <v>4349</v>
      </c>
      <c r="F184">
        <f>[5]trip_summary_region!F184</f>
        <v>139.07206360000001</v>
      </c>
      <c r="G184">
        <f>[5]trip_summary_region!G184</f>
        <v>1955.0668243</v>
      </c>
      <c r="H184">
        <f>[5]trip_summary_region!H184</f>
        <v>42.037273755000001</v>
      </c>
      <c r="I184" t="str">
        <f>[5]trip_summary_region!I184</f>
        <v>Light Vehicle Passenger</v>
      </c>
      <c r="J184" t="str">
        <f>[5]trip_summary_region!J184</f>
        <v>2012/13</v>
      </c>
    </row>
    <row r="185" spans="1:10" x14ac:dyDescent="0.2">
      <c r="A185" t="str">
        <f>[5]trip_summary_region!A185</f>
        <v>03 WAIKATO</v>
      </c>
      <c r="B185">
        <f>[5]trip_summary_region!B185</f>
        <v>3</v>
      </c>
      <c r="C185">
        <f>[5]trip_summary_region!C185</f>
        <v>2018</v>
      </c>
      <c r="D185">
        <f>[5]trip_summary_region!D185</f>
        <v>931</v>
      </c>
      <c r="E185">
        <f>[5]trip_summary_region!E185</f>
        <v>4349</v>
      </c>
      <c r="F185">
        <f>[5]trip_summary_region!F185</f>
        <v>143.95780173</v>
      </c>
      <c r="G185">
        <f>[5]trip_summary_region!G185</f>
        <v>2059.3550424999999</v>
      </c>
      <c r="H185">
        <f>[5]trip_summary_region!H185</f>
        <v>44.070316955000003</v>
      </c>
      <c r="I185" t="str">
        <f>[5]trip_summary_region!I185</f>
        <v>Light Vehicle Passenger</v>
      </c>
      <c r="J185" t="str">
        <f>[5]trip_summary_region!J185</f>
        <v>2017/18</v>
      </c>
    </row>
    <row r="186" spans="1:10" x14ac:dyDescent="0.2">
      <c r="A186" t="str">
        <f>[5]trip_summary_region!A186</f>
        <v>03 WAIKATO</v>
      </c>
      <c r="B186">
        <f>[5]trip_summary_region!B186</f>
        <v>3</v>
      </c>
      <c r="C186">
        <f>[5]trip_summary_region!C186</f>
        <v>2023</v>
      </c>
      <c r="D186">
        <f>[5]trip_summary_region!D186</f>
        <v>931</v>
      </c>
      <c r="E186">
        <f>[5]trip_summary_region!E186</f>
        <v>4349</v>
      </c>
      <c r="F186">
        <f>[5]trip_summary_region!F186</f>
        <v>147.20294440000001</v>
      </c>
      <c r="G186">
        <f>[5]trip_summary_region!G186</f>
        <v>2124.9436971999999</v>
      </c>
      <c r="H186">
        <f>[5]trip_summary_region!H186</f>
        <v>45.370256558999998</v>
      </c>
      <c r="I186" t="str">
        <f>[5]trip_summary_region!I186</f>
        <v>Light Vehicle Passenger</v>
      </c>
      <c r="J186" t="str">
        <f>[5]trip_summary_region!J186</f>
        <v>2022/23</v>
      </c>
    </row>
    <row r="187" spans="1:10" x14ac:dyDescent="0.2">
      <c r="A187" t="str">
        <f>[5]trip_summary_region!A187</f>
        <v>03 WAIKATO</v>
      </c>
      <c r="B187">
        <f>[5]trip_summary_region!B187</f>
        <v>3</v>
      </c>
      <c r="C187">
        <f>[5]trip_summary_region!C187</f>
        <v>2028</v>
      </c>
      <c r="D187">
        <f>[5]trip_summary_region!D187</f>
        <v>931</v>
      </c>
      <c r="E187">
        <f>[5]trip_summary_region!E187</f>
        <v>4349</v>
      </c>
      <c r="F187">
        <f>[5]trip_summary_region!F187</f>
        <v>148.99466699000001</v>
      </c>
      <c r="G187">
        <f>[5]trip_summary_region!G187</f>
        <v>2167.9154852000001</v>
      </c>
      <c r="H187">
        <f>[5]trip_summary_region!H187</f>
        <v>46.179697982999997</v>
      </c>
      <c r="I187" t="str">
        <f>[5]trip_summary_region!I187</f>
        <v>Light Vehicle Passenger</v>
      </c>
      <c r="J187" t="str">
        <f>[5]trip_summary_region!J187</f>
        <v>2027/28</v>
      </c>
    </row>
    <row r="188" spans="1:10" x14ac:dyDescent="0.2">
      <c r="A188" t="str">
        <f>[5]trip_summary_region!A188</f>
        <v>03 WAIKATO</v>
      </c>
      <c r="B188">
        <f>[5]trip_summary_region!B188</f>
        <v>3</v>
      </c>
      <c r="C188">
        <f>[5]trip_summary_region!C188</f>
        <v>2033</v>
      </c>
      <c r="D188">
        <f>[5]trip_summary_region!D188</f>
        <v>931</v>
      </c>
      <c r="E188">
        <f>[5]trip_summary_region!E188</f>
        <v>4349</v>
      </c>
      <c r="F188">
        <f>[5]trip_summary_region!F188</f>
        <v>151.34993456000001</v>
      </c>
      <c r="G188">
        <f>[5]trip_summary_region!G188</f>
        <v>2215.2838719000001</v>
      </c>
      <c r="H188">
        <f>[5]trip_summary_region!H188</f>
        <v>47.075623512999996</v>
      </c>
      <c r="I188" t="str">
        <f>[5]trip_summary_region!I188</f>
        <v>Light Vehicle Passenger</v>
      </c>
      <c r="J188" t="str">
        <f>[5]trip_summary_region!J188</f>
        <v>2032/33</v>
      </c>
    </row>
    <row r="189" spans="1:10" x14ac:dyDescent="0.2">
      <c r="A189" t="str">
        <f>[5]trip_summary_region!A189</f>
        <v>03 WAIKATO</v>
      </c>
      <c r="B189">
        <f>[5]trip_summary_region!B189</f>
        <v>3</v>
      </c>
      <c r="C189">
        <f>[5]trip_summary_region!C189</f>
        <v>2038</v>
      </c>
      <c r="D189">
        <f>[5]trip_summary_region!D189</f>
        <v>931</v>
      </c>
      <c r="E189">
        <f>[5]trip_summary_region!E189</f>
        <v>4349</v>
      </c>
      <c r="F189">
        <f>[5]trip_summary_region!F189</f>
        <v>152.66977908000001</v>
      </c>
      <c r="G189">
        <f>[5]trip_summary_region!G189</f>
        <v>2244.0856131</v>
      </c>
      <c r="H189">
        <f>[5]trip_summary_region!H189</f>
        <v>47.594162482000002</v>
      </c>
      <c r="I189" t="str">
        <f>[5]trip_summary_region!I189</f>
        <v>Light Vehicle Passenger</v>
      </c>
      <c r="J189" t="str">
        <f>[5]trip_summary_region!J189</f>
        <v>2037/38</v>
      </c>
    </row>
    <row r="190" spans="1:10" x14ac:dyDescent="0.2">
      <c r="A190" t="str">
        <f>[5]trip_summary_region!A190</f>
        <v>03 WAIKATO</v>
      </c>
      <c r="B190">
        <f>[5]trip_summary_region!B190</f>
        <v>3</v>
      </c>
      <c r="C190">
        <f>[5]trip_summary_region!C190</f>
        <v>2043</v>
      </c>
      <c r="D190">
        <f>[5]trip_summary_region!D190</f>
        <v>931</v>
      </c>
      <c r="E190">
        <f>[5]trip_summary_region!E190</f>
        <v>4349</v>
      </c>
      <c r="F190">
        <f>[5]trip_summary_region!F190</f>
        <v>153.16863303</v>
      </c>
      <c r="G190">
        <f>[5]trip_summary_region!G190</f>
        <v>2260.0942492999998</v>
      </c>
      <c r="H190">
        <f>[5]trip_summary_region!H190</f>
        <v>47.838981969999999</v>
      </c>
      <c r="I190" t="str">
        <f>[5]trip_summary_region!I190</f>
        <v>Light Vehicle Passenger</v>
      </c>
      <c r="J190" t="str">
        <f>[5]trip_summary_region!J190</f>
        <v>2042/43</v>
      </c>
    </row>
    <row r="191" spans="1:10" x14ac:dyDescent="0.2">
      <c r="A191" t="str">
        <f>[5]trip_summary_region!A191</f>
        <v>03 WAIKATO</v>
      </c>
      <c r="B191">
        <f>[5]trip_summary_region!B191</f>
        <v>4</v>
      </c>
      <c r="C191">
        <f>[5]trip_summary_region!C191</f>
        <v>2013</v>
      </c>
      <c r="D191">
        <f>[5]trip_summary_region!D191</f>
        <v>13</v>
      </c>
      <c r="E191">
        <f>[5]trip_summary_region!E191</f>
        <v>20</v>
      </c>
      <c r="F191">
        <f>[5]trip_summary_region!F191</f>
        <v>0.69122996950000004</v>
      </c>
      <c r="G191">
        <f>[5]trip_summary_region!G191</f>
        <v>2.4426175743999998</v>
      </c>
      <c r="H191">
        <f>[5]trip_summary_region!H191</f>
        <v>0.1633822556</v>
      </c>
      <c r="I191" t="s">
        <v>116</v>
      </c>
      <c r="J191" t="str">
        <f>[5]trip_summary_region!J191</f>
        <v>2012/13</v>
      </c>
    </row>
    <row r="192" spans="1:10" x14ac:dyDescent="0.2">
      <c r="A192" t="str">
        <f>[5]trip_summary_region!A192</f>
        <v>03 WAIKATO</v>
      </c>
      <c r="B192">
        <f>[5]trip_summary_region!B192</f>
        <v>4</v>
      </c>
      <c r="C192">
        <f>[5]trip_summary_region!C192</f>
        <v>2018</v>
      </c>
      <c r="D192">
        <f>[5]trip_summary_region!D192</f>
        <v>13</v>
      </c>
      <c r="E192">
        <f>[5]trip_summary_region!E192</f>
        <v>20</v>
      </c>
      <c r="F192">
        <f>[5]trip_summary_region!F192</f>
        <v>0.82240011349999997</v>
      </c>
      <c r="G192">
        <f>[5]trip_summary_region!G192</f>
        <v>3.0155967268000001</v>
      </c>
      <c r="H192">
        <f>[5]trip_summary_region!H192</f>
        <v>0.1972573564</v>
      </c>
      <c r="I192" t="s">
        <v>116</v>
      </c>
      <c r="J192" t="str">
        <f>[5]trip_summary_region!J192</f>
        <v>2017/18</v>
      </c>
    </row>
    <row r="193" spans="1:10" x14ac:dyDescent="0.2">
      <c r="A193" t="str">
        <f>[5]trip_summary_region!A193</f>
        <v>03 WAIKATO</v>
      </c>
      <c r="B193">
        <f>[5]trip_summary_region!B193</f>
        <v>4</v>
      </c>
      <c r="C193">
        <f>[5]trip_summary_region!C193</f>
        <v>2023</v>
      </c>
      <c r="D193">
        <f>[5]trip_summary_region!D193</f>
        <v>13</v>
      </c>
      <c r="E193">
        <f>[5]trip_summary_region!E193</f>
        <v>20</v>
      </c>
      <c r="F193">
        <f>[5]trip_summary_region!F193</f>
        <v>0.9056253273</v>
      </c>
      <c r="G193">
        <f>[5]trip_summary_region!G193</f>
        <v>3.4219008758</v>
      </c>
      <c r="H193">
        <f>[5]trip_summary_region!H193</f>
        <v>0.22009984699999999</v>
      </c>
      <c r="I193" t="s">
        <v>116</v>
      </c>
      <c r="J193" t="str">
        <f>[5]trip_summary_region!J193</f>
        <v>2022/23</v>
      </c>
    </row>
    <row r="194" spans="1:10" x14ac:dyDescent="0.2">
      <c r="A194" t="str">
        <f>[5]trip_summary_region!A194</f>
        <v>03 WAIKATO</v>
      </c>
      <c r="B194">
        <f>[5]trip_summary_region!B194</f>
        <v>4</v>
      </c>
      <c r="C194">
        <f>[5]trip_summary_region!C194</f>
        <v>2028</v>
      </c>
      <c r="D194">
        <f>[5]trip_summary_region!D194</f>
        <v>13</v>
      </c>
      <c r="E194">
        <f>[5]trip_summary_region!E194</f>
        <v>20</v>
      </c>
      <c r="F194">
        <f>[5]trip_summary_region!F194</f>
        <v>0.98274026410000004</v>
      </c>
      <c r="G194">
        <f>[5]trip_summary_region!G194</f>
        <v>3.8014799571000002</v>
      </c>
      <c r="H194">
        <f>[5]trip_summary_region!H194</f>
        <v>0.24211705550000001</v>
      </c>
      <c r="I194" t="s">
        <v>116</v>
      </c>
      <c r="J194" t="str">
        <f>[5]trip_summary_region!J194</f>
        <v>2027/28</v>
      </c>
    </row>
    <row r="195" spans="1:10" x14ac:dyDescent="0.2">
      <c r="A195" t="str">
        <f>[5]trip_summary_region!A195</f>
        <v>03 WAIKATO</v>
      </c>
      <c r="B195">
        <f>[5]trip_summary_region!B195</f>
        <v>4</v>
      </c>
      <c r="C195">
        <f>[5]trip_summary_region!C195</f>
        <v>2033</v>
      </c>
      <c r="D195">
        <f>[5]trip_summary_region!D195</f>
        <v>13</v>
      </c>
      <c r="E195">
        <f>[5]trip_summary_region!E195</f>
        <v>20</v>
      </c>
      <c r="F195">
        <f>[5]trip_summary_region!F195</f>
        <v>1.0487720523999999</v>
      </c>
      <c r="G195">
        <f>[5]trip_summary_region!G195</f>
        <v>4.1119055495000003</v>
      </c>
      <c r="H195">
        <f>[5]trip_summary_region!H195</f>
        <v>0.2600321001</v>
      </c>
      <c r="I195" t="s">
        <v>116</v>
      </c>
      <c r="J195" t="str">
        <f>[5]trip_summary_region!J195</f>
        <v>2032/33</v>
      </c>
    </row>
    <row r="196" spans="1:10" x14ac:dyDescent="0.2">
      <c r="A196" t="str">
        <f>[5]trip_summary_region!A196</f>
        <v>03 WAIKATO</v>
      </c>
      <c r="B196">
        <f>[5]trip_summary_region!B196</f>
        <v>4</v>
      </c>
      <c r="C196">
        <f>[5]trip_summary_region!C196</f>
        <v>2038</v>
      </c>
      <c r="D196">
        <f>[5]trip_summary_region!D196</f>
        <v>13</v>
      </c>
      <c r="E196">
        <f>[5]trip_summary_region!E196</f>
        <v>20</v>
      </c>
      <c r="F196">
        <f>[5]trip_summary_region!F196</f>
        <v>1.0922688433000001</v>
      </c>
      <c r="G196">
        <f>[5]trip_summary_region!G196</f>
        <v>4.3095809516000001</v>
      </c>
      <c r="H196">
        <f>[5]trip_summary_region!H196</f>
        <v>0.26912257750000002</v>
      </c>
      <c r="I196" t="s">
        <v>116</v>
      </c>
      <c r="J196" t="str">
        <f>[5]trip_summary_region!J196</f>
        <v>2037/38</v>
      </c>
    </row>
    <row r="197" spans="1:10" x14ac:dyDescent="0.2">
      <c r="A197" t="str">
        <f>[5]trip_summary_region!A197</f>
        <v>03 WAIKATO</v>
      </c>
      <c r="B197">
        <f>[5]trip_summary_region!B197</f>
        <v>4</v>
      </c>
      <c r="C197">
        <f>[5]trip_summary_region!C197</f>
        <v>2043</v>
      </c>
      <c r="D197">
        <f>[5]trip_summary_region!D197</f>
        <v>13</v>
      </c>
      <c r="E197">
        <f>[5]trip_summary_region!E197</f>
        <v>20</v>
      </c>
      <c r="F197">
        <f>[5]trip_summary_region!F197</f>
        <v>1.1357266706</v>
      </c>
      <c r="G197">
        <f>[5]trip_summary_region!G197</f>
        <v>4.5120411008000003</v>
      </c>
      <c r="H197">
        <f>[5]trip_summary_region!H197</f>
        <v>0.2781883631</v>
      </c>
      <c r="I197" t="s">
        <v>116</v>
      </c>
      <c r="J197" t="str">
        <f>[5]trip_summary_region!J197</f>
        <v>2042/43</v>
      </c>
    </row>
    <row r="198" spans="1:10" x14ac:dyDescent="0.2">
      <c r="A198" t="str">
        <f>[5]trip_summary_region!A198</f>
        <v>03 WAIKATO</v>
      </c>
      <c r="B198">
        <f>[5]trip_summary_region!B198</f>
        <v>5</v>
      </c>
      <c r="C198">
        <f>[5]trip_summary_region!C198</f>
        <v>2013</v>
      </c>
      <c r="D198">
        <f>[5]trip_summary_region!D198</f>
        <v>16</v>
      </c>
      <c r="E198">
        <f>[5]trip_summary_region!E198</f>
        <v>51</v>
      </c>
      <c r="F198">
        <f>[5]trip_summary_region!F198</f>
        <v>1.8680965575999999</v>
      </c>
      <c r="G198">
        <f>[5]trip_summary_region!G198</f>
        <v>38.030338682999997</v>
      </c>
      <c r="H198">
        <f>[5]trip_summary_region!H198</f>
        <v>0.60639269429999998</v>
      </c>
      <c r="I198" t="str">
        <f>[5]trip_summary_region!I198</f>
        <v>Motorcyclist</v>
      </c>
      <c r="J198" t="str">
        <f>[5]trip_summary_region!J198</f>
        <v>2012/13</v>
      </c>
    </row>
    <row r="199" spans="1:10" x14ac:dyDescent="0.2">
      <c r="A199" t="str">
        <f>[5]trip_summary_region!A199</f>
        <v>03 WAIKATO</v>
      </c>
      <c r="B199">
        <f>[5]trip_summary_region!B199</f>
        <v>5</v>
      </c>
      <c r="C199">
        <f>[5]trip_summary_region!C199</f>
        <v>2018</v>
      </c>
      <c r="D199">
        <f>[5]trip_summary_region!D199</f>
        <v>16</v>
      </c>
      <c r="E199">
        <f>[5]trip_summary_region!E199</f>
        <v>51</v>
      </c>
      <c r="F199">
        <f>[5]trip_summary_region!F199</f>
        <v>1.8367144203000001</v>
      </c>
      <c r="G199">
        <f>[5]trip_summary_region!G199</f>
        <v>39.582526346000002</v>
      </c>
      <c r="H199">
        <f>[5]trip_summary_region!H199</f>
        <v>0.61315894500000001</v>
      </c>
      <c r="I199" t="str">
        <f>[5]trip_summary_region!I199</f>
        <v>Motorcyclist</v>
      </c>
      <c r="J199" t="str">
        <f>[5]trip_summary_region!J199</f>
        <v>2017/18</v>
      </c>
    </row>
    <row r="200" spans="1:10" x14ac:dyDescent="0.2">
      <c r="A200" t="str">
        <f>[5]trip_summary_region!A200</f>
        <v>03 WAIKATO</v>
      </c>
      <c r="B200">
        <f>[5]trip_summary_region!B200</f>
        <v>5</v>
      </c>
      <c r="C200">
        <f>[5]trip_summary_region!C200</f>
        <v>2023</v>
      </c>
      <c r="D200">
        <f>[5]trip_summary_region!D200</f>
        <v>16</v>
      </c>
      <c r="E200">
        <f>[5]trip_summary_region!E200</f>
        <v>51</v>
      </c>
      <c r="F200">
        <f>[5]trip_summary_region!F200</f>
        <v>1.8059413273</v>
      </c>
      <c r="G200">
        <f>[5]trip_summary_region!G200</f>
        <v>40.370271303000003</v>
      </c>
      <c r="H200">
        <f>[5]trip_summary_region!H200</f>
        <v>0.61752044110000004</v>
      </c>
      <c r="I200" t="str">
        <f>[5]trip_summary_region!I200</f>
        <v>Motorcyclist</v>
      </c>
      <c r="J200" t="str">
        <f>[5]trip_summary_region!J200</f>
        <v>2022/23</v>
      </c>
    </row>
    <row r="201" spans="1:10" x14ac:dyDescent="0.2">
      <c r="A201" t="str">
        <f>[5]trip_summary_region!A201</f>
        <v>03 WAIKATO</v>
      </c>
      <c r="B201">
        <f>[5]trip_summary_region!B201</f>
        <v>5</v>
      </c>
      <c r="C201">
        <f>[5]trip_summary_region!C201</f>
        <v>2028</v>
      </c>
      <c r="D201">
        <f>[5]trip_summary_region!D201</f>
        <v>16</v>
      </c>
      <c r="E201">
        <f>[5]trip_summary_region!E201</f>
        <v>51</v>
      </c>
      <c r="F201">
        <f>[5]trip_summary_region!F201</f>
        <v>1.7600682994000001</v>
      </c>
      <c r="G201">
        <f>[5]trip_summary_region!G201</f>
        <v>39.660286962999997</v>
      </c>
      <c r="H201">
        <f>[5]trip_summary_region!H201</f>
        <v>0.60771714030000001</v>
      </c>
      <c r="I201" t="str">
        <f>[5]trip_summary_region!I201</f>
        <v>Motorcyclist</v>
      </c>
      <c r="J201" t="str">
        <f>[5]trip_summary_region!J201</f>
        <v>2027/28</v>
      </c>
    </row>
    <row r="202" spans="1:10" x14ac:dyDescent="0.2">
      <c r="A202" t="str">
        <f>[5]trip_summary_region!A202</f>
        <v>03 WAIKATO</v>
      </c>
      <c r="B202">
        <f>[5]trip_summary_region!B202</f>
        <v>5</v>
      </c>
      <c r="C202">
        <f>[5]trip_summary_region!C202</f>
        <v>2033</v>
      </c>
      <c r="D202">
        <f>[5]trip_summary_region!D202</f>
        <v>16</v>
      </c>
      <c r="E202">
        <f>[5]trip_summary_region!E202</f>
        <v>51</v>
      </c>
      <c r="F202">
        <f>[5]trip_summary_region!F202</f>
        <v>1.7104633249000001</v>
      </c>
      <c r="G202">
        <f>[5]trip_summary_region!G202</f>
        <v>37.705855802999999</v>
      </c>
      <c r="H202">
        <f>[5]trip_summary_region!H202</f>
        <v>0.58398822120000005</v>
      </c>
      <c r="I202" t="str">
        <f>[5]trip_summary_region!I202</f>
        <v>Motorcyclist</v>
      </c>
      <c r="J202" t="str">
        <f>[5]trip_summary_region!J202</f>
        <v>2032/33</v>
      </c>
    </row>
    <row r="203" spans="1:10" x14ac:dyDescent="0.2">
      <c r="A203" t="str">
        <f>[5]trip_summary_region!A203</f>
        <v>03 WAIKATO</v>
      </c>
      <c r="B203">
        <f>[5]trip_summary_region!B203</f>
        <v>5</v>
      </c>
      <c r="C203">
        <f>[5]trip_summary_region!C203</f>
        <v>2038</v>
      </c>
      <c r="D203">
        <f>[5]trip_summary_region!D203</f>
        <v>16</v>
      </c>
      <c r="E203">
        <f>[5]trip_summary_region!E203</f>
        <v>51</v>
      </c>
      <c r="F203">
        <f>[5]trip_summary_region!F203</f>
        <v>1.6037273466999999</v>
      </c>
      <c r="G203">
        <f>[5]trip_summary_region!G203</f>
        <v>34.221121554</v>
      </c>
      <c r="H203">
        <f>[5]trip_summary_region!H203</f>
        <v>0.53521650669999998</v>
      </c>
      <c r="I203" t="str">
        <f>[5]trip_summary_region!I203</f>
        <v>Motorcyclist</v>
      </c>
      <c r="J203" t="str">
        <f>[5]trip_summary_region!J203</f>
        <v>2037/38</v>
      </c>
    </row>
    <row r="204" spans="1:10" x14ac:dyDescent="0.2">
      <c r="A204" t="str">
        <f>[5]trip_summary_region!A204</f>
        <v>03 WAIKATO</v>
      </c>
      <c r="B204">
        <f>[5]trip_summary_region!B204</f>
        <v>5</v>
      </c>
      <c r="C204">
        <f>[5]trip_summary_region!C204</f>
        <v>2043</v>
      </c>
      <c r="D204">
        <f>[5]trip_summary_region!D204</f>
        <v>16</v>
      </c>
      <c r="E204">
        <f>[5]trip_summary_region!E204</f>
        <v>51</v>
      </c>
      <c r="F204">
        <f>[5]trip_summary_region!F204</f>
        <v>1.4956305754000001</v>
      </c>
      <c r="G204">
        <f>[5]trip_summary_region!G204</f>
        <v>30.663202500000001</v>
      </c>
      <c r="H204">
        <f>[5]trip_summary_region!H204</f>
        <v>0.48553442889999998</v>
      </c>
      <c r="I204" t="str">
        <f>[5]trip_summary_region!I204</f>
        <v>Motorcyclist</v>
      </c>
      <c r="J204" t="str">
        <f>[5]trip_summary_region!J204</f>
        <v>2042/43</v>
      </c>
    </row>
    <row r="205" spans="1:10" x14ac:dyDescent="0.2">
      <c r="A205" t="str">
        <f>[5]trip_summary_region!A205</f>
        <v>03 WAIKATO</v>
      </c>
      <c r="B205">
        <f>[5]trip_summary_region!B205</f>
        <v>6</v>
      </c>
      <c r="C205">
        <f>[5]trip_summary_region!C205</f>
        <v>2013</v>
      </c>
      <c r="D205">
        <f>[5]trip_summary_region!D205</f>
        <v>2</v>
      </c>
      <c r="E205">
        <f>[5]trip_summary_region!E205</f>
        <v>5</v>
      </c>
      <c r="F205">
        <f>[5]trip_summary_region!F205</f>
        <v>0.12019006359999999</v>
      </c>
      <c r="G205">
        <f>[5]trip_summary_region!G205</f>
        <v>2.9773519310999998</v>
      </c>
      <c r="H205">
        <f>[5]trip_summary_region!H205</f>
        <v>7.0969514100000006E-2</v>
      </c>
      <c r="I205" t="str">
        <f>[5]trip_summary_region!I205</f>
        <v>Local Train</v>
      </c>
      <c r="J205" t="str">
        <f>[5]trip_summary_region!J205</f>
        <v>2012/13</v>
      </c>
    </row>
    <row r="206" spans="1:10" x14ac:dyDescent="0.2">
      <c r="A206" t="str">
        <f>[5]trip_summary_region!A206</f>
        <v>03 WAIKATO</v>
      </c>
      <c r="B206">
        <f>[5]trip_summary_region!B206</f>
        <v>6</v>
      </c>
      <c r="C206">
        <f>[5]trip_summary_region!C206</f>
        <v>2018</v>
      </c>
      <c r="D206">
        <f>[5]trip_summary_region!D206</f>
        <v>2</v>
      </c>
      <c r="E206">
        <f>[5]trip_summary_region!E206</f>
        <v>5</v>
      </c>
      <c r="F206">
        <f>[5]trip_summary_region!F206</f>
        <v>0.12728721579999999</v>
      </c>
      <c r="G206">
        <f>[5]trip_summary_region!G206</f>
        <v>3.2575234219999998</v>
      </c>
      <c r="H206">
        <f>[5]trip_summary_region!H206</f>
        <v>7.7604885799999995E-2</v>
      </c>
      <c r="I206" t="str">
        <f>[5]trip_summary_region!I206</f>
        <v>Local Train</v>
      </c>
      <c r="J206" t="str">
        <f>[5]trip_summary_region!J206</f>
        <v>2017/18</v>
      </c>
    </row>
    <row r="207" spans="1:10" x14ac:dyDescent="0.2">
      <c r="A207" t="str">
        <f>[5]trip_summary_region!A207</f>
        <v>03 WAIKATO</v>
      </c>
      <c r="B207">
        <f>[5]trip_summary_region!B207</f>
        <v>6</v>
      </c>
      <c r="C207">
        <f>[5]trip_summary_region!C207</f>
        <v>2023</v>
      </c>
      <c r="D207">
        <f>[5]trip_summary_region!D207</f>
        <v>2</v>
      </c>
      <c r="E207">
        <f>[5]trip_summary_region!E207</f>
        <v>5</v>
      </c>
      <c r="F207">
        <f>[5]trip_summary_region!F207</f>
        <v>0.14162232129999999</v>
      </c>
      <c r="G207">
        <f>[5]trip_summary_region!G207</f>
        <v>3.8685438181</v>
      </c>
      <c r="H207">
        <f>[5]trip_summary_region!H207</f>
        <v>9.2064190099999998E-2</v>
      </c>
      <c r="I207" t="str">
        <f>[5]trip_summary_region!I207</f>
        <v>Local Train</v>
      </c>
      <c r="J207" t="str">
        <f>[5]trip_summary_region!J207</f>
        <v>2022/23</v>
      </c>
    </row>
    <row r="208" spans="1:10" x14ac:dyDescent="0.2">
      <c r="A208" t="str">
        <f>[5]trip_summary_region!A208</f>
        <v>03 WAIKATO</v>
      </c>
      <c r="B208">
        <f>[5]trip_summary_region!B208</f>
        <v>6</v>
      </c>
      <c r="C208">
        <f>[5]trip_summary_region!C208</f>
        <v>2028</v>
      </c>
      <c r="D208">
        <f>[5]trip_summary_region!D208</f>
        <v>2</v>
      </c>
      <c r="E208">
        <f>[5]trip_summary_region!E208</f>
        <v>5</v>
      </c>
      <c r="F208">
        <f>[5]trip_summary_region!F208</f>
        <v>0.15532858599999999</v>
      </c>
      <c r="G208">
        <f>[5]trip_summary_region!G208</f>
        <v>4.3969988506000002</v>
      </c>
      <c r="H208">
        <f>[5]trip_summary_region!H208</f>
        <v>0.1045829808</v>
      </c>
      <c r="I208" t="str">
        <f>[5]trip_summary_region!I208</f>
        <v>Local Train</v>
      </c>
      <c r="J208" t="str">
        <f>[5]trip_summary_region!J208</f>
        <v>2027/28</v>
      </c>
    </row>
    <row r="209" spans="1:10" x14ac:dyDescent="0.2">
      <c r="A209" t="str">
        <f>[5]trip_summary_region!A209</f>
        <v>03 WAIKATO</v>
      </c>
      <c r="B209">
        <f>[5]trip_summary_region!B209</f>
        <v>6</v>
      </c>
      <c r="C209">
        <f>[5]trip_summary_region!C209</f>
        <v>2033</v>
      </c>
      <c r="D209">
        <f>[5]trip_summary_region!D209</f>
        <v>2</v>
      </c>
      <c r="E209">
        <f>[5]trip_summary_region!E209</f>
        <v>5</v>
      </c>
      <c r="F209">
        <f>[5]trip_summary_region!F209</f>
        <v>0.16528467299999999</v>
      </c>
      <c r="G209">
        <f>[5]trip_summary_region!G209</f>
        <v>4.7603271114999997</v>
      </c>
      <c r="H209">
        <f>[5]trip_summary_region!H209</f>
        <v>0.1131954416</v>
      </c>
      <c r="I209" t="str">
        <f>[5]trip_summary_region!I209</f>
        <v>Local Train</v>
      </c>
      <c r="J209" t="str">
        <f>[5]trip_summary_region!J209</f>
        <v>2032/33</v>
      </c>
    </row>
    <row r="210" spans="1:10" x14ac:dyDescent="0.2">
      <c r="A210" t="str">
        <f>[5]trip_summary_region!A210</f>
        <v>03 WAIKATO</v>
      </c>
      <c r="B210">
        <f>[5]trip_summary_region!B210</f>
        <v>6</v>
      </c>
      <c r="C210">
        <f>[5]trip_summary_region!C210</f>
        <v>2038</v>
      </c>
      <c r="D210">
        <f>[5]trip_summary_region!D210</f>
        <v>2</v>
      </c>
      <c r="E210">
        <f>[5]trip_summary_region!E210</f>
        <v>5</v>
      </c>
      <c r="F210">
        <f>[5]trip_summary_region!F210</f>
        <v>0.17199228499999999</v>
      </c>
      <c r="G210">
        <f>[5]trip_summary_region!G210</f>
        <v>5.0976279561000002</v>
      </c>
      <c r="H210">
        <f>[5]trip_summary_region!H210</f>
        <v>0.1211651084</v>
      </c>
      <c r="I210" t="str">
        <f>[5]trip_summary_region!I210</f>
        <v>Local Train</v>
      </c>
      <c r="J210" t="str">
        <f>[5]trip_summary_region!J210</f>
        <v>2037/38</v>
      </c>
    </row>
    <row r="211" spans="1:10" x14ac:dyDescent="0.2">
      <c r="A211" t="str">
        <f>[5]trip_summary_region!A211</f>
        <v>03 WAIKATO</v>
      </c>
      <c r="B211">
        <f>[5]trip_summary_region!B211</f>
        <v>6</v>
      </c>
      <c r="C211">
        <f>[5]trip_summary_region!C211</f>
        <v>2043</v>
      </c>
      <c r="D211">
        <f>[5]trip_summary_region!D211</f>
        <v>2</v>
      </c>
      <c r="E211">
        <f>[5]trip_summary_region!E211</f>
        <v>5</v>
      </c>
      <c r="F211">
        <f>[5]trip_summary_region!F211</f>
        <v>0.17736737250000001</v>
      </c>
      <c r="G211">
        <f>[5]trip_summary_region!G211</f>
        <v>5.3820044290000002</v>
      </c>
      <c r="H211">
        <f>[5]trip_summary_region!H211</f>
        <v>0.12788143690000001</v>
      </c>
      <c r="I211" t="str">
        <f>[5]trip_summary_region!I211</f>
        <v>Local Train</v>
      </c>
      <c r="J211" t="str">
        <f>[5]trip_summary_region!J211</f>
        <v>2042/43</v>
      </c>
    </row>
    <row r="212" spans="1:10" x14ac:dyDescent="0.2">
      <c r="A212" t="str">
        <f>[5]trip_summary_region!A212</f>
        <v>03 WAIKATO</v>
      </c>
      <c r="B212">
        <f>[5]trip_summary_region!B212</f>
        <v>7</v>
      </c>
      <c r="C212">
        <f>[5]trip_summary_region!C212</f>
        <v>2013</v>
      </c>
      <c r="D212">
        <f>[5]trip_summary_region!D212</f>
        <v>81</v>
      </c>
      <c r="E212">
        <f>[5]trip_summary_region!E212</f>
        <v>183</v>
      </c>
      <c r="F212">
        <f>[5]trip_summary_region!F212</f>
        <v>5.7199103379</v>
      </c>
      <c r="G212">
        <f>[5]trip_summary_region!G212</f>
        <v>54.303948532</v>
      </c>
      <c r="H212">
        <f>[5]trip_summary_region!H212</f>
        <v>2.2088814398999999</v>
      </c>
      <c r="I212" t="str">
        <f>[5]trip_summary_region!I212</f>
        <v>Local Bus</v>
      </c>
      <c r="J212" t="str">
        <f>[5]trip_summary_region!J212</f>
        <v>2012/13</v>
      </c>
    </row>
    <row r="213" spans="1:10" x14ac:dyDescent="0.2">
      <c r="A213" t="str">
        <f>[5]trip_summary_region!A213</f>
        <v>03 WAIKATO</v>
      </c>
      <c r="B213">
        <f>[5]trip_summary_region!B213</f>
        <v>7</v>
      </c>
      <c r="C213">
        <f>[5]trip_summary_region!C213</f>
        <v>2018</v>
      </c>
      <c r="D213">
        <f>[5]trip_summary_region!D213</f>
        <v>81</v>
      </c>
      <c r="E213">
        <f>[5]trip_summary_region!E213</f>
        <v>183</v>
      </c>
      <c r="F213">
        <f>[5]trip_summary_region!F213</f>
        <v>5.7974363710999999</v>
      </c>
      <c r="G213">
        <f>[5]trip_summary_region!G213</f>
        <v>52.211012922000002</v>
      </c>
      <c r="H213">
        <f>[5]trip_summary_region!H213</f>
        <v>2.2059838936</v>
      </c>
      <c r="I213" t="str">
        <f>[5]trip_summary_region!I213</f>
        <v>Local Bus</v>
      </c>
      <c r="J213" t="str">
        <f>[5]trip_summary_region!J213</f>
        <v>2017/18</v>
      </c>
    </row>
    <row r="214" spans="1:10" x14ac:dyDescent="0.2">
      <c r="A214" t="str">
        <f>[5]trip_summary_region!A214</f>
        <v>03 WAIKATO</v>
      </c>
      <c r="B214">
        <f>[5]trip_summary_region!B214</f>
        <v>7</v>
      </c>
      <c r="C214">
        <f>[5]trip_summary_region!C214</f>
        <v>2023</v>
      </c>
      <c r="D214">
        <f>[5]trip_summary_region!D214</f>
        <v>81</v>
      </c>
      <c r="E214">
        <f>[5]trip_summary_region!E214</f>
        <v>183</v>
      </c>
      <c r="F214">
        <f>[5]trip_summary_region!F214</f>
        <v>5.7929793319999998</v>
      </c>
      <c r="G214">
        <f>[5]trip_summary_region!G214</f>
        <v>51.340808866000003</v>
      </c>
      <c r="H214">
        <f>[5]trip_summary_region!H214</f>
        <v>2.1916393963999998</v>
      </c>
      <c r="I214" t="str">
        <f>[5]trip_summary_region!I214</f>
        <v>Local Bus</v>
      </c>
      <c r="J214" t="str">
        <f>[5]trip_summary_region!J214</f>
        <v>2022/23</v>
      </c>
    </row>
    <row r="215" spans="1:10" x14ac:dyDescent="0.2">
      <c r="A215" t="str">
        <f>[5]trip_summary_region!A215</f>
        <v>03 WAIKATO</v>
      </c>
      <c r="B215">
        <f>[5]trip_summary_region!B215</f>
        <v>7</v>
      </c>
      <c r="C215">
        <f>[5]trip_summary_region!C215</f>
        <v>2028</v>
      </c>
      <c r="D215">
        <f>[5]trip_summary_region!D215</f>
        <v>81</v>
      </c>
      <c r="E215">
        <f>[5]trip_summary_region!E215</f>
        <v>183</v>
      </c>
      <c r="F215">
        <f>[5]trip_summary_region!F215</f>
        <v>5.8884810045</v>
      </c>
      <c r="G215">
        <f>[5]trip_summary_region!G215</f>
        <v>51.014935751000003</v>
      </c>
      <c r="H215">
        <f>[5]trip_summary_region!H215</f>
        <v>2.2092021998</v>
      </c>
      <c r="I215" t="str">
        <f>[5]trip_summary_region!I215</f>
        <v>Local Bus</v>
      </c>
      <c r="J215" t="str">
        <f>[5]trip_summary_region!J215</f>
        <v>2027/28</v>
      </c>
    </row>
    <row r="216" spans="1:10" x14ac:dyDescent="0.2">
      <c r="A216" t="str">
        <f>[5]trip_summary_region!A216</f>
        <v>03 WAIKATO</v>
      </c>
      <c r="B216">
        <f>[5]trip_summary_region!B216</f>
        <v>7</v>
      </c>
      <c r="C216">
        <f>[5]trip_summary_region!C216</f>
        <v>2033</v>
      </c>
      <c r="D216">
        <f>[5]trip_summary_region!D216</f>
        <v>81</v>
      </c>
      <c r="E216">
        <f>[5]trip_summary_region!E216</f>
        <v>183</v>
      </c>
      <c r="F216">
        <f>[5]trip_summary_region!F216</f>
        <v>5.9743234849000002</v>
      </c>
      <c r="G216">
        <f>[5]trip_summary_region!G216</f>
        <v>50.441487391999999</v>
      </c>
      <c r="H216">
        <f>[5]trip_summary_region!H216</f>
        <v>2.2159903906</v>
      </c>
      <c r="I216" t="str">
        <f>[5]trip_summary_region!I216</f>
        <v>Local Bus</v>
      </c>
      <c r="J216" t="str">
        <f>[5]trip_summary_region!J216</f>
        <v>2032/33</v>
      </c>
    </row>
    <row r="217" spans="1:10" x14ac:dyDescent="0.2">
      <c r="A217" t="str">
        <f>[5]trip_summary_region!A217</f>
        <v>03 WAIKATO</v>
      </c>
      <c r="B217">
        <f>[5]trip_summary_region!B217</f>
        <v>7</v>
      </c>
      <c r="C217">
        <f>[5]trip_summary_region!C217</f>
        <v>2038</v>
      </c>
      <c r="D217">
        <f>[5]trip_summary_region!D217</f>
        <v>81</v>
      </c>
      <c r="E217">
        <f>[5]trip_summary_region!E217</f>
        <v>183</v>
      </c>
      <c r="F217">
        <f>[5]trip_summary_region!F217</f>
        <v>6.0444060360999998</v>
      </c>
      <c r="G217">
        <f>[5]trip_summary_region!G217</f>
        <v>49.944348787000003</v>
      </c>
      <c r="H217">
        <f>[5]trip_summary_region!H217</f>
        <v>2.2176624336000001</v>
      </c>
      <c r="I217" t="str">
        <f>[5]trip_summary_region!I217</f>
        <v>Local Bus</v>
      </c>
      <c r="J217" t="str">
        <f>[5]trip_summary_region!J217</f>
        <v>2037/38</v>
      </c>
    </row>
    <row r="218" spans="1:10" x14ac:dyDescent="0.2">
      <c r="A218" t="str">
        <f>[5]trip_summary_region!A218</f>
        <v>03 WAIKATO</v>
      </c>
      <c r="B218">
        <f>[5]trip_summary_region!B218</f>
        <v>7</v>
      </c>
      <c r="C218">
        <f>[5]trip_summary_region!C218</f>
        <v>2043</v>
      </c>
      <c r="D218">
        <f>[5]trip_summary_region!D218</f>
        <v>81</v>
      </c>
      <c r="E218">
        <f>[5]trip_summary_region!E218</f>
        <v>183</v>
      </c>
      <c r="F218">
        <f>[5]trip_summary_region!F218</f>
        <v>6.0718038504000003</v>
      </c>
      <c r="G218">
        <f>[5]trip_summary_region!G218</f>
        <v>49.117850707000002</v>
      </c>
      <c r="H218">
        <f>[5]trip_summary_region!H218</f>
        <v>2.2060898167</v>
      </c>
      <c r="I218" t="str">
        <f>[5]trip_summary_region!I218</f>
        <v>Local Bus</v>
      </c>
      <c r="J218" t="str">
        <f>[5]trip_summary_region!J218</f>
        <v>2042/43</v>
      </c>
    </row>
    <row r="219" spans="1:10" x14ac:dyDescent="0.2">
      <c r="A219" t="str">
        <f>[5]trip_summary_region!A219</f>
        <v>03 WAIKATO</v>
      </c>
      <c r="B219">
        <f>[5]trip_summary_region!B219</f>
        <v>8</v>
      </c>
      <c r="C219">
        <f>[5]trip_summary_region!C219</f>
        <v>2013</v>
      </c>
      <c r="D219">
        <f>[5]trip_summary_region!D219</f>
        <v>3</v>
      </c>
      <c r="E219">
        <f>[5]trip_summary_region!E219</f>
        <v>7</v>
      </c>
      <c r="F219">
        <f>[5]trip_summary_region!F219</f>
        <v>0.2446181519</v>
      </c>
      <c r="G219">
        <f>[5]trip_summary_region!G219</f>
        <v>0</v>
      </c>
      <c r="H219">
        <f>[5]trip_summary_region!H219</f>
        <v>9.3342661800000004E-2</v>
      </c>
      <c r="I219" t="str">
        <f>[5]trip_summary_region!I219</f>
        <v>Local Ferry</v>
      </c>
      <c r="J219" t="str">
        <f>[5]trip_summary_region!J219</f>
        <v>2012/13</v>
      </c>
    </row>
    <row r="220" spans="1:10" x14ac:dyDescent="0.2">
      <c r="A220" t="str">
        <f>[5]trip_summary_region!A220</f>
        <v>03 WAIKATO</v>
      </c>
      <c r="B220">
        <f>[5]trip_summary_region!B220</f>
        <v>8</v>
      </c>
      <c r="C220">
        <f>[5]trip_summary_region!C220</f>
        <v>2018</v>
      </c>
      <c r="D220">
        <f>[5]trip_summary_region!D220</f>
        <v>3</v>
      </c>
      <c r="E220">
        <f>[5]trip_summary_region!E220</f>
        <v>7</v>
      </c>
      <c r="F220">
        <f>[5]trip_summary_region!F220</f>
        <v>0.2694678204</v>
      </c>
      <c r="G220">
        <f>[5]trip_summary_region!G220</f>
        <v>0</v>
      </c>
      <c r="H220">
        <f>[5]trip_summary_region!H220</f>
        <v>0.1057073952</v>
      </c>
      <c r="I220" t="str">
        <f>[5]trip_summary_region!I220</f>
        <v>Local Ferry</v>
      </c>
      <c r="J220" t="str">
        <f>[5]trip_summary_region!J220</f>
        <v>2017/18</v>
      </c>
    </row>
    <row r="221" spans="1:10" x14ac:dyDescent="0.2">
      <c r="A221" t="str">
        <f>[5]trip_summary_region!A221</f>
        <v>03 WAIKATO</v>
      </c>
      <c r="B221">
        <f>[5]trip_summary_region!B221</f>
        <v>8</v>
      </c>
      <c r="C221">
        <f>[5]trip_summary_region!C221</f>
        <v>2023</v>
      </c>
      <c r="D221">
        <f>[5]trip_summary_region!D221</f>
        <v>3</v>
      </c>
      <c r="E221">
        <f>[5]trip_summary_region!E221</f>
        <v>7</v>
      </c>
      <c r="F221">
        <f>[5]trip_summary_region!F221</f>
        <v>0.28550085359999999</v>
      </c>
      <c r="G221">
        <f>[5]trip_summary_region!G221</f>
        <v>0</v>
      </c>
      <c r="H221">
        <f>[5]trip_summary_region!H221</f>
        <v>0.1136315926</v>
      </c>
      <c r="I221" t="str">
        <f>[5]trip_summary_region!I221</f>
        <v>Local Ferry</v>
      </c>
      <c r="J221" t="str">
        <f>[5]trip_summary_region!J221</f>
        <v>2022/23</v>
      </c>
    </row>
    <row r="222" spans="1:10" x14ac:dyDescent="0.2">
      <c r="A222" t="str">
        <f>[5]trip_summary_region!A222</f>
        <v>03 WAIKATO</v>
      </c>
      <c r="B222">
        <f>[5]trip_summary_region!B222</f>
        <v>8</v>
      </c>
      <c r="C222">
        <f>[5]trip_summary_region!C222</f>
        <v>2028</v>
      </c>
      <c r="D222">
        <f>[5]trip_summary_region!D222</f>
        <v>3</v>
      </c>
      <c r="E222">
        <f>[5]trip_summary_region!E222</f>
        <v>7</v>
      </c>
      <c r="F222">
        <f>[5]trip_summary_region!F222</f>
        <v>0.30034907329999999</v>
      </c>
      <c r="G222">
        <f>[5]trip_summary_region!G222</f>
        <v>0</v>
      </c>
      <c r="H222">
        <f>[5]trip_summary_region!H222</f>
        <v>0.1215173901</v>
      </c>
      <c r="I222" t="str">
        <f>[5]trip_summary_region!I222</f>
        <v>Local Ferry</v>
      </c>
      <c r="J222" t="str">
        <f>[5]trip_summary_region!J222</f>
        <v>2027/28</v>
      </c>
    </row>
    <row r="223" spans="1:10" x14ac:dyDescent="0.2">
      <c r="A223" t="str">
        <f>[5]trip_summary_region!A223</f>
        <v>03 WAIKATO</v>
      </c>
      <c r="B223">
        <f>[5]trip_summary_region!B223</f>
        <v>8</v>
      </c>
      <c r="C223">
        <f>[5]trip_summary_region!C223</f>
        <v>2033</v>
      </c>
      <c r="D223">
        <f>[5]trip_summary_region!D223</f>
        <v>3</v>
      </c>
      <c r="E223">
        <f>[5]trip_summary_region!E223</f>
        <v>7</v>
      </c>
      <c r="F223">
        <f>[5]trip_summary_region!F223</f>
        <v>0.30200889079999998</v>
      </c>
      <c r="G223">
        <f>[5]trip_summary_region!G223</f>
        <v>0</v>
      </c>
      <c r="H223">
        <f>[5]trip_summary_region!H223</f>
        <v>0.12197092750000001</v>
      </c>
      <c r="I223" t="str">
        <f>[5]trip_summary_region!I223</f>
        <v>Local Ferry</v>
      </c>
      <c r="J223" t="str">
        <f>[5]trip_summary_region!J223</f>
        <v>2032/33</v>
      </c>
    </row>
    <row r="224" spans="1:10" x14ac:dyDescent="0.2">
      <c r="A224" t="str">
        <f>[5]trip_summary_region!A224</f>
        <v>03 WAIKATO</v>
      </c>
      <c r="B224">
        <f>[5]trip_summary_region!B224</f>
        <v>8</v>
      </c>
      <c r="C224">
        <f>[5]trip_summary_region!C224</f>
        <v>2038</v>
      </c>
      <c r="D224">
        <f>[5]trip_summary_region!D224</f>
        <v>3</v>
      </c>
      <c r="E224">
        <f>[5]trip_summary_region!E224</f>
        <v>7</v>
      </c>
      <c r="F224">
        <f>[5]trip_summary_region!F224</f>
        <v>0.28973344210000002</v>
      </c>
      <c r="G224">
        <f>[5]trip_summary_region!G224</f>
        <v>0</v>
      </c>
      <c r="H224">
        <f>[5]trip_summary_region!H224</f>
        <v>0.1159993605</v>
      </c>
      <c r="I224" t="str">
        <f>[5]trip_summary_region!I224</f>
        <v>Local Ferry</v>
      </c>
      <c r="J224" t="str">
        <f>[5]trip_summary_region!J224</f>
        <v>2037/38</v>
      </c>
    </row>
    <row r="225" spans="1:10" x14ac:dyDescent="0.2">
      <c r="A225" t="str">
        <f>[5]trip_summary_region!A225</f>
        <v>03 WAIKATO</v>
      </c>
      <c r="B225">
        <f>[5]trip_summary_region!B225</f>
        <v>8</v>
      </c>
      <c r="C225">
        <f>[5]trip_summary_region!C225</f>
        <v>2043</v>
      </c>
      <c r="D225">
        <f>[5]trip_summary_region!D225</f>
        <v>3</v>
      </c>
      <c r="E225">
        <f>[5]trip_summary_region!E225</f>
        <v>7</v>
      </c>
      <c r="F225">
        <f>[5]trip_summary_region!F225</f>
        <v>0.27524112169999998</v>
      </c>
      <c r="G225">
        <f>[5]trip_summary_region!G225</f>
        <v>0</v>
      </c>
      <c r="H225">
        <f>[5]trip_summary_region!H225</f>
        <v>0.1091183938</v>
      </c>
      <c r="I225" t="str">
        <f>[5]trip_summary_region!I225</f>
        <v>Local Ferry</v>
      </c>
      <c r="J225" t="str">
        <f>[5]trip_summary_region!J225</f>
        <v>2042/43</v>
      </c>
    </row>
    <row r="226" spans="1:10" x14ac:dyDescent="0.2">
      <c r="A226" t="str">
        <f>[5]trip_summary_region!A226</f>
        <v>03 WAIKATO</v>
      </c>
      <c r="B226">
        <f>[5]trip_summary_region!B226</f>
        <v>9</v>
      </c>
      <c r="C226">
        <f>[5]trip_summary_region!C226</f>
        <v>2013</v>
      </c>
      <c r="D226">
        <f>[5]trip_summary_region!D226</f>
        <v>17</v>
      </c>
      <c r="E226">
        <f>[5]trip_summary_region!E226</f>
        <v>46</v>
      </c>
      <c r="F226">
        <f>[5]trip_summary_region!F226</f>
        <v>1.8854250596</v>
      </c>
      <c r="G226">
        <f>[5]trip_summary_region!G226</f>
        <v>0</v>
      </c>
      <c r="H226">
        <f>[5]trip_summary_region!H226</f>
        <v>0.63404452519999999</v>
      </c>
      <c r="I226" t="str">
        <f>[5]trip_summary_region!I226</f>
        <v>Other Household Travel</v>
      </c>
      <c r="J226" t="str">
        <f>[5]trip_summary_region!J226</f>
        <v>2012/13</v>
      </c>
    </row>
    <row r="227" spans="1:10" x14ac:dyDescent="0.2">
      <c r="A227" t="str">
        <f>[5]trip_summary_region!A227</f>
        <v>03 WAIKATO</v>
      </c>
      <c r="B227">
        <f>[5]trip_summary_region!B227</f>
        <v>9</v>
      </c>
      <c r="C227">
        <f>[5]trip_summary_region!C227</f>
        <v>2018</v>
      </c>
      <c r="D227">
        <f>[5]trip_summary_region!D227</f>
        <v>17</v>
      </c>
      <c r="E227">
        <f>[5]trip_summary_region!E227</f>
        <v>46</v>
      </c>
      <c r="F227">
        <f>[5]trip_summary_region!F227</f>
        <v>2.0297609899000002</v>
      </c>
      <c r="G227">
        <f>[5]trip_summary_region!G227</f>
        <v>0</v>
      </c>
      <c r="H227">
        <f>[5]trip_summary_region!H227</f>
        <v>0.66395639200000001</v>
      </c>
      <c r="I227" t="str">
        <f>[5]trip_summary_region!I227</f>
        <v>Other Household Travel</v>
      </c>
      <c r="J227" t="str">
        <f>[5]trip_summary_region!J227</f>
        <v>2017/18</v>
      </c>
    </row>
    <row r="228" spans="1:10" x14ac:dyDescent="0.2">
      <c r="A228" t="str">
        <f>[5]trip_summary_region!A228</f>
        <v>03 WAIKATO</v>
      </c>
      <c r="B228">
        <f>[5]trip_summary_region!B228</f>
        <v>9</v>
      </c>
      <c r="C228">
        <f>[5]trip_summary_region!C228</f>
        <v>2023</v>
      </c>
      <c r="D228">
        <f>[5]trip_summary_region!D228</f>
        <v>17</v>
      </c>
      <c r="E228">
        <f>[5]trip_summary_region!E228</f>
        <v>46</v>
      </c>
      <c r="F228">
        <f>[5]trip_summary_region!F228</f>
        <v>2.1615781809999999</v>
      </c>
      <c r="G228">
        <f>[5]trip_summary_region!G228</f>
        <v>0</v>
      </c>
      <c r="H228">
        <f>[5]trip_summary_region!H228</f>
        <v>0.68931484759999995</v>
      </c>
      <c r="I228" t="str">
        <f>[5]trip_summary_region!I228</f>
        <v>Other Household Travel</v>
      </c>
      <c r="J228" t="str">
        <f>[5]trip_summary_region!J228</f>
        <v>2022/23</v>
      </c>
    </row>
    <row r="229" spans="1:10" x14ac:dyDescent="0.2">
      <c r="A229" t="str">
        <f>[5]trip_summary_region!A229</f>
        <v>03 WAIKATO</v>
      </c>
      <c r="B229">
        <f>[5]trip_summary_region!B229</f>
        <v>9</v>
      </c>
      <c r="C229">
        <f>[5]trip_summary_region!C229</f>
        <v>2028</v>
      </c>
      <c r="D229">
        <f>[5]trip_summary_region!D229</f>
        <v>17</v>
      </c>
      <c r="E229">
        <f>[5]trip_summary_region!E229</f>
        <v>46</v>
      </c>
      <c r="F229">
        <f>[5]trip_summary_region!F229</f>
        <v>2.3988338467000001</v>
      </c>
      <c r="G229">
        <f>[5]trip_summary_region!G229</f>
        <v>0</v>
      </c>
      <c r="H229">
        <f>[5]trip_summary_region!H229</f>
        <v>0.7182072625</v>
      </c>
      <c r="I229" t="str">
        <f>[5]trip_summary_region!I229</f>
        <v>Other Household Travel</v>
      </c>
      <c r="J229" t="str">
        <f>[5]trip_summary_region!J229</f>
        <v>2027/28</v>
      </c>
    </row>
    <row r="230" spans="1:10" x14ac:dyDescent="0.2">
      <c r="A230" t="str">
        <f>[5]trip_summary_region!A230</f>
        <v>03 WAIKATO</v>
      </c>
      <c r="B230">
        <f>[5]trip_summary_region!B230</f>
        <v>9</v>
      </c>
      <c r="C230">
        <f>[5]trip_summary_region!C230</f>
        <v>2033</v>
      </c>
      <c r="D230">
        <f>[5]trip_summary_region!D230</f>
        <v>17</v>
      </c>
      <c r="E230">
        <f>[5]trip_summary_region!E230</f>
        <v>46</v>
      </c>
      <c r="F230">
        <f>[5]trip_summary_region!F230</f>
        <v>2.749688871</v>
      </c>
      <c r="G230">
        <f>[5]trip_summary_region!G230</f>
        <v>0</v>
      </c>
      <c r="H230">
        <f>[5]trip_summary_region!H230</f>
        <v>0.7580266175</v>
      </c>
      <c r="I230" t="str">
        <f>[5]trip_summary_region!I230</f>
        <v>Other Household Travel</v>
      </c>
      <c r="J230" t="str">
        <f>[5]trip_summary_region!J230</f>
        <v>2032/33</v>
      </c>
    </row>
    <row r="231" spans="1:10" x14ac:dyDescent="0.2">
      <c r="A231" t="str">
        <f>[5]trip_summary_region!A231</f>
        <v>03 WAIKATO</v>
      </c>
      <c r="B231">
        <f>[5]trip_summary_region!B231</f>
        <v>9</v>
      </c>
      <c r="C231">
        <f>[5]trip_summary_region!C231</f>
        <v>2038</v>
      </c>
      <c r="D231">
        <f>[5]trip_summary_region!D231</f>
        <v>17</v>
      </c>
      <c r="E231">
        <f>[5]trip_summary_region!E231</f>
        <v>46</v>
      </c>
      <c r="F231">
        <f>[5]trip_summary_region!F231</f>
        <v>3.1031150538999999</v>
      </c>
      <c r="G231">
        <f>[5]trip_summary_region!G231</f>
        <v>0</v>
      </c>
      <c r="H231">
        <f>[5]trip_summary_region!H231</f>
        <v>0.80235581349999996</v>
      </c>
      <c r="I231" t="str">
        <f>[5]trip_summary_region!I231</f>
        <v>Other Household Travel</v>
      </c>
      <c r="J231" t="str">
        <f>[5]trip_summary_region!J231</f>
        <v>2037/38</v>
      </c>
    </row>
    <row r="232" spans="1:10" x14ac:dyDescent="0.2">
      <c r="A232" t="str">
        <f>[5]trip_summary_region!A232</f>
        <v>03 WAIKATO</v>
      </c>
      <c r="B232">
        <f>[5]trip_summary_region!B232</f>
        <v>9</v>
      </c>
      <c r="C232">
        <f>[5]trip_summary_region!C232</f>
        <v>2043</v>
      </c>
      <c r="D232">
        <f>[5]trip_summary_region!D232</f>
        <v>17</v>
      </c>
      <c r="E232">
        <f>[5]trip_summary_region!E232</f>
        <v>46</v>
      </c>
      <c r="F232">
        <f>[5]trip_summary_region!F232</f>
        <v>3.4168576693000001</v>
      </c>
      <c r="G232">
        <f>[5]trip_summary_region!G232</f>
        <v>0</v>
      </c>
      <c r="H232">
        <f>[5]trip_summary_region!H232</f>
        <v>0.83803039960000003</v>
      </c>
      <c r="I232" t="str">
        <f>[5]trip_summary_region!I232</f>
        <v>Other Household Travel</v>
      </c>
      <c r="J232" t="str">
        <f>[5]trip_summary_region!J232</f>
        <v>2042/43</v>
      </c>
    </row>
    <row r="233" spans="1:10" x14ac:dyDescent="0.2">
      <c r="A233" t="str">
        <f>[5]trip_summary_region!A233</f>
        <v>03 WAIKATO</v>
      </c>
      <c r="B233">
        <f>[5]trip_summary_region!B233</f>
        <v>10</v>
      </c>
      <c r="C233">
        <f>[5]trip_summary_region!C233</f>
        <v>2013</v>
      </c>
      <c r="D233">
        <f>[5]trip_summary_region!D233</f>
        <v>18</v>
      </c>
      <c r="E233">
        <f>[5]trip_summary_region!E233</f>
        <v>32</v>
      </c>
      <c r="F233">
        <f>[5]trip_summary_region!F233</f>
        <v>0.92406733060000001</v>
      </c>
      <c r="G233">
        <f>[5]trip_summary_region!G233</f>
        <v>54.768337629999998</v>
      </c>
      <c r="H233">
        <f>[5]trip_summary_region!H233</f>
        <v>2.3234459650999999</v>
      </c>
      <c r="I233" t="str">
        <f>[5]trip_summary_region!I233</f>
        <v>Air/Non-Local PT</v>
      </c>
      <c r="J233" t="str">
        <f>[5]trip_summary_region!J233</f>
        <v>2012/13</v>
      </c>
    </row>
    <row r="234" spans="1:10" x14ac:dyDescent="0.2">
      <c r="A234" t="str">
        <f>[5]trip_summary_region!A234</f>
        <v>03 WAIKATO</v>
      </c>
      <c r="B234">
        <f>[5]trip_summary_region!B234</f>
        <v>10</v>
      </c>
      <c r="C234">
        <f>[5]trip_summary_region!C234</f>
        <v>2018</v>
      </c>
      <c r="D234">
        <f>[5]trip_summary_region!D234</f>
        <v>18</v>
      </c>
      <c r="E234">
        <f>[5]trip_summary_region!E234</f>
        <v>32</v>
      </c>
      <c r="F234">
        <f>[5]trip_summary_region!F234</f>
        <v>1.0254001501000001</v>
      </c>
      <c r="G234">
        <f>[5]trip_summary_region!G234</f>
        <v>58.519535152000003</v>
      </c>
      <c r="H234">
        <f>[5]trip_summary_region!H234</f>
        <v>2.5897311071</v>
      </c>
      <c r="I234" t="str">
        <f>[5]trip_summary_region!I234</f>
        <v>Air/Non-Local PT</v>
      </c>
      <c r="J234" t="str">
        <f>[5]trip_summary_region!J234</f>
        <v>2017/18</v>
      </c>
    </row>
    <row r="235" spans="1:10" x14ac:dyDescent="0.2">
      <c r="A235" t="str">
        <f>[5]trip_summary_region!A235</f>
        <v>03 WAIKATO</v>
      </c>
      <c r="B235">
        <f>[5]trip_summary_region!B235</f>
        <v>10</v>
      </c>
      <c r="C235">
        <f>[5]trip_summary_region!C235</f>
        <v>2023</v>
      </c>
      <c r="D235">
        <f>[5]trip_summary_region!D235</f>
        <v>18</v>
      </c>
      <c r="E235">
        <f>[5]trip_summary_region!E235</f>
        <v>32</v>
      </c>
      <c r="F235">
        <f>[5]trip_summary_region!F235</f>
        <v>1.1433761354</v>
      </c>
      <c r="G235">
        <f>[5]trip_summary_region!G235</f>
        <v>61.705591978000001</v>
      </c>
      <c r="H235">
        <f>[5]trip_summary_region!H235</f>
        <v>2.8340951893000002</v>
      </c>
      <c r="I235" t="str">
        <f>[5]trip_summary_region!I235</f>
        <v>Air/Non-Local PT</v>
      </c>
      <c r="J235" t="str">
        <f>[5]trip_summary_region!J235</f>
        <v>2022/23</v>
      </c>
    </row>
    <row r="236" spans="1:10" x14ac:dyDescent="0.2">
      <c r="A236" t="str">
        <f>[5]trip_summary_region!A236</f>
        <v>03 WAIKATO</v>
      </c>
      <c r="B236">
        <f>[5]trip_summary_region!B236</f>
        <v>10</v>
      </c>
      <c r="C236">
        <f>[5]trip_summary_region!C236</f>
        <v>2028</v>
      </c>
      <c r="D236">
        <f>[5]trip_summary_region!D236</f>
        <v>18</v>
      </c>
      <c r="E236">
        <f>[5]trip_summary_region!E236</f>
        <v>32</v>
      </c>
      <c r="F236">
        <f>[5]trip_summary_region!F236</f>
        <v>1.2665054656000001</v>
      </c>
      <c r="G236">
        <f>[5]trip_summary_region!G236</f>
        <v>64.013490872999995</v>
      </c>
      <c r="H236">
        <f>[5]trip_summary_region!H236</f>
        <v>3.2052434563999999</v>
      </c>
      <c r="I236" t="str">
        <f>[5]trip_summary_region!I236</f>
        <v>Air/Non-Local PT</v>
      </c>
      <c r="J236" t="str">
        <f>[5]trip_summary_region!J236</f>
        <v>2027/28</v>
      </c>
    </row>
    <row r="237" spans="1:10" x14ac:dyDescent="0.2">
      <c r="A237" t="str">
        <f>[5]trip_summary_region!A237</f>
        <v>03 WAIKATO</v>
      </c>
      <c r="B237">
        <f>[5]trip_summary_region!B237</f>
        <v>10</v>
      </c>
      <c r="C237">
        <f>[5]trip_summary_region!C237</f>
        <v>2033</v>
      </c>
      <c r="D237">
        <f>[5]trip_summary_region!D237</f>
        <v>18</v>
      </c>
      <c r="E237">
        <f>[5]trip_summary_region!E237</f>
        <v>32</v>
      </c>
      <c r="F237">
        <f>[5]trip_summary_region!F237</f>
        <v>1.3601197774</v>
      </c>
      <c r="G237">
        <f>[5]trip_summary_region!G237</f>
        <v>66.894668373000002</v>
      </c>
      <c r="H237">
        <f>[5]trip_summary_region!H237</f>
        <v>3.4991137982999998</v>
      </c>
      <c r="I237" t="str">
        <f>[5]trip_summary_region!I237</f>
        <v>Air/Non-Local PT</v>
      </c>
      <c r="J237" t="str">
        <f>[5]trip_summary_region!J237</f>
        <v>2032/33</v>
      </c>
    </row>
    <row r="238" spans="1:10" x14ac:dyDescent="0.2">
      <c r="A238" t="str">
        <f>[5]trip_summary_region!A238</f>
        <v>03 WAIKATO</v>
      </c>
      <c r="B238">
        <f>[5]trip_summary_region!B238</f>
        <v>10</v>
      </c>
      <c r="C238">
        <f>[5]trip_summary_region!C238</f>
        <v>2038</v>
      </c>
      <c r="D238">
        <f>[5]trip_summary_region!D238</f>
        <v>18</v>
      </c>
      <c r="E238">
        <f>[5]trip_summary_region!E238</f>
        <v>32</v>
      </c>
      <c r="F238">
        <f>[5]trip_summary_region!F238</f>
        <v>1.4137554697000001</v>
      </c>
      <c r="G238">
        <f>[5]trip_summary_region!G238</f>
        <v>69.490180658</v>
      </c>
      <c r="H238">
        <f>[5]trip_summary_region!H238</f>
        <v>3.5620390656000001</v>
      </c>
      <c r="I238" t="str">
        <f>[5]trip_summary_region!I238</f>
        <v>Air/Non-Local PT</v>
      </c>
      <c r="J238" t="str">
        <f>[5]trip_summary_region!J238</f>
        <v>2037/38</v>
      </c>
    </row>
    <row r="239" spans="1:10" x14ac:dyDescent="0.2">
      <c r="A239" t="str">
        <f>[5]trip_summary_region!A239</f>
        <v>03 WAIKATO</v>
      </c>
      <c r="B239">
        <f>[5]trip_summary_region!B239</f>
        <v>10</v>
      </c>
      <c r="C239">
        <f>[5]trip_summary_region!C239</f>
        <v>2043</v>
      </c>
      <c r="D239">
        <f>[5]trip_summary_region!D239</f>
        <v>18</v>
      </c>
      <c r="E239">
        <f>[5]trip_summary_region!E239</f>
        <v>32</v>
      </c>
      <c r="F239">
        <f>[5]trip_summary_region!F239</f>
        <v>1.4590705063</v>
      </c>
      <c r="G239">
        <f>[5]trip_summary_region!G239</f>
        <v>71.735989257</v>
      </c>
      <c r="H239">
        <f>[5]trip_summary_region!H239</f>
        <v>3.5992456377000002</v>
      </c>
      <c r="I239" t="str">
        <f>[5]trip_summary_region!I239</f>
        <v>Air/Non-Local PT</v>
      </c>
      <c r="J239" t="str">
        <f>[5]trip_summary_region!J239</f>
        <v>2042/43</v>
      </c>
    </row>
    <row r="240" spans="1:10" x14ac:dyDescent="0.2">
      <c r="A240" t="str">
        <f>[5]trip_summary_region!A240</f>
        <v>03 WAIKATO</v>
      </c>
      <c r="B240">
        <f>[5]trip_summary_region!B240</f>
        <v>11</v>
      </c>
      <c r="C240">
        <f>[5]trip_summary_region!C240</f>
        <v>2013</v>
      </c>
      <c r="D240">
        <f>[5]trip_summary_region!D240</f>
        <v>52</v>
      </c>
      <c r="E240">
        <f>[5]trip_summary_region!E240</f>
        <v>244</v>
      </c>
      <c r="F240">
        <f>[5]trip_summary_region!F240</f>
        <v>8.7527428694000005</v>
      </c>
      <c r="G240">
        <f>[5]trip_summary_region!G240</f>
        <v>166.86894676</v>
      </c>
      <c r="H240">
        <f>[5]trip_summary_region!H240</f>
        <v>3.3327759721999999</v>
      </c>
      <c r="I240" t="str">
        <f>[5]trip_summary_region!I240</f>
        <v>Non-Household Travel</v>
      </c>
      <c r="J240" t="str">
        <f>[5]trip_summary_region!J240</f>
        <v>2012/13</v>
      </c>
    </row>
    <row r="241" spans="1:10" x14ac:dyDescent="0.2">
      <c r="A241" t="str">
        <f>[5]trip_summary_region!A241</f>
        <v>03 WAIKATO</v>
      </c>
      <c r="B241">
        <f>[5]trip_summary_region!B241</f>
        <v>11</v>
      </c>
      <c r="C241">
        <f>[5]trip_summary_region!C241</f>
        <v>2018</v>
      </c>
      <c r="D241">
        <f>[5]trip_summary_region!D241</f>
        <v>52</v>
      </c>
      <c r="E241">
        <f>[5]trip_summary_region!E241</f>
        <v>244</v>
      </c>
      <c r="F241">
        <f>[5]trip_summary_region!F241</f>
        <v>9.1104739896000009</v>
      </c>
      <c r="G241">
        <f>[5]trip_summary_region!G241</f>
        <v>171.16717632000001</v>
      </c>
      <c r="H241">
        <f>[5]trip_summary_region!H241</f>
        <v>3.4369504678</v>
      </c>
      <c r="I241" t="str">
        <f>[5]trip_summary_region!I241</f>
        <v>Non-Household Travel</v>
      </c>
      <c r="J241" t="str">
        <f>[5]trip_summary_region!J241</f>
        <v>2017/18</v>
      </c>
    </row>
    <row r="242" spans="1:10" x14ac:dyDescent="0.2">
      <c r="A242" t="str">
        <f>[5]trip_summary_region!A242</f>
        <v>03 WAIKATO</v>
      </c>
      <c r="B242">
        <f>[5]trip_summary_region!B242</f>
        <v>11</v>
      </c>
      <c r="C242">
        <f>[5]trip_summary_region!C242</f>
        <v>2023</v>
      </c>
      <c r="D242">
        <f>[5]trip_summary_region!D242</f>
        <v>52</v>
      </c>
      <c r="E242">
        <f>[5]trip_summary_region!E242</f>
        <v>244</v>
      </c>
      <c r="F242">
        <f>[5]trip_summary_region!F242</f>
        <v>9.2178153900000002</v>
      </c>
      <c r="G242">
        <f>[5]trip_summary_region!G242</f>
        <v>172.85319709999999</v>
      </c>
      <c r="H242">
        <f>[5]trip_summary_region!H242</f>
        <v>3.4740804974000001</v>
      </c>
      <c r="I242" t="str">
        <f>[5]trip_summary_region!I242</f>
        <v>Non-Household Travel</v>
      </c>
      <c r="J242" t="str">
        <f>[5]trip_summary_region!J242</f>
        <v>2022/23</v>
      </c>
    </row>
    <row r="243" spans="1:10" x14ac:dyDescent="0.2">
      <c r="A243" t="str">
        <f>[5]trip_summary_region!A243</f>
        <v>03 WAIKATO</v>
      </c>
      <c r="B243">
        <f>[5]trip_summary_region!B243</f>
        <v>11</v>
      </c>
      <c r="C243">
        <f>[5]trip_summary_region!C243</f>
        <v>2028</v>
      </c>
      <c r="D243">
        <f>[5]trip_summary_region!D243</f>
        <v>52</v>
      </c>
      <c r="E243">
        <f>[5]trip_summary_region!E243</f>
        <v>244</v>
      </c>
      <c r="F243">
        <f>[5]trip_summary_region!F243</f>
        <v>9.0269097165000005</v>
      </c>
      <c r="G243">
        <f>[5]trip_summary_region!G243</f>
        <v>172.82110206999999</v>
      </c>
      <c r="H243">
        <f>[5]trip_summary_region!H243</f>
        <v>3.4581819892999999</v>
      </c>
      <c r="I243" t="str">
        <f>[5]trip_summary_region!I243</f>
        <v>Non-Household Travel</v>
      </c>
      <c r="J243" t="str">
        <f>[5]trip_summary_region!J243</f>
        <v>2027/28</v>
      </c>
    </row>
    <row r="244" spans="1:10" x14ac:dyDescent="0.2">
      <c r="A244" t="str">
        <f>[5]trip_summary_region!A244</f>
        <v>03 WAIKATO</v>
      </c>
      <c r="B244">
        <f>[5]trip_summary_region!B244</f>
        <v>11</v>
      </c>
      <c r="C244">
        <f>[5]trip_summary_region!C244</f>
        <v>2033</v>
      </c>
      <c r="D244">
        <f>[5]trip_summary_region!D244</f>
        <v>52</v>
      </c>
      <c r="E244">
        <f>[5]trip_summary_region!E244</f>
        <v>244</v>
      </c>
      <c r="F244">
        <f>[5]trip_summary_region!F244</f>
        <v>8.8838041950999997</v>
      </c>
      <c r="G244">
        <f>[5]trip_summary_region!G244</f>
        <v>174.53595933</v>
      </c>
      <c r="H244">
        <f>[5]trip_summary_region!H244</f>
        <v>3.4697887304999999</v>
      </c>
      <c r="I244" t="str">
        <f>[5]trip_summary_region!I244</f>
        <v>Non-Household Travel</v>
      </c>
      <c r="J244" t="str">
        <f>[5]trip_summary_region!J244</f>
        <v>2032/33</v>
      </c>
    </row>
    <row r="245" spans="1:10" x14ac:dyDescent="0.2">
      <c r="A245" t="str">
        <f>[5]trip_summary_region!A245</f>
        <v>03 WAIKATO</v>
      </c>
      <c r="B245">
        <f>[5]trip_summary_region!B245</f>
        <v>11</v>
      </c>
      <c r="C245">
        <f>[5]trip_summary_region!C245</f>
        <v>2038</v>
      </c>
      <c r="D245">
        <f>[5]trip_summary_region!D245</f>
        <v>52</v>
      </c>
      <c r="E245">
        <f>[5]trip_summary_region!E245</f>
        <v>244</v>
      </c>
      <c r="F245">
        <f>[5]trip_summary_region!F245</f>
        <v>8.8122081677999997</v>
      </c>
      <c r="G245">
        <f>[5]trip_summary_region!G245</f>
        <v>176.17083041999999</v>
      </c>
      <c r="H245">
        <f>[5]trip_summary_region!H245</f>
        <v>3.4936100738000002</v>
      </c>
      <c r="I245" t="str">
        <f>[5]trip_summary_region!I245</f>
        <v>Non-Household Travel</v>
      </c>
      <c r="J245" t="str">
        <f>[5]trip_summary_region!J245</f>
        <v>2037/38</v>
      </c>
    </row>
    <row r="246" spans="1:10" x14ac:dyDescent="0.2">
      <c r="A246" t="str">
        <f>[5]trip_summary_region!A246</f>
        <v>03 WAIKATO</v>
      </c>
      <c r="B246">
        <f>[5]trip_summary_region!B246</f>
        <v>11</v>
      </c>
      <c r="C246">
        <f>[5]trip_summary_region!C246</f>
        <v>2043</v>
      </c>
      <c r="D246">
        <f>[5]trip_summary_region!D246</f>
        <v>52</v>
      </c>
      <c r="E246">
        <f>[5]trip_summary_region!E246</f>
        <v>244</v>
      </c>
      <c r="F246">
        <f>[5]trip_summary_region!F246</f>
        <v>8.7230307867000008</v>
      </c>
      <c r="G246">
        <f>[5]trip_summary_region!G246</f>
        <v>177.15643273000001</v>
      </c>
      <c r="H246">
        <f>[5]trip_summary_region!H246</f>
        <v>3.5056236911999998</v>
      </c>
      <c r="I246" t="str">
        <f>[5]trip_summary_region!I246</f>
        <v>Non-Household Travel</v>
      </c>
      <c r="J246" t="str">
        <f>[5]trip_summary_region!J246</f>
        <v>2042/43</v>
      </c>
    </row>
    <row r="247" spans="1:10" x14ac:dyDescent="0.2">
      <c r="A247" t="str">
        <f>[5]trip_summary_region!A247</f>
        <v>04 BAY OF PLENTY</v>
      </c>
      <c r="B247">
        <f>[5]trip_summary_region!B247</f>
        <v>0</v>
      </c>
      <c r="C247">
        <f>[5]trip_summary_region!C247</f>
        <v>2013</v>
      </c>
      <c r="D247">
        <f>[5]trip_summary_region!D247</f>
        <v>436</v>
      </c>
      <c r="E247">
        <f>[5]trip_summary_region!E247</f>
        <v>1419</v>
      </c>
      <c r="F247">
        <f>[5]trip_summary_region!F247</f>
        <v>43.402809341999998</v>
      </c>
      <c r="G247">
        <f>[5]trip_summary_region!G247</f>
        <v>35.579183637</v>
      </c>
      <c r="H247">
        <f>[5]trip_summary_region!H247</f>
        <v>9.1706746114000008</v>
      </c>
      <c r="I247" t="str">
        <f>[5]trip_summary_region!I247</f>
        <v>Pedestrian</v>
      </c>
      <c r="J247" t="str">
        <f>[5]trip_summary_region!J247</f>
        <v>2012/13</v>
      </c>
    </row>
    <row r="248" spans="1:10" x14ac:dyDescent="0.2">
      <c r="A248" t="str">
        <f>[5]trip_summary_region!A248</f>
        <v>04 BAY OF PLENTY</v>
      </c>
      <c r="B248">
        <f>[5]trip_summary_region!B248</f>
        <v>0</v>
      </c>
      <c r="C248">
        <f>[5]trip_summary_region!C248</f>
        <v>2018</v>
      </c>
      <c r="D248">
        <f>[5]trip_summary_region!D248</f>
        <v>436</v>
      </c>
      <c r="E248">
        <f>[5]trip_summary_region!E248</f>
        <v>1419</v>
      </c>
      <c r="F248">
        <f>[5]trip_summary_region!F248</f>
        <v>43.749727192999998</v>
      </c>
      <c r="G248">
        <f>[5]trip_summary_region!G248</f>
        <v>35.091949002</v>
      </c>
      <c r="H248">
        <f>[5]trip_summary_region!H248</f>
        <v>9.2009536856</v>
      </c>
      <c r="I248" t="str">
        <f>[5]trip_summary_region!I248</f>
        <v>Pedestrian</v>
      </c>
      <c r="J248" t="str">
        <f>[5]trip_summary_region!J248</f>
        <v>2017/18</v>
      </c>
    </row>
    <row r="249" spans="1:10" x14ac:dyDescent="0.2">
      <c r="A249" t="str">
        <f>[5]trip_summary_region!A249</f>
        <v>04 BAY OF PLENTY</v>
      </c>
      <c r="B249">
        <f>[5]trip_summary_region!B249</f>
        <v>0</v>
      </c>
      <c r="C249">
        <f>[5]trip_summary_region!C249</f>
        <v>2023</v>
      </c>
      <c r="D249">
        <f>[5]trip_summary_region!D249</f>
        <v>436</v>
      </c>
      <c r="E249">
        <f>[5]trip_summary_region!E249</f>
        <v>1419</v>
      </c>
      <c r="F249">
        <f>[5]trip_summary_region!F249</f>
        <v>44.805260165</v>
      </c>
      <c r="G249">
        <f>[5]trip_summary_region!G249</f>
        <v>35.379661630000001</v>
      </c>
      <c r="H249">
        <f>[5]trip_summary_region!H249</f>
        <v>9.3928684310000001</v>
      </c>
      <c r="I249" t="str">
        <f>[5]trip_summary_region!I249</f>
        <v>Pedestrian</v>
      </c>
      <c r="J249" t="str">
        <f>[5]trip_summary_region!J249</f>
        <v>2022/23</v>
      </c>
    </row>
    <row r="250" spans="1:10" x14ac:dyDescent="0.2">
      <c r="A250" t="str">
        <f>[5]trip_summary_region!A250</f>
        <v>04 BAY OF PLENTY</v>
      </c>
      <c r="B250">
        <f>[5]trip_summary_region!B250</f>
        <v>0</v>
      </c>
      <c r="C250">
        <f>[5]trip_summary_region!C250</f>
        <v>2028</v>
      </c>
      <c r="D250">
        <f>[5]trip_summary_region!D250</f>
        <v>436</v>
      </c>
      <c r="E250">
        <f>[5]trip_summary_region!E250</f>
        <v>1419</v>
      </c>
      <c r="F250">
        <f>[5]trip_summary_region!F250</f>
        <v>45.999180668999998</v>
      </c>
      <c r="G250">
        <f>[5]trip_summary_region!G250</f>
        <v>35.767243018999999</v>
      </c>
      <c r="H250">
        <f>[5]trip_summary_region!H250</f>
        <v>9.5756783884000001</v>
      </c>
      <c r="I250" t="str">
        <f>[5]trip_summary_region!I250</f>
        <v>Pedestrian</v>
      </c>
      <c r="J250" t="str">
        <f>[5]trip_summary_region!J250</f>
        <v>2027/28</v>
      </c>
    </row>
    <row r="251" spans="1:10" x14ac:dyDescent="0.2">
      <c r="A251" t="str">
        <f>[5]trip_summary_region!A251</f>
        <v>04 BAY OF PLENTY</v>
      </c>
      <c r="B251">
        <f>[5]trip_summary_region!B251</f>
        <v>0</v>
      </c>
      <c r="C251">
        <f>[5]trip_summary_region!C251</f>
        <v>2033</v>
      </c>
      <c r="D251">
        <f>[5]trip_summary_region!D251</f>
        <v>436</v>
      </c>
      <c r="E251">
        <f>[5]trip_summary_region!E251</f>
        <v>1419</v>
      </c>
      <c r="F251">
        <f>[5]trip_summary_region!F251</f>
        <v>46.737283198999997</v>
      </c>
      <c r="G251">
        <f>[5]trip_summary_region!G251</f>
        <v>35.656544596000003</v>
      </c>
      <c r="H251">
        <f>[5]trip_summary_region!H251</f>
        <v>9.6191193388999991</v>
      </c>
      <c r="I251" t="str">
        <f>[5]trip_summary_region!I251</f>
        <v>Pedestrian</v>
      </c>
      <c r="J251" t="str">
        <f>[5]trip_summary_region!J251</f>
        <v>2032/33</v>
      </c>
    </row>
    <row r="252" spans="1:10" x14ac:dyDescent="0.2">
      <c r="A252" t="str">
        <f>[5]trip_summary_region!A252</f>
        <v>04 BAY OF PLENTY</v>
      </c>
      <c r="B252">
        <f>[5]trip_summary_region!B252</f>
        <v>0</v>
      </c>
      <c r="C252">
        <f>[5]trip_summary_region!C252</f>
        <v>2038</v>
      </c>
      <c r="D252">
        <f>[5]trip_summary_region!D252</f>
        <v>436</v>
      </c>
      <c r="E252">
        <f>[5]trip_summary_region!E252</f>
        <v>1419</v>
      </c>
      <c r="F252">
        <f>[5]trip_summary_region!F252</f>
        <v>47.332336519000002</v>
      </c>
      <c r="G252">
        <f>[5]trip_summary_region!G252</f>
        <v>35.650290413999997</v>
      </c>
      <c r="H252">
        <f>[5]trip_summary_region!H252</f>
        <v>9.6466590879999998</v>
      </c>
      <c r="I252" t="str">
        <f>[5]trip_summary_region!I252</f>
        <v>Pedestrian</v>
      </c>
      <c r="J252" t="str">
        <f>[5]trip_summary_region!J252</f>
        <v>2037/38</v>
      </c>
    </row>
    <row r="253" spans="1:10" x14ac:dyDescent="0.2">
      <c r="A253" t="str">
        <f>[5]trip_summary_region!A253</f>
        <v>04 BAY OF PLENTY</v>
      </c>
      <c r="B253">
        <f>[5]trip_summary_region!B253</f>
        <v>0</v>
      </c>
      <c r="C253">
        <f>[5]trip_summary_region!C253</f>
        <v>2043</v>
      </c>
      <c r="D253">
        <f>[5]trip_summary_region!D253</f>
        <v>436</v>
      </c>
      <c r="E253">
        <f>[5]trip_summary_region!E253</f>
        <v>1419</v>
      </c>
      <c r="F253">
        <f>[5]trip_summary_region!F253</f>
        <v>47.693538171999997</v>
      </c>
      <c r="G253">
        <f>[5]trip_summary_region!G253</f>
        <v>35.494976754</v>
      </c>
      <c r="H253">
        <f>[5]trip_summary_region!H253</f>
        <v>9.6315181449999994</v>
      </c>
      <c r="I253" t="str">
        <f>[5]trip_summary_region!I253</f>
        <v>Pedestrian</v>
      </c>
      <c r="J253" t="str">
        <f>[5]trip_summary_region!J253</f>
        <v>2042/43</v>
      </c>
    </row>
    <row r="254" spans="1:10" x14ac:dyDescent="0.2">
      <c r="A254" t="str">
        <f>[5]trip_summary_region!A254</f>
        <v>04 BAY OF PLENTY</v>
      </c>
      <c r="B254">
        <f>[5]trip_summary_region!B254</f>
        <v>1</v>
      </c>
      <c r="C254">
        <f>[5]trip_summary_region!C254</f>
        <v>2013</v>
      </c>
      <c r="D254">
        <f>[5]trip_summary_region!D254</f>
        <v>53</v>
      </c>
      <c r="E254">
        <f>[5]trip_summary_region!E254</f>
        <v>183</v>
      </c>
      <c r="F254">
        <f>[5]trip_summary_region!F254</f>
        <v>5.1579391552000002</v>
      </c>
      <c r="G254">
        <f>[5]trip_summary_region!G254</f>
        <v>8.5028812633000008</v>
      </c>
      <c r="H254">
        <f>[5]trip_summary_region!H254</f>
        <v>0.91801276549999999</v>
      </c>
      <c r="I254" t="str">
        <f>[5]trip_summary_region!I254</f>
        <v>Cyclist</v>
      </c>
      <c r="J254" t="str">
        <f>[5]trip_summary_region!J254</f>
        <v>2012/13</v>
      </c>
    </row>
    <row r="255" spans="1:10" x14ac:dyDescent="0.2">
      <c r="A255" t="str">
        <f>[5]trip_summary_region!A255</f>
        <v>04 BAY OF PLENTY</v>
      </c>
      <c r="B255">
        <f>[5]trip_summary_region!B255</f>
        <v>1</v>
      </c>
      <c r="C255">
        <f>[5]trip_summary_region!C255</f>
        <v>2018</v>
      </c>
      <c r="D255">
        <f>[5]trip_summary_region!D255</f>
        <v>53</v>
      </c>
      <c r="E255">
        <f>[5]trip_summary_region!E255</f>
        <v>183</v>
      </c>
      <c r="F255">
        <f>[5]trip_summary_region!F255</f>
        <v>4.9874518855999996</v>
      </c>
      <c r="G255">
        <f>[5]trip_summary_region!G255</f>
        <v>8.2383239123000003</v>
      </c>
      <c r="H255">
        <f>[5]trip_summary_region!H255</f>
        <v>0.88038195860000001</v>
      </c>
      <c r="I255" t="str">
        <f>[5]trip_summary_region!I255</f>
        <v>Cyclist</v>
      </c>
      <c r="J255" t="str">
        <f>[5]trip_summary_region!J255</f>
        <v>2017/18</v>
      </c>
    </row>
    <row r="256" spans="1:10" x14ac:dyDescent="0.2">
      <c r="A256" t="str">
        <f>[5]trip_summary_region!A256</f>
        <v>04 BAY OF PLENTY</v>
      </c>
      <c r="B256">
        <f>[5]trip_summary_region!B256</f>
        <v>1</v>
      </c>
      <c r="C256">
        <f>[5]trip_summary_region!C256</f>
        <v>2023</v>
      </c>
      <c r="D256">
        <f>[5]trip_summary_region!D256</f>
        <v>53</v>
      </c>
      <c r="E256">
        <f>[5]trip_summary_region!E256</f>
        <v>183</v>
      </c>
      <c r="F256">
        <f>[5]trip_summary_region!F256</f>
        <v>4.9397313671000003</v>
      </c>
      <c r="G256">
        <f>[5]trip_summary_region!G256</f>
        <v>8.1703735748999993</v>
      </c>
      <c r="H256">
        <f>[5]trip_summary_region!H256</f>
        <v>0.86697339029999998</v>
      </c>
      <c r="I256" t="str">
        <f>[5]trip_summary_region!I256</f>
        <v>Cyclist</v>
      </c>
      <c r="J256" t="str">
        <f>[5]trip_summary_region!J256</f>
        <v>2022/23</v>
      </c>
    </row>
    <row r="257" spans="1:10" x14ac:dyDescent="0.2">
      <c r="A257" t="str">
        <f>[5]trip_summary_region!A257</f>
        <v>04 BAY OF PLENTY</v>
      </c>
      <c r="B257">
        <f>[5]trip_summary_region!B257</f>
        <v>1</v>
      </c>
      <c r="C257">
        <f>[5]trip_summary_region!C257</f>
        <v>2028</v>
      </c>
      <c r="D257">
        <f>[5]trip_summary_region!D257</f>
        <v>53</v>
      </c>
      <c r="E257">
        <f>[5]trip_summary_region!E257</f>
        <v>183</v>
      </c>
      <c r="F257">
        <f>[5]trip_summary_region!F257</f>
        <v>4.9346495213999999</v>
      </c>
      <c r="G257">
        <f>[5]trip_summary_region!G257</f>
        <v>8.1780492083999992</v>
      </c>
      <c r="H257">
        <f>[5]trip_summary_region!H257</f>
        <v>0.86228359909999996</v>
      </c>
      <c r="I257" t="str">
        <f>[5]trip_summary_region!I257</f>
        <v>Cyclist</v>
      </c>
      <c r="J257" t="str">
        <f>[5]trip_summary_region!J257</f>
        <v>2027/28</v>
      </c>
    </row>
    <row r="258" spans="1:10" x14ac:dyDescent="0.2">
      <c r="A258" t="str">
        <f>[5]trip_summary_region!A258</f>
        <v>04 BAY OF PLENTY</v>
      </c>
      <c r="B258">
        <f>[5]trip_summary_region!B258</f>
        <v>1</v>
      </c>
      <c r="C258">
        <f>[5]trip_summary_region!C258</f>
        <v>2033</v>
      </c>
      <c r="D258">
        <f>[5]trip_summary_region!D258</f>
        <v>53</v>
      </c>
      <c r="E258">
        <f>[5]trip_summary_region!E258</f>
        <v>183</v>
      </c>
      <c r="F258">
        <f>[5]trip_summary_region!F258</f>
        <v>4.8710989542999998</v>
      </c>
      <c r="G258">
        <f>[5]trip_summary_region!G258</f>
        <v>8.0248130994999993</v>
      </c>
      <c r="H258">
        <f>[5]trip_summary_region!H258</f>
        <v>0.84520053390000005</v>
      </c>
      <c r="I258" t="str">
        <f>[5]trip_summary_region!I258</f>
        <v>Cyclist</v>
      </c>
      <c r="J258" t="str">
        <f>[5]trip_summary_region!J258</f>
        <v>2032/33</v>
      </c>
    </row>
    <row r="259" spans="1:10" x14ac:dyDescent="0.2">
      <c r="A259" t="str">
        <f>[5]trip_summary_region!A259</f>
        <v>04 BAY OF PLENTY</v>
      </c>
      <c r="B259">
        <f>[5]trip_summary_region!B259</f>
        <v>1</v>
      </c>
      <c r="C259">
        <f>[5]trip_summary_region!C259</f>
        <v>2038</v>
      </c>
      <c r="D259">
        <f>[5]trip_summary_region!D259</f>
        <v>53</v>
      </c>
      <c r="E259">
        <f>[5]trip_summary_region!E259</f>
        <v>183</v>
      </c>
      <c r="F259">
        <f>[5]trip_summary_region!F259</f>
        <v>4.7833141906999996</v>
      </c>
      <c r="G259">
        <f>[5]trip_summary_region!G259</f>
        <v>7.9550943397999996</v>
      </c>
      <c r="H259">
        <f>[5]trip_summary_region!H259</f>
        <v>0.8272075015</v>
      </c>
      <c r="I259" t="str">
        <f>[5]trip_summary_region!I259</f>
        <v>Cyclist</v>
      </c>
      <c r="J259" t="str">
        <f>[5]trip_summary_region!J259</f>
        <v>2037/38</v>
      </c>
    </row>
    <row r="260" spans="1:10" x14ac:dyDescent="0.2">
      <c r="A260" t="str">
        <f>[5]trip_summary_region!A260</f>
        <v>04 BAY OF PLENTY</v>
      </c>
      <c r="B260">
        <f>[5]trip_summary_region!B260</f>
        <v>1</v>
      </c>
      <c r="C260">
        <f>[5]trip_summary_region!C260</f>
        <v>2043</v>
      </c>
      <c r="D260">
        <f>[5]trip_summary_region!D260</f>
        <v>53</v>
      </c>
      <c r="E260">
        <f>[5]trip_summary_region!E260</f>
        <v>183</v>
      </c>
      <c r="F260">
        <f>[5]trip_summary_region!F260</f>
        <v>4.6777534090000001</v>
      </c>
      <c r="G260">
        <f>[5]trip_summary_region!G260</f>
        <v>7.8627291831999999</v>
      </c>
      <c r="H260">
        <f>[5]trip_summary_region!H260</f>
        <v>0.80627403860000002</v>
      </c>
      <c r="I260" t="str">
        <f>[5]trip_summary_region!I260</f>
        <v>Cyclist</v>
      </c>
      <c r="J260" t="str">
        <f>[5]trip_summary_region!J260</f>
        <v>2042/43</v>
      </c>
    </row>
    <row r="261" spans="1:10" x14ac:dyDescent="0.2">
      <c r="A261" t="str">
        <f>[5]trip_summary_region!A261</f>
        <v>04 BAY OF PLENTY</v>
      </c>
      <c r="B261">
        <f>[5]trip_summary_region!B261</f>
        <v>2</v>
      </c>
      <c r="C261">
        <f>[5]trip_summary_region!C261</f>
        <v>2013</v>
      </c>
      <c r="D261">
        <f>[5]trip_summary_region!D261</f>
        <v>777</v>
      </c>
      <c r="E261">
        <f>[5]trip_summary_region!E261</f>
        <v>5260</v>
      </c>
      <c r="F261">
        <f>[5]trip_summary_region!F261</f>
        <v>178.59124365</v>
      </c>
      <c r="G261">
        <f>[5]trip_summary_region!G261</f>
        <v>1972.0747595</v>
      </c>
      <c r="H261">
        <f>[5]trip_summary_region!H261</f>
        <v>45.59682093</v>
      </c>
      <c r="I261" t="str">
        <f>[5]trip_summary_region!I261</f>
        <v>Light Vehicle Driver</v>
      </c>
      <c r="J261" t="str">
        <f>[5]trip_summary_region!J261</f>
        <v>2012/13</v>
      </c>
    </row>
    <row r="262" spans="1:10" x14ac:dyDescent="0.2">
      <c r="A262" t="str">
        <f>[5]trip_summary_region!A262</f>
        <v>04 BAY OF PLENTY</v>
      </c>
      <c r="B262">
        <f>[5]trip_summary_region!B262</f>
        <v>2</v>
      </c>
      <c r="C262">
        <f>[5]trip_summary_region!C262</f>
        <v>2018</v>
      </c>
      <c r="D262">
        <f>[5]trip_summary_region!D262</f>
        <v>777</v>
      </c>
      <c r="E262">
        <f>[5]trip_summary_region!E262</f>
        <v>5260</v>
      </c>
      <c r="F262">
        <f>[5]trip_summary_region!F262</f>
        <v>184.10868529999999</v>
      </c>
      <c r="G262">
        <f>[5]trip_summary_region!G262</f>
        <v>2064.0753077999998</v>
      </c>
      <c r="H262">
        <f>[5]trip_summary_region!H262</f>
        <v>47.426398153999997</v>
      </c>
      <c r="I262" t="str">
        <f>[5]trip_summary_region!I262</f>
        <v>Light Vehicle Driver</v>
      </c>
      <c r="J262" t="str">
        <f>[5]trip_summary_region!J262</f>
        <v>2017/18</v>
      </c>
    </row>
    <row r="263" spans="1:10" x14ac:dyDescent="0.2">
      <c r="A263" t="str">
        <f>[5]trip_summary_region!A263</f>
        <v>04 BAY OF PLENTY</v>
      </c>
      <c r="B263">
        <f>[5]trip_summary_region!B263</f>
        <v>2</v>
      </c>
      <c r="C263">
        <f>[5]trip_summary_region!C263</f>
        <v>2023</v>
      </c>
      <c r="D263">
        <f>[5]trip_summary_region!D263</f>
        <v>777</v>
      </c>
      <c r="E263">
        <f>[5]trip_summary_region!E263</f>
        <v>5260</v>
      </c>
      <c r="F263">
        <f>[5]trip_summary_region!F263</f>
        <v>192.94495903000001</v>
      </c>
      <c r="G263">
        <f>[5]trip_summary_region!G263</f>
        <v>2188.1354393000001</v>
      </c>
      <c r="H263">
        <f>[5]trip_summary_region!H263</f>
        <v>50.054401415999997</v>
      </c>
      <c r="I263" t="str">
        <f>[5]trip_summary_region!I263</f>
        <v>Light Vehicle Driver</v>
      </c>
      <c r="J263" t="str">
        <f>[5]trip_summary_region!J263</f>
        <v>2022/23</v>
      </c>
    </row>
    <row r="264" spans="1:10" x14ac:dyDescent="0.2">
      <c r="A264" t="str">
        <f>[5]trip_summary_region!A264</f>
        <v>04 BAY OF PLENTY</v>
      </c>
      <c r="B264">
        <f>[5]trip_summary_region!B264</f>
        <v>2</v>
      </c>
      <c r="C264">
        <f>[5]trip_summary_region!C264</f>
        <v>2028</v>
      </c>
      <c r="D264">
        <f>[5]trip_summary_region!D264</f>
        <v>777</v>
      </c>
      <c r="E264">
        <f>[5]trip_summary_region!E264</f>
        <v>5260</v>
      </c>
      <c r="F264">
        <f>[5]trip_summary_region!F264</f>
        <v>201.15535392999999</v>
      </c>
      <c r="G264">
        <f>[5]trip_summary_region!G264</f>
        <v>2299.6263038000002</v>
      </c>
      <c r="H264">
        <f>[5]trip_summary_region!H264</f>
        <v>52.470797177999998</v>
      </c>
      <c r="I264" t="str">
        <f>[5]trip_summary_region!I264</f>
        <v>Light Vehicle Driver</v>
      </c>
      <c r="J264" t="str">
        <f>[5]trip_summary_region!J264</f>
        <v>2027/28</v>
      </c>
    </row>
    <row r="265" spans="1:10" x14ac:dyDescent="0.2">
      <c r="A265" t="str">
        <f>[5]trip_summary_region!A265</f>
        <v>04 BAY OF PLENTY</v>
      </c>
      <c r="B265">
        <f>[5]trip_summary_region!B265</f>
        <v>2</v>
      </c>
      <c r="C265">
        <f>[5]trip_summary_region!C265</f>
        <v>2033</v>
      </c>
      <c r="D265">
        <f>[5]trip_summary_region!D265</f>
        <v>777</v>
      </c>
      <c r="E265">
        <f>[5]trip_summary_region!E265</f>
        <v>5260</v>
      </c>
      <c r="F265">
        <f>[5]trip_summary_region!F265</f>
        <v>206.57793831999999</v>
      </c>
      <c r="G265">
        <f>[5]trip_summary_region!G265</f>
        <v>2371.1070076999999</v>
      </c>
      <c r="H265">
        <f>[5]trip_summary_region!H265</f>
        <v>54.062242671</v>
      </c>
      <c r="I265" t="str">
        <f>[5]trip_summary_region!I265</f>
        <v>Light Vehicle Driver</v>
      </c>
      <c r="J265" t="str">
        <f>[5]trip_summary_region!J265</f>
        <v>2032/33</v>
      </c>
    </row>
    <row r="266" spans="1:10" x14ac:dyDescent="0.2">
      <c r="A266" t="str">
        <f>[5]trip_summary_region!A266</f>
        <v>04 BAY OF PLENTY</v>
      </c>
      <c r="B266">
        <f>[5]trip_summary_region!B266</f>
        <v>2</v>
      </c>
      <c r="C266">
        <f>[5]trip_summary_region!C266</f>
        <v>2038</v>
      </c>
      <c r="D266">
        <f>[5]trip_summary_region!D266</f>
        <v>777</v>
      </c>
      <c r="E266">
        <f>[5]trip_summary_region!E266</f>
        <v>5260</v>
      </c>
      <c r="F266">
        <f>[5]trip_summary_region!F266</f>
        <v>208.58600691000001</v>
      </c>
      <c r="G266">
        <f>[5]trip_summary_region!G266</f>
        <v>2396.9395162000001</v>
      </c>
      <c r="H266">
        <f>[5]trip_summary_region!H266</f>
        <v>54.713716159000001</v>
      </c>
      <c r="I266" t="str">
        <f>[5]trip_summary_region!I266</f>
        <v>Light Vehicle Driver</v>
      </c>
      <c r="J266" t="str">
        <f>[5]trip_summary_region!J266</f>
        <v>2037/38</v>
      </c>
    </row>
    <row r="267" spans="1:10" x14ac:dyDescent="0.2">
      <c r="A267" t="str">
        <f>[5]trip_summary_region!A267</f>
        <v>04 BAY OF PLENTY</v>
      </c>
      <c r="B267">
        <f>[5]trip_summary_region!B267</f>
        <v>2</v>
      </c>
      <c r="C267">
        <f>[5]trip_summary_region!C267</f>
        <v>2043</v>
      </c>
      <c r="D267">
        <f>[5]trip_summary_region!D267</f>
        <v>777</v>
      </c>
      <c r="E267">
        <f>[5]trip_summary_region!E267</f>
        <v>5260</v>
      </c>
      <c r="F267">
        <f>[5]trip_summary_region!F267</f>
        <v>209.80091168000001</v>
      </c>
      <c r="G267">
        <f>[5]trip_summary_region!G267</f>
        <v>2413.4689564</v>
      </c>
      <c r="H267">
        <f>[5]trip_summary_region!H267</f>
        <v>55.173960491999999</v>
      </c>
      <c r="I267" t="str">
        <f>[5]trip_summary_region!I267</f>
        <v>Light Vehicle Driver</v>
      </c>
      <c r="J267" t="str">
        <f>[5]trip_summary_region!J267</f>
        <v>2042/43</v>
      </c>
    </row>
    <row r="268" spans="1:10" x14ac:dyDescent="0.2">
      <c r="A268" t="str">
        <f>[5]trip_summary_region!A268</f>
        <v>04 BAY OF PLENTY</v>
      </c>
      <c r="B268">
        <f>[5]trip_summary_region!B268</f>
        <v>3</v>
      </c>
      <c r="C268">
        <f>[5]trip_summary_region!C268</f>
        <v>2013</v>
      </c>
      <c r="D268">
        <f>[5]trip_summary_region!D268</f>
        <v>591</v>
      </c>
      <c r="E268">
        <f>[5]trip_summary_region!E268</f>
        <v>2668</v>
      </c>
      <c r="F268">
        <f>[5]trip_summary_region!F268</f>
        <v>98.719582360000004</v>
      </c>
      <c r="G268">
        <f>[5]trip_summary_region!G268</f>
        <v>1385.2330090999999</v>
      </c>
      <c r="H268">
        <f>[5]trip_summary_region!H268</f>
        <v>28.895615969000001</v>
      </c>
      <c r="I268" t="str">
        <f>[5]trip_summary_region!I268</f>
        <v>Light Vehicle Passenger</v>
      </c>
      <c r="J268" t="str">
        <f>[5]trip_summary_region!J268</f>
        <v>2012/13</v>
      </c>
    </row>
    <row r="269" spans="1:10" x14ac:dyDescent="0.2">
      <c r="A269" t="str">
        <f>[5]trip_summary_region!A269</f>
        <v>04 BAY OF PLENTY</v>
      </c>
      <c r="B269">
        <f>[5]trip_summary_region!B269</f>
        <v>3</v>
      </c>
      <c r="C269">
        <f>[5]trip_summary_region!C269</f>
        <v>2018</v>
      </c>
      <c r="D269">
        <f>[5]trip_summary_region!D269</f>
        <v>591</v>
      </c>
      <c r="E269">
        <f>[5]trip_summary_region!E269</f>
        <v>2668</v>
      </c>
      <c r="F269">
        <f>[5]trip_summary_region!F269</f>
        <v>97.673571191999997</v>
      </c>
      <c r="G269">
        <f>[5]trip_summary_region!G269</f>
        <v>1447.2760802</v>
      </c>
      <c r="H269">
        <f>[5]trip_summary_region!H269</f>
        <v>29.645045385</v>
      </c>
      <c r="I269" t="str">
        <f>[5]trip_summary_region!I269</f>
        <v>Light Vehicle Passenger</v>
      </c>
      <c r="J269" t="str">
        <f>[5]trip_summary_region!J269</f>
        <v>2017/18</v>
      </c>
    </row>
    <row r="270" spans="1:10" x14ac:dyDescent="0.2">
      <c r="A270" t="str">
        <f>[5]trip_summary_region!A270</f>
        <v>04 BAY OF PLENTY</v>
      </c>
      <c r="B270">
        <f>[5]trip_summary_region!B270</f>
        <v>3</v>
      </c>
      <c r="C270">
        <f>[5]trip_summary_region!C270</f>
        <v>2023</v>
      </c>
      <c r="D270">
        <f>[5]trip_summary_region!D270</f>
        <v>591</v>
      </c>
      <c r="E270">
        <f>[5]trip_summary_region!E270</f>
        <v>2668</v>
      </c>
      <c r="F270">
        <f>[5]trip_summary_region!F270</f>
        <v>98.044013820999993</v>
      </c>
      <c r="G270">
        <f>[5]trip_summary_region!G270</f>
        <v>1513.6325391</v>
      </c>
      <c r="H270">
        <f>[5]trip_summary_region!H270</f>
        <v>30.654265426999999</v>
      </c>
      <c r="I270" t="str">
        <f>[5]trip_summary_region!I270</f>
        <v>Light Vehicle Passenger</v>
      </c>
      <c r="J270" t="str">
        <f>[5]trip_summary_region!J270</f>
        <v>2022/23</v>
      </c>
    </row>
    <row r="271" spans="1:10" x14ac:dyDescent="0.2">
      <c r="A271" t="str">
        <f>[5]trip_summary_region!A271</f>
        <v>04 BAY OF PLENTY</v>
      </c>
      <c r="B271">
        <f>[5]trip_summary_region!B271</f>
        <v>3</v>
      </c>
      <c r="C271">
        <f>[5]trip_summary_region!C271</f>
        <v>2028</v>
      </c>
      <c r="D271">
        <f>[5]trip_summary_region!D271</f>
        <v>591</v>
      </c>
      <c r="E271">
        <f>[5]trip_summary_region!E271</f>
        <v>2668</v>
      </c>
      <c r="F271">
        <f>[5]trip_summary_region!F271</f>
        <v>98.776055561000007</v>
      </c>
      <c r="G271">
        <f>[5]trip_summary_region!G271</f>
        <v>1565.0249733999999</v>
      </c>
      <c r="H271">
        <f>[5]trip_summary_region!H271</f>
        <v>31.490285898</v>
      </c>
      <c r="I271" t="str">
        <f>[5]trip_summary_region!I271</f>
        <v>Light Vehicle Passenger</v>
      </c>
      <c r="J271" t="str">
        <f>[5]trip_summary_region!J271</f>
        <v>2027/28</v>
      </c>
    </row>
    <row r="272" spans="1:10" x14ac:dyDescent="0.2">
      <c r="A272" t="str">
        <f>[5]trip_summary_region!A272</f>
        <v>04 BAY OF PLENTY</v>
      </c>
      <c r="B272">
        <f>[5]trip_summary_region!B272</f>
        <v>3</v>
      </c>
      <c r="C272">
        <f>[5]trip_summary_region!C272</f>
        <v>2033</v>
      </c>
      <c r="D272">
        <f>[5]trip_summary_region!D272</f>
        <v>591</v>
      </c>
      <c r="E272">
        <f>[5]trip_summary_region!E272</f>
        <v>2668</v>
      </c>
      <c r="F272">
        <f>[5]trip_summary_region!F272</f>
        <v>98.957881990999994</v>
      </c>
      <c r="G272">
        <f>[5]trip_summary_region!G272</f>
        <v>1590.0374552000001</v>
      </c>
      <c r="H272">
        <f>[5]trip_summary_region!H272</f>
        <v>31.879604715999999</v>
      </c>
      <c r="I272" t="str">
        <f>[5]trip_summary_region!I272</f>
        <v>Light Vehicle Passenger</v>
      </c>
      <c r="J272" t="str">
        <f>[5]trip_summary_region!J272</f>
        <v>2032/33</v>
      </c>
    </row>
    <row r="273" spans="1:10" x14ac:dyDescent="0.2">
      <c r="A273" t="str">
        <f>[5]trip_summary_region!A273</f>
        <v>04 BAY OF PLENTY</v>
      </c>
      <c r="B273">
        <f>[5]trip_summary_region!B273</f>
        <v>3</v>
      </c>
      <c r="C273">
        <f>[5]trip_summary_region!C273</f>
        <v>2038</v>
      </c>
      <c r="D273">
        <f>[5]trip_summary_region!D273</f>
        <v>591</v>
      </c>
      <c r="E273">
        <f>[5]trip_summary_region!E273</f>
        <v>2668</v>
      </c>
      <c r="F273">
        <f>[5]trip_summary_region!F273</f>
        <v>98.689899077999996</v>
      </c>
      <c r="G273">
        <f>[5]trip_summary_region!G273</f>
        <v>1604.7756535000001</v>
      </c>
      <c r="H273">
        <f>[5]trip_summary_region!H273</f>
        <v>32.087578717</v>
      </c>
      <c r="I273" t="str">
        <f>[5]trip_summary_region!I273</f>
        <v>Light Vehicle Passenger</v>
      </c>
      <c r="J273" t="str">
        <f>[5]trip_summary_region!J273</f>
        <v>2037/38</v>
      </c>
    </row>
    <row r="274" spans="1:10" x14ac:dyDescent="0.2">
      <c r="A274" t="str">
        <f>[5]trip_summary_region!A274</f>
        <v>04 BAY OF PLENTY</v>
      </c>
      <c r="B274">
        <f>[5]trip_summary_region!B274</f>
        <v>3</v>
      </c>
      <c r="C274">
        <f>[5]trip_summary_region!C274</f>
        <v>2043</v>
      </c>
      <c r="D274">
        <f>[5]trip_summary_region!D274</f>
        <v>591</v>
      </c>
      <c r="E274">
        <f>[5]trip_summary_region!E274</f>
        <v>2668</v>
      </c>
      <c r="F274">
        <f>[5]trip_summary_region!F274</f>
        <v>98.005694833000007</v>
      </c>
      <c r="G274">
        <f>[5]trip_summary_region!G274</f>
        <v>1613.8698139999999</v>
      </c>
      <c r="H274">
        <f>[5]trip_summary_region!H274</f>
        <v>32.181512959000003</v>
      </c>
      <c r="I274" t="str">
        <f>[5]trip_summary_region!I274</f>
        <v>Light Vehicle Passenger</v>
      </c>
      <c r="J274" t="str">
        <f>[5]trip_summary_region!J274</f>
        <v>2042/43</v>
      </c>
    </row>
    <row r="275" spans="1:10" x14ac:dyDescent="0.2">
      <c r="A275" t="str">
        <f>[5]trip_summary_region!A275</f>
        <v>04 BAY OF PLENTY</v>
      </c>
      <c r="B275">
        <f>[5]trip_summary_region!B275</f>
        <v>4</v>
      </c>
      <c r="C275">
        <f>[5]trip_summary_region!C275</f>
        <v>2013</v>
      </c>
      <c r="D275">
        <f>[5]trip_summary_region!D275</f>
        <v>4</v>
      </c>
      <c r="E275">
        <f>[5]trip_summary_region!E275</f>
        <v>8</v>
      </c>
      <c r="F275">
        <f>[5]trip_summary_region!F275</f>
        <v>0.15552198610000001</v>
      </c>
      <c r="G275">
        <f>[5]trip_summary_region!G275</f>
        <v>0.98369936449999995</v>
      </c>
      <c r="H275">
        <f>[5]trip_summary_region!H275</f>
        <v>7.3048454499999999E-2</v>
      </c>
      <c r="I275" t="s">
        <v>116</v>
      </c>
      <c r="J275" t="str">
        <f>[5]trip_summary_region!J275</f>
        <v>2012/13</v>
      </c>
    </row>
    <row r="276" spans="1:10" x14ac:dyDescent="0.2">
      <c r="A276" t="str">
        <f>[5]trip_summary_region!A276</f>
        <v>04 BAY OF PLENTY</v>
      </c>
      <c r="B276">
        <f>[5]trip_summary_region!B276</f>
        <v>4</v>
      </c>
      <c r="C276">
        <f>[5]trip_summary_region!C276</f>
        <v>2018</v>
      </c>
      <c r="D276">
        <f>[5]trip_summary_region!D276</f>
        <v>4</v>
      </c>
      <c r="E276">
        <f>[5]trip_summary_region!E276</f>
        <v>8</v>
      </c>
      <c r="F276">
        <f>[5]trip_summary_region!F276</f>
        <v>0.1422718728</v>
      </c>
      <c r="G276">
        <f>[5]trip_summary_region!G276</f>
        <v>0.89997979139999995</v>
      </c>
      <c r="H276">
        <f>[5]trip_summary_region!H276</f>
        <v>6.6834567400000003E-2</v>
      </c>
      <c r="I276" t="s">
        <v>116</v>
      </c>
      <c r="J276" t="str">
        <f>[5]trip_summary_region!J276</f>
        <v>2017/18</v>
      </c>
    </row>
    <row r="277" spans="1:10" x14ac:dyDescent="0.2">
      <c r="A277" t="str">
        <f>[5]trip_summary_region!A277</f>
        <v>04 BAY OF PLENTY</v>
      </c>
      <c r="B277">
        <f>[5]trip_summary_region!B277</f>
        <v>4</v>
      </c>
      <c r="C277">
        <f>[5]trip_summary_region!C277</f>
        <v>2023</v>
      </c>
      <c r="D277">
        <f>[5]trip_summary_region!D277</f>
        <v>4</v>
      </c>
      <c r="E277">
        <f>[5]trip_summary_region!E277</f>
        <v>8</v>
      </c>
      <c r="F277">
        <f>[5]trip_summary_region!F277</f>
        <v>0.13341823720000001</v>
      </c>
      <c r="G277">
        <f>[5]trip_summary_region!G277</f>
        <v>0.8770570607</v>
      </c>
      <c r="H277">
        <f>[5]trip_summary_region!H277</f>
        <v>6.5018072800000007E-2</v>
      </c>
      <c r="I277" t="s">
        <v>116</v>
      </c>
      <c r="J277" t="str">
        <f>[5]trip_summary_region!J277</f>
        <v>2022/23</v>
      </c>
    </row>
    <row r="278" spans="1:10" x14ac:dyDescent="0.2">
      <c r="A278" t="str">
        <f>[5]trip_summary_region!A278</f>
        <v>04 BAY OF PLENTY</v>
      </c>
      <c r="B278">
        <f>[5]trip_summary_region!B278</f>
        <v>4</v>
      </c>
      <c r="C278">
        <f>[5]trip_summary_region!C278</f>
        <v>2028</v>
      </c>
      <c r="D278">
        <f>[5]trip_summary_region!D278</f>
        <v>4</v>
      </c>
      <c r="E278">
        <f>[5]trip_summary_region!E278</f>
        <v>8</v>
      </c>
      <c r="F278">
        <f>[5]trip_summary_region!F278</f>
        <v>0.12898925689999999</v>
      </c>
      <c r="G278">
        <f>[5]trip_summary_region!G278</f>
        <v>0.88911281529999997</v>
      </c>
      <c r="H278">
        <f>[5]trip_summary_region!H278</f>
        <v>6.5501142100000007E-2</v>
      </c>
      <c r="I278" t="s">
        <v>116</v>
      </c>
      <c r="J278" t="str">
        <f>[5]trip_summary_region!J278</f>
        <v>2027/28</v>
      </c>
    </row>
    <row r="279" spans="1:10" x14ac:dyDescent="0.2">
      <c r="A279" t="str">
        <f>[5]trip_summary_region!A279</f>
        <v>04 BAY OF PLENTY</v>
      </c>
      <c r="B279">
        <f>[5]trip_summary_region!B279</f>
        <v>4</v>
      </c>
      <c r="C279">
        <f>[5]trip_summary_region!C279</f>
        <v>2033</v>
      </c>
      <c r="D279">
        <f>[5]trip_summary_region!D279</f>
        <v>4</v>
      </c>
      <c r="E279">
        <f>[5]trip_summary_region!E279</f>
        <v>8</v>
      </c>
      <c r="F279">
        <f>[5]trip_summary_region!F279</f>
        <v>0.1245980701</v>
      </c>
      <c r="G279">
        <f>[5]trip_summary_region!G279</f>
        <v>0.86073790999999999</v>
      </c>
      <c r="H279">
        <f>[5]trip_summary_region!H279</f>
        <v>6.2883809299999996E-2</v>
      </c>
      <c r="I279" t="s">
        <v>116</v>
      </c>
      <c r="J279" t="str">
        <f>[5]trip_summary_region!J279</f>
        <v>2032/33</v>
      </c>
    </row>
    <row r="280" spans="1:10" x14ac:dyDescent="0.2">
      <c r="A280" t="str">
        <f>[5]trip_summary_region!A280</f>
        <v>04 BAY OF PLENTY</v>
      </c>
      <c r="B280">
        <f>[5]trip_summary_region!B280</f>
        <v>4</v>
      </c>
      <c r="C280">
        <f>[5]trip_summary_region!C280</f>
        <v>2038</v>
      </c>
      <c r="D280">
        <f>[5]trip_summary_region!D280</f>
        <v>4</v>
      </c>
      <c r="E280">
        <f>[5]trip_summary_region!E280</f>
        <v>8</v>
      </c>
      <c r="F280">
        <f>[5]trip_summary_region!F280</f>
        <v>0.1213411397</v>
      </c>
      <c r="G280">
        <f>[5]trip_summary_region!G280</f>
        <v>0.83545778150000005</v>
      </c>
      <c r="H280">
        <f>[5]trip_summary_region!H280</f>
        <v>6.0937060299999998E-2</v>
      </c>
      <c r="I280" t="s">
        <v>116</v>
      </c>
      <c r="J280" t="str">
        <f>[5]trip_summary_region!J280</f>
        <v>2037/38</v>
      </c>
    </row>
    <row r="281" spans="1:10" x14ac:dyDescent="0.2">
      <c r="A281" t="str">
        <f>[5]trip_summary_region!A281</f>
        <v>04 BAY OF PLENTY</v>
      </c>
      <c r="B281">
        <f>[5]trip_summary_region!B281</f>
        <v>4</v>
      </c>
      <c r="C281">
        <f>[5]trip_summary_region!C281</f>
        <v>2043</v>
      </c>
      <c r="D281">
        <f>[5]trip_summary_region!D281</f>
        <v>4</v>
      </c>
      <c r="E281">
        <f>[5]trip_summary_region!E281</f>
        <v>8</v>
      </c>
      <c r="F281">
        <f>[5]trip_summary_region!F281</f>
        <v>0.1168292259</v>
      </c>
      <c r="G281">
        <f>[5]trip_summary_region!G281</f>
        <v>0.80513026679999999</v>
      </c>
      <c r="H281">
        <f>[5]trip_summary_region!H281</f>
        <v>5.8665677499999999E-2</v>
      </c>
      <c r="I281" t="s">
        <v>116</v>
      </c>
      <c r="J281" t="str">
        <f>[5]trip_summary_region!J281</f>
        <v>2042/43</v>
      </c>
    </row>
    <row r="282" spans="1:10" x14ac:dyDescent="0.2">
      <c r="A282" t="str">
        <f>[5]trip_summary_region!A282</f>
        <v>04 BAY OF PLENTY</v>
      </c>
      <c r="B282">
        <f>[5]trip_summary_region!B282</f>
        <v>5</v>
      </c>
      <c r="C282">
        <f>[5]trip_summary_region!C282</f>
        <v>2013</v>
      </c>
      <c r="D282">
        <f>[5]trip_summary_region!D282</f>
        <v>10</v>
      </c>
      <c r="E282">
        <f>[5]trip_summary_region!E282</f>
        <v>40</v>
      </c>
      <c r="F282">
        <f>[5]trip_summary_region!F282</f>
        <v>0.90641599910000004</v>
      </c>
      <c r="G282">
        <f>[5]trip_summary_region!G282</f>
        <v>35.608960758999999</v>
      </c>
      <c r="H282">
        <f>[5]trip_summary_region!H282</f>
        <v>0.60409197079999999</v>
      </c>
      <c r="I282" t="str">
        <f>[5]trip_summary_region!I282</f>
        <v>Motorcyclist</v>
      </c>
      <c r="J282" t="str">
        <f>[5]trip_summary_region!J282</f>
        <v>2012/13</v>
      </c>
    </row>
    <row r="283" spans="1:10" x14ac:dyDescent="0.2">
      <c r="A283" t="str">
        <f>[5]trip_summary_region!A283</f>
        <v>04 BAY OF PLENTY</v>
      </c>
      <c r="B283">
        <f>[5]trip_summary_region!B283</f>
        <v>5</v>
      </c>
      <c r="C283">
        <f>[5]trip_summary_region!C283</f>
        <v>2018</v>
      </c>
      <c r="D283">
        <f>[5]trip_summary_region!D283</f>
        <v>10</v>
      </c>
      <c r="E283">
        <f>[5]trip_summary_region!E283</f>
        <v>40</v>
      </c>
      <c r="F283">
        <f>[5]trip_summary_region!F283</f>
        <v>0.95954942519999997</v>
      </c>
      <c r="G283">
        <f>[5]trip_summary_region!G283</f>
        <v>38.315136817999999</v>
      </c>
      <c r="H283">
        <f>[5]trip_summary_region!H283</f>
        <v>0.64730182879999998</v>
      </c>
      <c r="I283" t="str">
        <f>[5]trip_summary_region!I283</f>
        <v>Motorcyclist</v>
      </c>
      <c r="J283" t="str">
        <f>[5]trip_summary_region!J283</f>
        <v>2017/18</v>
      </c>
    </row>
    <row r="284" spans="1:10" x14ac:dyDescent="0.2">
      <c r="A284" t="str">
        <f>[5]trip_summary_region!A284</f>
        <v>04 BAY OF PLENTY</v>
      </c>
      <c r="B284">
        <f>[5]trip_summary_region!B284</f>
        <v>5</v>
      </c>
      <c r="C284">
        <f>[5]trip_summary_region!C284</f>
        <v>2023</v>
      </c>
      <c r="D284">
        <f>[5]trip_summary_region!D284</f>
        <v>10</v>
      </c>
      <c r="E284">
        <f>[5]trip_summary_region!E284</f>
        <v>40</v>
      </c>
      <c r="F284">
        <f>[5]trip_summary_region!F284</f>
        <v>1.0068221891</v>
      </c>
      <c r="G284">
        <f>[5]trip_summary_region!G284</f>
        <v>39.956933358999997</v>
      </c>
      <c r="H284">
        <f>[5]trip_summary_region!H284</f>
        <v>0.67441132100000001</v>
      </c>
      <c r="I284" t="str">
        <f>[5]trip_summary_region!I284</f>
        <v>Motorcyclist</v>
      </c>
      <c r="J284" t="str">
        <f>[5]trip_summary_region!J284</f>
        <v>2022/23</v>
      </c>
    </row>
    <row r="285" spans="1:10" x14ac:dyDescent="0.2">
      <c r="A285" t="str">
        <f>[5]trip_summary_region!A285</f>
        <v>04 BAY OF PLENTY</v>
      </c>
      <c r="B285">
        <f>[5]trip_summary_region!B285</f>
        <v>5</v>
      </c>
      <c r="C285">
        <f>[5]trip_summary_region!C285</f>
        <v>2028</v>
      </c>
      <c r="D285">
        <f>[5]trip_summary_region!D285</f>
        <v>10</v>
      </c>
      <c r="E285">
        <f>[5]trip_summary_region!E285</f>
        <v>40</v>
      </c>
      <c r="F285">
        <f>[5]trip_summary_region!F285</f>
        <v>1.0022062250999999</v>
      </c>
      <c r="G285">
        <f>[5]trip_summary_region!G285</f>
        <v>39.345682910999997</v>
      </c>
      <c r="H285">
        <f>[5]trip_summary_region!H285</f>
        <v>0.66455704260000004</v>
      </c>
      <c r="I285" t="str">
        <f>[5]trip_summary_region!I285</f>
        <v>Motorcyclist</v>
      </c>
      <c r="J285" t="str">
        <f>[5]trip_summary_region!J285</f>
        <v>2027/28</v>
      </c>
    </row>
    <row r="286" spans="1:10" x14ac:dyDescent="0.2">
      <c r="A286" t="str">
        <f>[5]trip_summary_region!A286</f>
        <v>04 BAY OF PLENTY</v>
      </c>
      <c r="B286">
        <f>[5]trip_summary_region!B286</f>
        <v>5</v>
      </c>
      <c r="C286">
        <f>[5]trip_summary_region!C286</f>
        <v>2033</v>
      </c>
      <c r="D286">
        <f>[5]trip_summary_region!D286</f>
        <v>10</v>
      </c>
      <c r="E286">
        <f>[5]trip_summary_region!E286</f>
        <v>40</v>
      </c>
      <c r="F286">
        <f>[5]trip_summary_region!F286</f>
        <v>0.97484416640000005</v>
      </c>
      <c r="G286">
        <f>[5]trip_summary_region!G286</f>
        <v>37.776716829999998</v>
      </c>
      <c r="H286">
        <f>[5]trip_summary_region!H286</f>
        <v>0.64043070629999999</v>
      </c>
      <c r="I286" t="str">
        <f>[5]trip_summary_region!I286</f>
        <v>Motorcyclist</v>
      </c>
      <c r="J286" t="str">
        <f>[5]trip_summary_region!J286</f>
        <v>2032/33</v>
      </c>
    </row>
    <row r="287" spans="1:10" x14ac:dyDescent="0.2">
      <c r="A287" t="str">
        <f>[5]trip_summary_region!A287</f>
        <v>04 BAY OF PLENTY</v>
      </c>
      <c r="B287">
        <f>[5]trip_summary_region!B287</f>
        <v>5</v>
      </c>
      <c r="C287">
        <f>[5]trip_summary_region!C287</f>
        <v>2038</v>
      </c>
      <c r="D287">
        <f>[5]trip_summary_region!D287</f>
        <v>10</v>
      </c>
      <c r="E287">
        <f>[5]trip_summary_region!E287</f>
        <v>40</v>
      </c>
      <c r="F287">
        <f>[5]trip_summary_region!F287</f>
        <v>0.92808413460000005</v>
      </c>
      <c r="G287">
        <f>[5]trip_summary_region!G287</f>
        <v>35.826111204999997</v>
      </c>
      <c r="H287">
        <f>[5]trip_summary_region!H287</f>
        <v>0.60995451430000003</v>
      </c>
      <c r="I287" t="str">
        <f>[5]trip_summary_region!I287</f>
        <v>Motorcyclist</v>
      </c>
      <c r="J287" t="str">
        <f>[5]trip_summary_region!J287</f>
        <v>2037/38</v>
      </c>
    </row>
    <row r="288" spans="1:10" x14ac:dyDescent="0.2">
      <c r="A288" t="str">
        <f>[5]trip_summary_region!A288</f>
        <v>04 BAY OF PLENTY</v>
      </c>
      <c r="B288">
        <f>[5]trip_summary_region!B288</f>
        <v>5</v>
      </c>
      <c r="C288">
        <f>[5]trip_summary_region!C288</f>
        <v>2043</v>
      </c>
      <c r="D288">
        <f>[5]trip_summary_region!D288</f>
        <v>10</v>
      </c>
      <c r="E288">
        <f>[5]trip_summary_region!E288</f>
        <v>40</v>
      </c>
      <c r="F288">
        <f>[5]trip_summary_region!F288</f>
        <v>0.88015213839999995</v>
      </c>
      <c r="G288">
        <f>[5]trip_summary_region!G288</f>
        <v>33.865968353</v>
      </c>
      <c r="H288">
        <f>[5]trip_summary_region!H288</f>
        <v>0.57907037959999996</v>
      </c>
      <c r="I288" t="str">
        <f>[5]trip_summary_region!I288</f>
        <v>Motorcyclist</v>
      </c>
      <c r="J288" t="str">
        <f>[5]trip_summary_region!J288</f>
        <v>2042/43</v>
      </c>
    </row>
    <row r="289" spans="1:10" x14ac:dyDescent="0.2">
      <c r="A289" t="str">
        <f>[5]trip_summary_region!A289</f>
        <v>04 BAY OF PLENTY</v>
      </c>
      <c r="B289">
        <f>[5]trip_summary_region!B289</f>
        <v>7</v>
      </c>
      <c r="C289">
        <f>[5]trip_summary_region!C289</f>
        <v>2013</v>
      </c>
      <c r="D289">
        <f>[5]trip_summary_region!D289</f>
        <v>73</v>
      </c>
      <c r="E289">
        <f>[5]trip_summary_region!E289</f>
        <v>194</v>
      </c>
      <c r="F289">
        <f>[5]trip_summary_region!F289</f>
        <v>7.4672006229000001</v>
      </c>
      <c r="G289">
        <f>[5]trip_summary_region!G289</f>
        <v>52.669440211999998</v>
      </c>
      <c r="H289">
        <f>[5]trip_summary_region!H289</f>
        <v>2.9412276716000001</v>
      </c>
      <c r="I289" t="str">
        <f>[5]trip_summary_region!I289</f>
        <v>Local Bus</v>
      </c>
      <c r="J289" t="str">
        <f>[5]trip_summary_region!J289</f>
        <v>2012/13</v>
      </c>
    </row>
    <row r="290" spans="1:10" x14ac:dyDescent="0.2">
      <c r="A290" t="str">
        <f>[5]trip_summary_region!A290</f>
        <v>04 BAY OF PLENTY</v>
      </c>
      <c r="B290">
        <f>[5]trip_summary_region!B290</f>
        <v>7</v>
      </c>
      <c r="C290">
        <f>[5]trip_summary_region!C290</f>
        <v>2018</v>
      </c>
      <c r="D290">
        <f>[5]trip_summary_region!D290</f>
        <v>73</v>
      </c>
      <c r="E290">
        <f>[5]trip_summary_region!E290</f>
        <v>194</v>
      </c>
      <c r="F290">
        <f>[5]trip_summary_region!F290</f>
        <v>7.2229718001999998</v>
      </c>
      <c r="G290">
        <f>[5]trip_summary_region!G290</f>
        <v>50.020171181000002</v>
      </c>
      <c r="H290">
        <f>[5]trip_summary_region!H290</f>
        <v>2.8006844173999998</v>
      </c>
      <c r="I290" t="str">
        <f>[5]trip_summary_region!I290</f>
        <v>Local Bus</v>
      </c>
      <c r="J290" t="str">
        <f>[5]trip_summary_region!J290</f>
        <v>2017/18</v>
      </c>
    </row>
    <row r="291" spans="1:10" x14ac:dyDescent="0.2">
      <c r="A291" t="str">
        <f>[5]trip_summary_region!A291</f>
        <v>04 BAY OF PLENTY</v>
      </c>
      <c r="B291">
        <f>[5]trip_summary_region!B291</f>
        <v>7</v>
      </c>
      <c r="C291">
        <f>[5]trip_summary_region!C291</f>
        <v>2023</v>
      </c>
      <c r="D291">
        <f>[5]trip_summary_region!D291</f>
        <v>73</v>
      </c>
      <c r="E291">
        <f>[5]trip_summary_region!E291</f>
        <v>194</v>
      </c>
      <c r="F291">
        <f>[5]trip_summary_region!F291</f>
        <v>7.0999095605999996</v>
      </c>
      <c r="G291">
        <f>[5]trip_summary_region!G291</f>
        <v>48.557222426999999</v>
      </c>
      <c r="H291">
        <f>[5]trip_summary_region!H291</f>
        <v>2.7225529141</v>
      </c>
      <c r="I291" t="str">
        <f>[5]trip_summary_region!I291</f>
        <v>Local Bus</v>
      </c>
      <c r="J291" t="str">
        <f>[5]trip_summary_region!J291</f>
        <v>2022/23</v>
      </c>
    </row>
    <row r="292" spans="1:10" x14ac:dyDescent="0.2">
      <c r="A292" t="str">
        <f>[5]trip_summary_region!A292</f>
        <v>04 BAY OF PLENTY</v>
      </c>
      <c r="B292">
        <f>[5]trip_summary_region!B292</f>
        <v>7</v>
      </c>
      <c r="C292">
        <f>[5]trip_summary_region!C292</f>
        <v>2028</v>
      </c>
      <c r="D292">
        <f>[5]trip_summary_region!D292</f>
        <v>73</v>
      </c>
      <c r="E292">
        <f>[5]trip_summary_region!E292</f>
        <v>194</v>
      </c>
      <c r="F292">
        <f>[5]trip_summary_region!F292</f>
        <v>7.0467231054999999</v>
      </c>
      <c r="G292">
        <f>[5]trip_summary_region!G292</f>
        <v>47.480551876</v>
      </c>
      <c r="H292">
        <f>[5]trip_summary_region!H292</f>
        <v>2.6704240618999999</v>
      </c>
      <c r="I292" t="str">
        <f>[5]trip_summary_region!I292</f>
        <v>Local Bus</v>
      </c>
      <c r="J292" t="str">
        <f>[5]trip_summary_region!J292</f>
        <v>2027/28</v>
      </c>
    </row>
    <row r="293" spans="1:10" x14ac:dyDescent="0.2">
      <c r="A293" t="str">
        <f>[5]trip_summary_region!A293</f>
        <v>04 BAY OF PLENTY</v>
      </c>
      <c r="B293">
        <f>[5]trip_summary_region!B293</f>
        <v>7</v>
      </c>
      <c r="C293">
        <f>[5]trip_summary_region!C293</f>
        <v>2033</v>
      </c>
      <c r="D293">
        <f>[5]trip_summary_region!D293</f>
        <v>73</v>
      </c>
      <c r="E293">
        <f>[5]trip_summary_region!E293</f>
        <v>194</v>
      </c>
      <c r="F293">
        <f>[5]trip_summary_region!F293</f>
        <v>6.9735147179999997</v>
      </c>
      <c r="G293">
        <f>[5]trip_summary_region!G293</f>
        <v>45.957881567999998</v>
      </c>
      <c r="H293">
        <f>[5]trip_summary_region!H293</f>
        <v>2.6067786280999998</v>
      </c>
      <c r="I293" t="str">
        <f>[5]trip_summary_region!I293</f>
        <v>Local Bus</v>
      </c>
      <c r="J293" t="str">
        <f>[5]trip_summary_region!J293</f>
        <v>2032/33</v>
      </c>
    </row>
    <row r="294" spans="1:10" x14ac:dyDescent="0.2">
      <c r="A294" t="str">
        <f>[5]trip_summary_region!A294</f>
        <v>04 BAY OF PLENTY</v>
      </c>
      <c r="B294">
        <f>[5]trip_summary_region!B294</f>
        <v>7</v>
      </c>
      <c r="C294">
        <f>[5]trip_summary_region!C294</f>
        <v>2038</v>
      </c>
      <c r="D294">
        <f>[5]trip_summary_region!D294</f>
        <v>73</v>
      </c>
      <c r="E294">
        <f>[5]trip_summary_region!E294</f>
        <v>194</v>
      </c>
      <c r="F294">
        <f>[5]trip_summary_region!F294</f>
        <v>6.9433184341</v>
      </c>
      <c r="G294">
        <f>[5]trip_summary_region!G294</f>
        <v>45.102182765999999</v>
      </c>
      <c r="H294">
        <f>[5]trip_summary_region!H294</f>
        <v>2.5647900414999998</v>
      </c>
      <c r="I294" t="str">
        <f>[5]trip_summary_region!I294</f>
        <v>Local Bus</v>
      </c>
      <c r="J294" t="str">
        <f>[5]trip_summary_region!J294</f>
        <v>2037/38</v>
      </c>
    </row>
    <row r="295" spans="1:10" x14ac:dyDescent="0.2">
      <c r="A295" t="str">
        <f>[5]trip_summary_region!A295</f>
        <v>04 BAY OF PLENTY</v>
      </c>
      <c r="B295">
        <f>[5]trip_summary_region!B295</f>
        <v>7</v>
      </c>
      <c r="C295">
        <f>[5]trip_summary_region!C295</f>
        <v>2043</v>
      </c>
      <c r="D295">
        <f>[5]trip_summary_region!D295</f>
        <v>73</v>
      </c>
      <c r="E295">
        <f>[5]trip_summary_region!E295</f>
        <v>194</v>
      </c>
      <c r="F295">
        <f>[5]trip_summary_region!F295</f>
        <v>6.8728409157000003</v>
      </c>
      <c r="G295">
        <f>[5]trip_summary_region!G295</f>
        <v>43.992389525</v>
      </c>
      <c r="H295">
        <f>[5]trip_summary_region!H295</f>
        <v>2.5080753930999999</v>
      </c>
      <c r="I295" t="str">
        <f>[5]trip_summary_region!I295</f>
        <v>Local Bus</v>
      </c>
      <c r="J295" t="str">
        <f>[5]trip_summary_region!J295</f>
        <v>2042/43</v>
      </c>
    </row>
    <row r="296" spans="1:10" x14ac:dyDescent="0.2">
      <c r="A296" t="str">
        <f>[5]trip_summary_region!A296</f>
        <v>04 BAY OF PLENTY</v>
      </c>
      <c r="B296">
        <f>[5]trip_summary_region!B296</f>
        <v>9</v>
      </c>
      <c r="C296">
        <f>[5]trip_summary_region!C296</f>
        <v>2013</v>
      </c>
      <c r="D296">
        <f>[5]trip_summary_region!D296</f>
        <v>13</v>
      </c>
      <c r="E296">
        <f>[5]trip_summary_region!E296</f>
        <v>34</v>
      </c>
      <c r="F296">
        <f>[5]trip_summary_region!F296</f>
        <v>0.59853678389999998</v>
      </c>
      <c r="G296">
        <f>[5]trip_summary_region!G296</f>
        <v>0</v>
      </c>
      <c r="H296">
        <f>[5]trip_summary_region!H296</f>
        <v>0.21279540499999999</v>
      </c>
      <c r="I296" t="str">
        <f>[5]trip_summary_region!I296</f>
        <v>Other Household Travel</v>
      </c>
      <c r="J296" t="str">
        <f>[5]trip_summary_region!J296</f>
        <v>2012/13</v>
      </c>
    </row>
    <row r="297" spans="1:10" x14ac:dyDescent="0.2">
      <c r="A297" t="str">
        <f>[5]trip_summary_region!A297</f>
        <v>04 BAY OF PLENTY</v>
      </c>
      <c r="B297">
        <f>[5]trip_summary_region!B297</f>
        <v>9</v>
      </c>
      <c r="C297">
        <f>[5]trip_summary_region!C297</f>
        <v>2018</v>
      </c>
      <c r="D297">
        <f>[5]trip_summary_region!D297</f>
        <v>13</v>
      </c>
      <c r="E297">
        <f>[5]trip_summary_region!E297</f>
        <v>34</v>
      </c>
      <c r="F297">
        <f>[5]trip_summary_region!F297</f>
        <v>0.5853577042</v>
      </c>
      <c r="G297">
        <f>[5]trip_summary_region!G297</f>
        <v>0</v>
      </c>
      <c r="H297">
        <f>[5]trip_summary_region!H297</f>
        <v>0.2143916005</v>
      </c>
      <c r="I297" t="str">
        <f>[5]trip_summary_region!I297</f>
        <v>Other Household Travel</v>
      </c>
      <c r="J297" t="str">
        <f>[5]trip_summary_region!J297</f>
        <v>2017/18</v>
      </c>
    </row>
    <row r="298" spans="1:10" x14ac:dyDescent="0.2">
      <c r="A298" t="str">
        <f>[5]trip_summary_region!A298</f>
        <v>04 BAY OF PLENTY</v>
      </c>
      <c r="B298">
        <f>[5]trip_summary_region!B298</f>
        <v>9</v>
      </c>
      <c r="C298">
        <f>[5]trip_summary_region!C298</f>
        <v>2023</v>
      </c>
      <c r="D298">
        <f>[5]trip_summary_region!D298</f>
        <v>13</v>
      </c>
      <c r="E298">
        <f>[5]trip_summary_region!E298</f>
        <v>34</v>
      </c>
      <c r="F298">
        <f>[5]trip_summary_region!F298</f>
        <v>0.55593040299999996</v>
      </c>
      <c r="G298">
        <f>[5]trip_summary_region!G298</f>
        <v>0</v>
      </c>
      <c r="H298">
        <f>[5]trip_summary_region!H298</f>
        <v>0.2095175141</v>
      </c>
      <c r="I298" t="str">
        <f>[5]trip_summary_region!I298</f>
        <v>Other Household Travel</v>
      </c>
      <c r="J298" t="str">
        <f>[5]trip_summary_region!J298</f>
        <v>2022/23</v>
      </c>
    </row>
    <row r="299" spans="1:10" x14ac:dyDescent="0.2">
      <c r="A299" t="str">
        <f>[5]trip_summary_region!A299</f>
        <v>04 BAY OF PLENTY</v>
      </c>
      <c r="B299">
        <f>[5]trip_summary_region!B299</f>
        <v>9</v>
      </c>
      <c r="C299">
        <f>[5]trip_summary_region!C299</f>
        <v>2028</v>
      </c>
      <c r="D299">
        <f>[5]trip_summary_region!D299</f>
        <v>13</v>
      </c>
      <c r="E299">
        <f>[5]trip_summary_region!E299</f>
        <v>34</v>
      </c>
      <c r="F299">
        <f>[5]trip_summary_region!F299</f>
        <v>0.52618256389999996</v>
      </c>
      <c r="G299">
        <f>[5]trip_summary_region!G299</f>
        <v>0</v>
      </c>
      <c r="H299">
        <f>[5]trip_summary_region!H299</f>
        <v>0.20322107480000001</v>
      </c>
      <c r="I299" t="str">
        <f>[5]trip_summary_region!I299</f>
        <v>Other Household Travel</v>
      </c>
      <c r="J299" t="str">
        <f>[5]trip_summary_region!J299</f>
        <v>2027/28</v>
      </c>
    </row>
    <row r="300" spans="1:10" x14ac:dyDescent="0.2">
      <c r="A300" t="str">
        <f>[5]trip_summary_region!A300</f>
        <v>04 BAY OF PLENTY</v>
      </c>
      <c r="B300">
        <f>[5]trip_summary_region!B300</f>
        <v>9</v>
      </c>
      <c r="C300">
        <f>[5]trip_summary_region!C300</f>
        <v>2033</v>
      </c>
      <c r="D300">
        <f>[5]trip_summary_region!D300</f>
        <v>13</v>
      </c>
      <c r="E300">
        <f>[5]trip_summary_region!E300</f>
        <v>34</v>
      </c>
      <c r="F300">
        <f>[5]trip_summary_region!F300</f>
        <v>0.50189748899999997</v>
      </c>
      <c r="G300">
        <f>[5]trip_summary_region!G300</f>
        <v>0</v>
      </c>
      <c r="H300">
        <f>[5]trip_summary_region!H300</f>
        <v>0.19138088170000001</v>
      </c>
      <c r="I300" t="str">
        <f>[5]trip_summary_region!I300</f>
        <v>Other Household Travel</v>
      </c>
      <c r="J300" t="str">
        <f>[5]trip_summary_region!J300</f>
        <v>2032/33</v>
      </c>
    </row>
    <row r="301" spans="1:10" x14ac:dyDescent="0.2">
      <c r="A301" t="str">
        <f>[5]trip_summary_region!A301</f>
        <v>04 BAY OF PLENTY</v>
      </c>
      <c r="B301">
        <f>[5]trip_summary_region!B301</f>
        <v>9</v>
      </c>
      <c r="C301">
        <f>[5]trip_summary_region!C301</f>
        <v>2038</v>
      </c>
      <c r="D301">
        <f>[5]trip_summary_region!D301</f>
        <v>13</v>
      </c>
      <c r="E301">
        <f>[5]trip_summary_region!E301</f>
        <v>34</v>
      </c>
      <c r="F301">
        <f>[5]trip_summary_region!F301</f>
        <v>0.48390236079999999</v>
      </c>
      <c r="G301">
        <f>[5]trip_summary_region!G301</f>
        <v>0</v>
      </c>
      <c r="H301">
        <f>[5]trip_summary_region!H301</f>
        <v>0.184910728</v>
      </c>
      <c r="I301" t="str">
        <f>[5]trip_summary_region!I301</f>
        <v>Other Household Travel</v>
      </c>
      <c r="J301" t="str">
        <f>[5]trip_summary_region!J301</f>
        <v>2037/38</v>
      </c>
    </row>
    <row r="302" spans="1:10" x14ac:dyDescent="0.2">
      <c r="A302" t="str">
        <f>[5]trip_summary_region!A302</f>
        <v>04 BAY OF PLENTY</v>
      </c>
      <c r="B302">
        <f>[5]trip_summary_region!B302</f>
        <v>9</v>
      </c>
      <c r="C302">
        <f>[5]trip_summary_region!C302</f>
        <v>2043</v>
      </c>
      <c r="D302">
        <f>[5]trip_summary_region!D302</f>
        <v>13</v>
      </c>
      <c r="E302">
        <f>[5]trip_summary_region!E302</f>
        <v>34</v>
      </c>
      <c r="F302">
        <f>[5]trip_summary_region!F302</f>
        <v>0.4643393394</v>
      </c>
      <c r="G302">
        <f>[5]trip_summary_region!G302</f>
        <v>0</v>
      </c>
      <c r="H302">
        <f>[5]trip_summary_region!H302</f>
        <v>0.177638461</v>
      </c>
      <c r="I302" t="str">
        <f>[5]trip_summary_region!I302</f>
        <v>Other Household Travel</v>
      </c>
      <c r="J302" t="str">
        <f>[5]trip_summary_region!J302</f>
        <v>2042/43</v>
      </c>
    </row>
    <row r="303" spans="1:10" x14ac:dyDescent="0.2">
      <c r="A303" t="str">
        <f>[5]trip_summary_region!A303</f>
        <v>04 BAY OF PLENTY</v>
      </c>
      <c r="B303">
        <f>[5]trip_summary_region!B303</f>
        <v>10</v>
      </c>
      <c r="C303">
        <f>[5]trip_summary_region!C303</f>
        <v>2013</v>
      </c>
      <c r="D303">
        <f>[5]trip_summary_region!D303</f>
        <v>10</v>
      </c>
      <c r="E303">
        <f>[5]trip_summary_region!E303</f>
        <v>20</v>
      </c>
      <c r="F303">
        <f>[5]trip_summary_region!F303</f>
        <v>0.7132672793</v>
      </c>
      <c r="G303">
        <f>[5]trip_summary_region!G303</f>
        <v>34.241381883000003</v>
      </c>
      <c r="H303">
        <f>[5]trip_summary_region!H303</f>
        <v>1.7899343983</v>
      </c>
      <c r="I303" t="str">
        <f>[5]trip_summary_region!I303</f>
        <v>Air/Non-Local PT</v>
      </c>
      <c r="J303" t="str">
        <f>[5]trip_summary_region!J303</f>
        <v>2012/13</v>
      </c>
    </row>
    <row r="304" spans="1:10" x14ac:dyDescent="0.2">
      <c r="A304" t="str">
        <f>[5]trip_summary_region!A304</f>
        <v>04 BAY OF PLENTY</v>
      </c>
      <c r="B304">
        <f>[5]trip_summary_region!B304</f>
        <v>10</v>
      </c>
      <c r="C304">
        <f>[5]trip_summary_region!C304</f>
        <v>2018</v>
      </c>
      <c r="D304">
        <f>[5]trip_summary_region!D304</f>
        <v>10</v>
      </c>
      <c r="E304">
        <f>[5]trip_summary_region!E304</f>
        <v>20</v>
      </c>
      <c r="F304">
        <f>[5]trip_summary_region!F304</f>
        <v>0.74443794870000002</v>
      </c>
      <c r="G304">
        <f>[5]trip_summary_region!G304</f>
        <v>36.605527549999998</v>
      </c>
      <c r="H304">
        <f>[5]trip_summary_region!H304</f>
        <v>2.1315612314000001</v>
      </c>
      <c r="I304" t="str">
        <f>[5]trip_summary_region!I304</f>
        <v>Air/Non-Local PT</v>
      </c>
      <c r="J304" t="str">
        <f>[5]trip_summary_region!J304</f>
        <v>2017/18</v>
      </c>
    </row>
    <row r="305" spans="1:10" x14ac:dyDescent="0.2">
      <c r="A305" t="str">
        <f>[5]trip_summary_region!A305</f>
        <v>04 BAY OF PLENTY</v>
      </c>
      <c r="B305">
        <f>[5]trip_summary_region!B305</f>
        <v>10</v>
      </c>
      <c r="C305">
        <f>[5]trip_summary_region!C305</f>
        <v>2023</v>
      </c>
      <c r="D305">
        <f>[5]trip_summary_region!D305</f>
        <v>10</v>
      </c>
      <c r="E305">
        <f>[5]trip_summary_region!E305</f>
        <v>20</v>
      </c>
      <c r="F305">
        <f>[5]trip_summary_region!F305</f>
        <v>0.7790542265</v>
      </c>
      <c r="G305">
        <f>[5]trip_summary_region!G305</f>
        <v>38.739281188</v>
      </c>
      <c r="H305">
        <f>[5]trip_summary_region!H305</f>
        <v>2.4340122272000002</v>
      </c>
      <c r="I305" t="str">
        <f>[5]trip_summary_region!I305</f>
        <v>Air/Non-Local PT</v>
      </c>
      <c r="J305" t="str">
        <f>[5]trip_summary_region!J305</f>
        <v>2022/23</v>
      </c>
    </row>
    <row r="306" spans="1:10" x14ac:dyDescent="0.2">
      <c r="A306" t="str">
        <f>[5]trip_summary_region!A306</f>
        <v>04 BAY OF PLENTY</v>
      </c>
      <c r="B306">
        <f>[5]trip_summary_region!B306</f>
        <v>10</v>
      </c>
      <c r="C306">
        <f>[5]trip_summary_region!C306</f>
        <v>2028</v>
      </c>
      <c r="D306">
        <f>[5]trip_summary_region!D306</f>
        <v>10</v>
      </c>
      <c r="E306">
        <f>[5]trip_summary_region!E306</f>
        <v>20</v>
      </c>
      <c r="F306">
        <f>[5]trip_summary_region!F306</f>
        <v>0.80506078859999997</v>
      </c>
      <c r="G306">
        <f>[5]trip_summary_region!G306</f>
        <v>40.463349653999998</v>
      </c>
      <c r="H306">
        <f>[5]trip_summary_region!H306</f>
        <v>2.6152779006000002</v>
      </c>
      <c r="I306" t="str">
        <f>[5]trip_summary_region!I306</f>
        <v>Air/Non-Local PT</v>
      </c>
      <c r="J306" t="str">
        <f>[5]trip_summary_region!J306</f>
        <v>2027/28</v>
      </c>
    </row>
    <row r="307" spans="1:10" x14ac:dyDescent="0.2">
      <c r="A307" t="str">
        <f>[5]trip_summary_region!A307</f>
        <v>04 BAY OF PLENTY</v>
      </c>
      <c r="B307">
        <f>[5]trip_summary_region!B307</f>
        <v>10</v>
      </c>
      <c r="C307">
        <f>[5]trip_summary_region!C307</f>
        <v>2033</v>
      </c>
      <c r="D307">
        <f>[5]trip_summary_region!D307</f>
        <v>10</v>
      </c>
      <c r="E307">
        <f>[5]trip_summary_region!E307</f>
        <v>20</v>
      </c>
      <c r="F307">
        <f>[5]trip_summary_region!F307</f>
        <v>0.81417213850000003</v>
      </c>
      <c r="G307">
        <f>[5]trip_summary_region!G307</f>
        <v>41.551235716000001</v>
      </c>
      <c r="H307">
        <f>[5]trip_summary_region!H307</f>
        <v>2.6904185829</v>
      </c>
      <c r="I307" t="str">
        <f>[5]trip_summary_region!I307</f>
        <v>Air/Non-Local PT</v>
      </c>
      <c r="J307" t="str">
        <f>[5]trip_summary_region!J307</f>
        <v>2032/33</v>
      </c>
    </row>
    <row r="308" spans="1:10" x14ac:dyDescent="0.2">
      <c r="A308" t="str">
        <f>[5]trip_summary_region!A308</f>
        <v>04 BAY OF PLENTY</v>
      </c>
      <c r="B308">
        <f>[5]trip_summary_region!B308</f>
        <v>10</v>
      </c>
      <c r="C308">
        <f>[5]trip_summary_region!C308</f>
        <v>2038</v>
      </c>
      <c r="D308">
        <f>[5]trip_summary_region!D308</f>
        <v>10</v>
      </c>
      <c r="E308">
        <f>[5]trip_summary_region!E308</f>
        <v>20</v>
      </c>
      <c r="F308">
        <f>[5]trip_summary_region!F308</f>
        <v>0.85171798340000004</v>
      </c>
      <c r="G308">
        <f>[5]trip_summary_region!G308</f>
        <v>45.889102512999997</v>
      </c>
      <c r="H308">
        <f>[5]trip_summary_region!H308</f>
        <v>2.7685630851999998</v>
      </c>
      <c r="I308" t="str">
        <f>[5]trip_summary_region!I308</f>
        <v>Air/Non-Local PT</v>
      </c>
      <c r="J308" t="str">
        <f>[5]trip_summary_region!J308</f>
        <v>2037/38</v>
      </c>
    </row>
    <row r="309" spans="1:10" x14ac:dyDescent="0.2">
      <c r="A309" t="str">
        <f>[5]trip_summary_region!A309</f>
        <v>04 BAY OF PLENTY</v>
      </c>
      <c r="B309">
        <f>[5]trip_summary_region!B309</f>
        <v>10</v>
      </c>
      <c r="C309">
        <f>[5]trip_summary_region!C309</f>
        <v>2043</v>
      </c>
      <c r="D309">
        <f>[5]trip_summary_region!D309</f>
        <v>10</v>
      </c>
      <c r="E309">
        <f>[5]trip_summary_region!E309</f>
        <v>20</v>
      </c>
      <c r="F309">
        <f>[5]trip_summary_region!F309</f>
        <v>0.88921075360000001</v>
      </c>
      <c r="G309">
        <f>[5]trip_summary_region!G309</f>
        <v>50.445577845000003</v>
      </c>
      <c r="H309">
        <f>[5]trip_summary_region!H309</f>
        <v>2.8374198648000002</v>
      </c>
      <c r="I309" t="str">
        <f>[5]trip_summary_region!I309</f>
        <v>Air/Non-Local PT</v>
      </c>
      <c r="J309" t="str">
        <f>[5]trip_summary_region!J309</f>
        <v>2042/43</v>
      </c>
    </row>
    <row r="310" spans="1:10" x14ac:dyDescent="0.2">
      <c r="A310" t="str">
        <f>[5]trip_summary_region!A310</f>
        <v>04 BAY OF PLENTY</v>
      </c>
      <c r="B310">
        <f>[5]trip_summary_region!B310</f>
        <v>11</v>
      </c>
      <c r="C310">
        <f>[5]trip_summary_region!C310</f>
        <v>2013</v>
      </c>
      <c r="D310">
        <f>[5]trip_summary_region!D310</f>
        <v>6</v>
      </c>
      <c r="E310">
        <f>[5]trip_summary_region!E310</f>
        <v>33</v>
      </c>
      <c r="F310">
        <f>[5]trip_summary_region!F310</f>
        <v>1.4872690419000001</v>
      </c>
      <c r="G310">
        <f>[5]trip_summary_region!G310</f>
        <v>13.901388431999999</v>
      </c>
      <c r="H310">
        <f>[5]trip_summary_region!H310</f>
        <v>0.32958292379999998</v>
      </c>
      <c r="I310" t="str">
        <f>[5]trip_summary_region!I310</f>
        <v>Non-Household Travel</v>
      </c>
      <c r="J310" t="str">
        <f>[5]trip_summary_region!J310</f>
        <v>2012/13</v>
      </c>
    </row>
    <row r="311" spans="1:10" x14ac:dyDescent="0.2">
      <c r="A311" t="str">
        <f>[5]trip_summary_region!A311</f>
        <v>04 BAY OF PLENTY</v>
      </c>
      <c r="B311">
        <f>[5]trip_summary_region!B311</f>
        <v>11</v>
      </c>
      <c r="C311">
        <f>[5]trip_summary_region!C311</f>
        <v>2018</v>
      </c>
      <c r="D311">
        <f>[5]trip_summary_region!D311</f>
        <v>6</v>
      </c>
      <c r="E311">
        <f>[5]trip_summary_region!E311</f>
        <v>33</v>
      </c>
      <c r="F311">
        <f>[5]trip_summary_region!F311</f>
        <v>1.5864073910000001</v>
      </c>
      <c r="G311">
        <f>[5]trip_summary_region!G311</f>
        <v>13.60787792</v>
      </c>
      <c r="H311">
        <f>[5]trip_summary_region!H311</f>
        <v>0.33939279950000001</v>
      </c>
      <c r="I311" t="str">
        <f>[5]trip_summary_region!I311</f>
        <v>Non-Household Travel</v>
      </c>
      <c r="J311" t="str">
        <f>[5]trip_summary_region!J311</f>
        <v>2017/18</v>
      </c>
    </row>
    <row r="312" spans="1:10" x14ac:dyDescent="0.2">
      <c r="A312" t="str">
        <f>[5]trip_summary_region!A312</f>
        <v>04 BAY OF PLENTY</v>
      </c>
      <c r="B312">
        <f>[5]trip_summary_region!B312</f>
        <v>11</v>
      </c>
      <c r="C312">
        <f>[5]trip_summary_region!C312</f>
        <v>2023</v>
      </c>
      <c r="D312">
        <f>[5]trip_summary_region!D312</f>
        <v>6</v>
      </c>
      <c r="E312">
        <f>[5]trip_summary_region!E312</f>
        <v>33</v>
      </c>
      <c r="F312">
        <f>[5]trip_summary_region!F312</f>
        <v>1.6284751308000001</v>
      </c>
      <c r="G312">
        <f>[5]trip_summary_region!G312</f>
        <v>13.062091462</v>
      </c>
      <c r="H312">
        <f>[5]trip_summary_region!H312</f>
        <v>0.33925528510000003</v>
      </c>
      <c r="I312" t="str">
        <f>[5]trip_summary_region!I312</f>
        <v>Non-Household Travel</v>
      </c>
      <c r="J312" t="str">
        <f>[5]trip_summary_region!J312</f>
        <v>2022/23</v>
      </c>
    </row>
    <row r="313" spans="1:10" x14ac:dyDescent="0.2">
      <c r="A313" t="str">
        <f>[5]trip_summary_region!A313</f>
        <v>04 BAY OF PLENTY</v>
      </c>
      <c r="B313">
        <f>[5]trip_summary_region!B313</f>
        <v>11</v>
      </c>
      <c r="C313">
        <f>[5]trip_summary_region!C313</f>
        <v>2028</v>
      </c>
      <c r="D313">
        <f>[5]trip_summary_region!D313</f>
        <v>6</v>
      </c>
      <c r="E313">
        <f>[5]trip_summary_region!E313</f>
        <v>33</v>
      </c>
      <c r="F313">
        <f>[5]trip_summary_region!F313</f>
        <v>1.5857126776999999</v>
      </c>
      <c r="G313">
        <f>[5]trip_summary_region!G313</f>
        <v>12.241926517</v>
      </c>
      <c r="H313">
        <f>[5]trip_summary_region!H313</f>
        <v>0.32541571889999998</v>
      </c>
      <c r="I313" t="str">
        <f>[5]trip_summary_region!I313</f>
        <v>Non-Household Travel</v>
      </c>
      <c r="J313" t="str">
        <f>[5]trip_summary_region!J313</f>
        <v>2027/28</v>
      </c>
    </row>
    <row r="314" spans="1:10" x14ac:dyDescent="0.2">
      <c r="A314" t="str">
        <f>[5]trip_summary_region!A314</f>
        <v>04 BAY OF PLENTY</v>
      </c>
      <c r="B314">
        <f>[5]trip_summary_region!B314</f>
        <v>11</v>
      </c>
      <c r="C314">
        <f>[5]trip_summary_region!C314</f>
        <v>2033</v>
      </c>
      <c r="D314">
        <f>[5]trip_summary_region!D314</f>
        <v>6</v>
      </c>
      <c r="E314">
        <f>[5]trip_summary_region!E314</f>
        <v>33</v>
      </c>
      <c r="F314">
        <f>[5]trip_summary_region!F314</f>
        <v>1.5269657365</v>
      </c>
      <c r="G314">
        <f>[5]trip_summary_region!G314</f>
        <v>11.669601833</v>
      </c>
      <c r="H314">
        <f>[5]trip_summary_region!H314</f>
        <v>0.31206735800000002</v>
      </c>
      <c r="I314" t="str">
        <f>[5]trip_summary_region!I314</f>
        <v>Non-Household Travel</v>
      </c>
      <c r="J314" t="str">
        <f>[5]trip_summary_region!J314</f>
        <v>2032/33</v>
      </c>
    </row>
    <row r="315" spans="1:10" x14ac:dyDescent="0.2">
      <c r="A315" t="str">
        <f>[5]trip_summary_region!A315</f>
        <v>04 BAY OF PLENTY</v>
      </c>
      <c r="B315">
        <f>[5]trip_summary_region!B315</f>
        <v>11</v>
      </c>
      <c r="C315">
        <f>[5]trip_summary_region!C315</f>
        <v>2038</v>
      </c>
      <c r="D315">
        <f>[5]trip_summary_region!D315</f>
        <v>6</v>
      </c>
      <c r="E315">
        <f>[5]trip_summary_region!E315</f>
        <v>33</v>
      </c>
      <c r="F315">
        <f>[5]trip_summary_region!F315</f>
        <v>1.4793713159999999</v>
      </c>
      <c r="G315">
        <f>[5]trip_summary_region!G315</f>
        <v>11.296716919</v>
      </c>
      <c r="H315">
        <f>[5]trip_summary_region!H315</f>
        <v>0.30256592490000001</v>
      </c>
      <c r="I315" t="str">
        <f>[5]trip_summary_region!I315</f>
        <v>Non-Household Travel</v>
      </c>
      <c r="J315" t="str">
        <f>[5]trip_summary_region!J315</f>
        <v>2037/38</v>
      </c>
    </row>
    <row r="316" spans="1:10" x14ac:dyDescent="0.2">
      <c r="A316" t="str">
        <f>[5]trip_summary_region!A316</f>
        <v>04 BAY OF PLENTY</v>
      </c>
      <c r="B316">
        <f>[5]trip_summary_region!B316</f>
        <v>11</v>
      </c>
      <c r="C316">
        <f>[5]trip_summary_region!C316</f>
        <v>2043</v>
      </c>
      <c r="D316">
        <f>[5]trip_summary_region!D316</f>
        <v>6</v>
      </c>
      <c r="E316">
        <f>[5]trip_summary_region!E316</f>
        <v>33</v>
      </c>
      <c r="F316">
        <f>[5]trip_summary_region!F316</f>
        <v>1.4293067497</v>
      </c>
      <c r="G316">
        <f>[5]trip_summary_region!G316</f>
        <v>10.824450626999999</v>
      </c>
      <c r="H316">
        <f>[5]trip_summary_region!H316</f>
        <v>0.29172253380000002</v>
      </c>
      <c r="I316" t="str">
        <f>[5]trip_summary_region!I316</f>
        <v>Non-Household Travel</v>
      </c>
      <c r="J316" t="str">
        <f>[5]trip_summary_region!J316</f>
        <v>2042/43</v>
      </c>
    </row>
    <row r="317" spans="1:10" x14ac:dyDescent="0.2">
      <c r="A317" t="str">
        <f>[5]trip_summary_region!A317</f>
        <v>05 GISBORNE</v>
      </c>
      <c r="B317">
        <f>[5]trip_summary_region!B317</f>
        <v>0</v>
      </c>
      <c r="C317">
        <f>[5]trip_summary_region!C317</f>
        <v>2013</v>
      </c>
      <c r="D317">
        <f>[5]trip_summary_region!D317</f>
        <v>242</v>
      </c>
      <c r="E317">
        <f>[5]trip_summary_region!E317</f>
        <v>910</v>
      </c>
      <c r="F317">
        <f>[5]trip_summary_region!F317</f>
        <v>12.564280467</v>
      </c>
      <c r="G317">
        <f>[5]trip_summary_region!G317</f>
        <v>7.5635235767999998</v>
      </c>
      <c r="H317">
        <f>[5]trip_summary_region!H317</f>
        <v>2.2694063563000002</v>
      </c>
      <c r="I317" t="str">
        <f>[5]trip_summary_region!I317</f>
        <v>Pedestrian</v>
      </c>
      <c r="J317" t="str">
        <f>[5]trip_summary_region!J317</f>
        <v>2012/13</v>
      </c>
    </row>
    <row r="318" spans="1:10" x14ac:dyDescent="0.2">
      <c r="A318" t="str">
        <f>[5]trip_summary_region!A318</f>
        <v>05 GISBORNE</v>
      </c>
      <c r="B318">
        <f>[5]trip_summary_region!B318</f>
        <v>0</v>
      </c>
      <c r="C318">
        <f>[5]trip_summary_region!C318</f>
        <v>2018</v>
      </c>
      <c r="D318">
        <f>[5]trip_summary_region!D318</f>
        <v>242</v>
      </c>
      <c r="E318">
        <f>[5]trip_summary_region!E318</f>
        <v>910</v>
      </c>
      <c r="F318">
        <f>[5]trip_summary_region!F318</f>
        <v>12.142408828000001</v>
      </c>
      <c r="G318">
        <f>[5]trip_summary_region!G318</f>
        <v>7.3214013378000002</v>
      </c>
      <c r="H318">
        <f>[5]trip_summary_region!H318</f>
        <v>2.1641548165</v>
      </c>
      <c r="I318" t="str">
        <f>[5]trip_summary_region!I318</f>
        <v>Pedestrian</v>
      </c>
      <c r="J318" t="str">
        <f>[5]trip_summary_region!J318</f>
        <v>2017/18</v>
      </c>
    </row>
    <row r="319" spans="1:10" x14ac:dyDescent="0.2">
      <c r="A319" t="str">
        <f>[5]trip_summary_region!A319</f>
        <v>05 GISBORNE</v>
      </c>
      <c r="B319">
        <f>[5]trip_summary_region!B319</f>
        <v>0</v>
      </c>
      <c r="C319">
        <f>[5]trip_summary_region!C319</f>
        <v>2023</v>
      </c>
      <c r="D319">
        <f>[5]trip_summary_region!D319</f>
        <v>242</v>
      </c>
      <c r="E319">
        <f>[5]trip_summary_region!E319</f>
        <v>910</v>
      </c>
      <c r="F319">
        <f>[5]trip_summary_region!F319</f>
        <v>11.767292482</v>
      </c>
      <c r="G319">
        <f>[5]trip_summary_region!G319</f>
        <v>7.1354192753000003</v>
      </c>
      <c r="H319">
        <f>[5]trip_summary_region!H319</f>
        <v>2.0719221305</v>
      </c>
      <c r="I319" t="str">
        <f>[5]trip_summary_region!I319</f>
        <v>Pedestrian</v>
      </c>
      <c r="J319" t="str">
        <f>[5]trip_summary_region!J319</f>
        <v>2022/23</v>
      </c>
    </row>
    <row r="320" spans="1:10" x14ac:dyDescent="0.2">
      <c r="A320" t="str">
        <f>[5]trip_summary_region!A320</f>
        <v>05 GISBORNE</v>
      </c>
      <c r="B320">
        <f>[5]trip_summary_region!B320</f>
        <v>0</v>
      </c>
      <c r="C320">
        <f>[5]trip_summary_region!C320</f>
        <v>2028</v>
      </c>
      <c r="D320">
        <f>[5]trip_summary_region!D320</f>
        <v>242</v>
      </c>
      <c r="E320">
        <f>[5]trip_summary_region!E320</f>
        <v>910</v>
      </c>
      <c r="F320">
        <f>[5]trip_summary_region!F320</f>
        <v>11.476670889999999</v>
      </c>
      <c r="G320">
        <f>[5]trip_summary_region!G320</f>
        <v>7.0845506903000004</v>
      </c>
      <c r="H320">
        <f>[5]trip_summary_region!H320</f>
        <v>2.0198531966000002</v>
      </c>
      <c r="I320" t="str">
        <f>[5]trip_summary_region!I320</f>
        <v>Pedestrian</v>
      </c>
      <c r="J320" t="str">
        <f>[5]trip_summary_region!J320</f>
        <v>2027/28</v>
      </c>
    </row>
    <row r="321" spans="1:10" x14ac:dyDescent="0.2">
      <c r="A321" t="str">
        <f>[5]trip_summary_region!A321</f>
        <v>05 GISBORNE</v>
      </c>
      <c r="B321">
        <f>[5]trip_summary_region!B321</f>
        <v>0</v>
      </c>
      <c r="C321">
        <f>[5]trip_summary_region!C321</f>
        <v>2033</v>
      </c>
      <c r="D321">
        <f>[5]trip_summary_region!D321</f>
        <v>242</v>
      </c>
      <c r="E321">
        <f>[5]trip_summary_region!E321</f>
        <v>910</v>
      </c>
      <c r="F321">
        <f>[5]trip_summary_region!F321</f>
        <v>11.121824289999999</v>
      </c>
      <c r="G321">
        <f>[5]trip_summary_region!G321</f>
        <v>7.0042001376999998</v>
      </c>
      <c r="H321">
        <f>[5]trip_summary_region!H321</f>
        <v>1.9644710477</v>
      </c>
      <c r="I321" t="str">
        <f>[5]trip_summary_region!I321</f>
        <v>Pedestrian</v>
      </c>
      <c r="J321" t="str">
        <f>[5]trip_summary_region!J321</f>
        <v>2032/33</v>
      </c>
    </row>
    <row r="322" spans="1:10" x14ac:dyDescent="0.2">
      <c r="A322" t="str">
        <f>[5]trip_summary_region!A322</f>
        <v>05 GISBORNE</v>
      </c>
      <c r="B322">
        <f>[5]trip_summary_region!B322</f>
        <v>0</v>
      </c>
      <c r="C322">
        <f>[5]trip_summary_region!C322</f>
        <v>2038</v>
      </c>
      <c r="D322">
        <f>[5]trip_summary_region!D322</f>
        <v>242</v>
      </c>
      <c r="E322">
        <f>[5]trip_summary_region!E322</f>
        <v>910</v>
      </c>
      <c r="F322">
        <f>[5]trip_summary_region!F322</f>
        <v>10.745820267999999</v>
      </c>
      <c r="G322">
        <f>[5]trip_summary_region!G322</f>
        <v>6.8425320151999998</v>
      </c>
      <c r="H322">
        <f>[5]trip_summary_region!H322</f>
        <v>1.901496155</v>
      </c>
      <c r="I322" t="str">
        <f>[5]trip_summary_region!I322</f>
        <v>Pedestrian</v>
      </c>
      <c r="J322" t="str">
        <f>[5]trip_summary_region!J322</f>
        <v>2037/38</v>
      </c>
    </row>
    <row r="323" spans="1:10" x14ac:dyDescent="0.2">
      <c r="A323" t="str">
        <f>[5]trip_summary_region!A323</f>
        <v>05 GISBORNE</v>
      </c>
      <c r="B323">
        <f>[5]trip_summary_region!B323</f>
        <v>0</v>
      </c>
      <c r="C323">
        <f>[5]trip_summary_region!C323</f>
        <v>2043</v>
      </c>
      <c r="D323">
        <f>[5]trip_summary_region!D323</f>
        <v>242</v>
      </c>
      <c r="E323">
        <f>[5]trip_summary_region!E323</f>
        <v>910</v>
      </c>
      <c r="F323">
        <f>[5]trip_summary_region!F323</f>
        <v>10.370735619</v>
      </c>
      <c r="G323">
        <f>[5]trip_summary_region!G323</f>
        <v>6.7007903966000004</v>
      </c>
      <c r="H323">
        <f>[5]trip_summary_region!H323</f>
        <v>1.8387176058000001</v>
      </c>
      <c r="I323" t="str">
        <f>[5]trip_summary_region!I323</f>
        <v>Pedestrian</v>
      </c>
      <c r="J323" t="str">
        <f>[5]trip_summary_region!J323</f>
        <v>2042/43</v>
      </c>
    </row>
    <row r="324" spans="1:10" x14ac:dyDescent="0.2">
      <c r="A324" t="str">
        <f>[5]trip_summary_region!A324</f>
        <v>05 GISBORNE</v>
      </c>
      <c r="B324">
        <f>[5]trip_summary_region!B324</f>
        <v>1</v>
      </c>
      <c r="C324">
        <f>[5]trip_summary_region!C324</f>
        <v>2013</v>
      </c>
      <c r="D324">
        <f>[5]trip_summary_region!D324</f>
        <v>27</v>
      </c>
      <c r="E324">
        <f>[5]trip_summary_region!E324</f>
        <v>100</v>
      </c>
      <c r="F324">
        <f>[5]trip_summary_region!F324</f>
        <v>1.1119455742</v>
      </c>
      <c r="G324">
        <f>[5]trip_summary_region!G324</f>
        <v>3.8031873472000002</v>
      </c>
      <c r="H324">
        <f>[5]trip_summary_region!H324</f>
        <v>0.28046850410000002</v>
      </c>
      <c r="I324" t="str">
        <f>[5]trip_summary_region!I324</f>
        <v>Cyclist</v>
      </c>
      <c r="J324" t="str">
        <f>[5]trip_summary_region!J324</f>
        <v>2012/13</v>
      </c>
    </row>
    <row r="325" spans="1:10" x14ac:dyDescent="0.2">
      <c r="A325" t="str">
        <f>[5]trip_summary_region!A325</f>
        <v>05 GISBORNE</v>
      </c>
      <c r="B325">
        <f>[5]trip_summary_region!B325</f>
        <v>1</v>
      </c>
      <c r="C325">
        <f>[5]trip_summary_region!C325</f>
        <v>2018</v>
      </c>
      <c r="D325">
        <f>[5]trip_summary_region!D325</f>
        <v>27</v>
      </c>
      <c r="E325">
        <f>[5]trip_summary_region!E325</f>
        <v>100</v>
      </c>
      <c r="F325">
        <f>[5]trip_summary_region!F325</f>
        <v>1.0683317897</v>
      </c>
      <c r="G325">
        <f>[5]trip_summary_region!G325</f>
        <v>3.4550945738999999</v>
      </c>
      <c r="H325">
        <f>[5]trip_summary_region!H325</f>
        <v>0.26040143449999997</v>
      </c>
      <c r="I325" t="str">
        <f>[5]trip_summary_region!I325</f>
        <v>Cyclist</v>
      </c>
      <c r="J325" t="str">
        <f>[5]trip_summary_region!J325</f>
        <v>2017/18</v>
      </c>
    </row>
    <row r="326" spans="1:10" x14ac:dyDescent="0.2">
      <c r="A326" t="str">
        <f>[5]trip_summary_region!A326</f>
        <v>05 GISBORNE</v>
      </c>
      <c r="B326">
        <f>[5]trip_summary_region!B326</f>
        <v>1</v>
      </c>
      <c r="C326">
        <f>[5]trip_summary_region!C326</f>
        <v>2023</v>
      </c>
      <c r="D326">
        <f>[5]trip_summary_region!D326</f>
        <v>27</v>
      </c>
      <c r="E326">
        <f>[5]trip_summary_region!E326</f>
        <v>100</v>
      </c>
      <c r="F326">
        <f>[5]trip_summary_region!F326</f>
        <v>1.0468345075000001</v>
      </c>
      <c r="G326">
        <f>[5]trip_summary_region!G326</f>
        <v>3.2670618392000002</v>
      </c>
      <c r="H326">
        <f>[5]trip_summary_region!H326</f>
        <v>0.2472953483</v>
      </c>
      <c r="I326" t="str">
        <f>[5]trip_summary_region!I326</f>
        <v>Cyclist</v>
      </c>
      <c r="J326" t="str">
        <f>[5]trip_summary_region!J326</f>
        <v>2022/23</v>
      </c>
    </row>
    <row r="327" spans="1:10" x14ac:dyDescent="0.2">
      <c r="A327" t="str">
        <f>[5]trip_summary_region!A327</f>
        <v>05 GISBORNE</v>
      </c>
      <c r="B327">
        <f>[5]trip_summary_region!B327</f>
        <v>1</v>
      </c>
      <c r="C327">
        <f>[5]trip_summary_region!C327</f>
        <v>2028</v>
      </c>
      <c r="D327">
        <f>[5]trip_summary_region!D327</f>
        <v>27</v>
      </c>
      <c r="E327">
        <f>[5]trip_summary_region!E327</f>
        <v>100</v>
      </c>
      <c r="F327">
        <f>[5]trip_summary_region!F327</f>
        <v>1.0269517094</v>
      </c>
      <c r="G327">
        <f>[5]trip_summary_region!G327</f>
        <v>3.1325375879999999</v>
      </c>
      <c r="H327">
        <f>[5]trip_summary_region!H327</f>
        <v>0.23550375069999999</v>
      </c>
      <c r="I327" t="str">
        <f>[5]trip_summary_region!I327</f>
        <v>Cyclist</v>
      </c>
      <c r="J327" t="str">
        <f>[5]trip_summary_region!J327</f>
        <v>2027/28</v>
      </c>
    </row>
    <row r="328" spans="1:10" x14ac:dyDescent="0.2">
      <c r="A328" t="str">
        <f>[5]trip_summary_region!A328</f>
        <v>05 GISBORNE</v>
      </c>
      <c r="B328">
        <f>[5]trip_summary_region!B328</f>
        <v>1</v>
      </c>
      <c r="C328">
        <f>[5]trip_summary_region!C328</f>
        <v>2033</v>
      </c>
      <c r="D328">
        <f>[5]trip_summary_region!D328</f>
        <v>27</v>
      </c>
      <c r="E328">
        <f>[5]trip_summary_region!E328</f>
        <v>100</v>
      </c>
      <c r="F328">
        <f>[5]trip_summary_region!F328</f>
        <v>0.98680121229999995</v>
      </c>
      <c r="G328">
        <f>[5]trip_summary_region!G328</f>
        <v>2.9482601467</v>
      </c>
      <c r="H328">
        <f>[5]trip_summary_region!H328</f>
        <v>0.22260464660000001</v>
      </c>
      <c r="I328" t="str">
        <f>[5]trip_summary_region!I328</f>
        <v>Cyclist</v>
      </c>
      <c r="J328" t="str">
        <f>[5]trip_summary_region!J328</f>
        <v>2032/33</v>
      </c>
    </row>
    <row r="329" spans="1:10" x14ac:dyDescent="0.2">
      <c r="A329" t="str">
        <f>[5]trip_summary_region!A329</f>
        <v>05 GISBORNE</v>
      </c>
      <c r="B329">
        <f>[5]trip_summary_region!B329</f>
        <v>1</v>
      </c>
      <c r="C329">
        <f>[5]trip_summary_region!C329</f>
        <v>2038</v>
      </c>
      <c r="D329">
        <f>[5]trip_summary_region!D329</f>
        <v>27</v>
      </c>
      <c r="E329">
        <f>[5]trip_summary_region!E329</f>
        <v>100</v>
      </c>
      <c r="F329">
        <f>[5]trip_summary_region!F329</f>
        <v>0.94008986439999997</v>
      </c>
      <c r="G329">
        <f>[5]trip_summary_region!G329</f>
        <v>2.7203872609999999</v>
      </c>
      <c r="H329">
        <f>[5]trip_summary_region!H329</f>
        <v>0.20927199660000001</v>
      </c>
      <c r="I329" t="str">
        <f>[5]trip_summary_region!I329</f>
        <v>Cyclist</v>
      </c>
      <c r="J329" t="str">
        <f>[5]trip_summary_region!J329</f>
        <v>2037/38</v>
      </c>
    </row>
    <row r="330" spans="1:10" x14ac:dyDescent="0.2">
      <c r="A330" t="str">
        <f>[5]trip_summary_region!A330</f>
        <v>05 GISBORNE</v>
      </c>
      <c r="B330">
        <f>[5]trip_summary_region!B330</f>
        <v>1</v>
      </c>
      <c r="C330">
        <f>[5]trip_summary_region!C330</f>
        <v>2043</v>
      </c>
      <c r="D330">
        <f>[5]trip_summary_region!D330</f>
        <v>27</v>
      </c>
      <c r="E330">
        <f>[5]trip_summary_region!E330</f>
        <v>100</v>
      </c>
      <c r="F330">
        <f>[5]trip_summary_region!F330</f>
        <v>0.89187500519999996</v>
      </c>
      <c r="G330">
        <f>[5]trip_summary_region!G330</f>
        <v>2.4983628373000002</v>
      </c>
      <c r="H330">
        <f>[5]trip_summary_region!H330</f>
        <v>0.1958051804</v>
      </c>
      <c r="I330" t="str">
        <f>[5]trip_summary_region!I330</f>
        <v>Cyclist</v>
      </c>
      <c r="J330" t="str">
        <f>[5]trip_summary_region!J330</f>
        <v>2042/43</v>
      </c>
    </row>
    <row r="331" spans="1:10" x14ac:dyDescent="0.2">
      <c r="A331" t="str">
        <f>[5]trip_summary_region!A331</f>
        <v>05 GISBORNE</v>
      </c>
      <c r="B331">
        <f>[5]trip_summary_region!B331</f>
        <v>2</v>
      </c>
      <c r="C331">
        <f>[5]trip_summary_region!C331</f>
        <v>2013</v>
      </c>
      <c r="D331">
        <f>[5]trip_summary_region!D331</f>
        <v>319</v>
      </c>
      <c r="E331">
        <f>[5]trip_summary_region!E331</f>
        <v>2307</v>
      </c>
      <c r="F331">
        <f>[5]trip_summary_region!F331</f>
        <v>28.776347379000001</v>
      </c>
      <c r="G331">
        <f>[5]trip_summary_region!G331</f>
        <v>241.40144318</v>
      </c>
      <c r="H331">
        <f>[5]trip_summary_region!H331</f>
        <v>6.0182660548999998</v>
      </c>
      <c r="I331" t="str">
        <f>[5]trip_summary_region!I331</f>
        <v>Light Vehicle Driver</v>
      </c>
      <c r="J331" t="str">
        <f>[5]trip_summary_region!J331</f>
        <v>2012/13</v>
      </c>
    </row>
    <row r="332" spans="1:10" x14ac:dyDescent="0.2">
      <c r="A332" t="str">
        <f>[5]trip_summary_region!A332</f>
        <v>05 GISBORNE</v>
      </c>
      <c r="B332">
        <f>[5]trip_summary_region!B332</f>
        <v>2</v>
      </c>
      <c r="C332">
        <f>[5]trip_summary_region!C332</f>
        <v>2018</v>
      </c>
      <c r="D332">
        <f>[5]trip_summary_region!D332</f>
        <v>319</v>
      </c>
      <c r="E332">
        <f>[5]trip_summary_region!E332</f>
        <v>2307</v>
      </c>
      <c r="F332">
        <f>[5]trip_summary_region!F332</f>
        <v>29.443132583000001</v>
      </c>
      <c r="G332">
        <f>[5]trip_summary_region!G332</f>
        <v>251.56359605</v>
      </c>
      <c r="H332">
        <f>[5]trip_summary_region!H332</f>
        <v>6.2491095284</v>
      </c>
      <c r="I332" t="str">
        <f>[5]trip_summary_region!I332</f>
        <v>Light Vehicle Driver</v>
      </c>
      <c r="J332" t="str">
        <f>[5]trip_summary_region!J332</f>
        <v>2017/18</v>
      </c>
    </row>
    <row r="333" spans="1:10" x14ac:dyDescent="0.2">
      <c r="A333" t="str">
        <f>[5]trip_summary_region!A333</f>
        <v>05 GISBORNE</v>
      </c>
      <c r="B333">
        <f>[5]trip_summary_region!B333</f>
        <v>2</v>
      </c>
      <c r="C333">
        <f>[5]trip_summary_region!C333</f>
        <v>2023</v>
      </c>
      <c r="D333">
        <f>[5]trip_summary_region!D333</f>
        <v>319</v>
      </c>
      <c r="E333">
        <f>[5]trip_summary_region!E333</f>
        <v>2307</v>
      </c>
      <c r="F333">
        <f>[5]trip_summary_region!F333</f>
        <v>29.525948649</v>
      </c>
      <c r="G333">
        <f>[5]trip_summary_region!G333</f>
        <v>254.27543401</v>
      </c>
      <c r="H333">
        <f>[5]trip_summary_region!H333</f>
        <v>6.3254718859999999</v>
      </c>
      <c r="I333" t="str">
        <f>[5]trip_summary_region!I333</f>
        <v>Light Vehicle Driver</v>
      </c>
      <c r="J333" t="str">
        <f>[5]trip_summary_region!J333</f>
        <v>2022/23</v>
      </c>
    </row>
    <row r="334" spans="1:10" x14ac:dyDescent="0.2">
      <c r="A334" t="str">
        <f>[5]trip_summary_region!A334</f>
        <v>05 GISBORNE</v>
      </c>
      <c r="B334">
        <f>[5]trip_summary_region!B334</f>
        <v>2</v>
      </c>
      <c r="C334">
        <f>[5]trip_summary_region!C334</f>
        <v>2028</v>
      </c>
      <c r="D334">
        <f>[5]trip_summary_region!D334</f>
        <v>319</v>
      </c>
      <c r="E334">
        <f>[5]trip_summary_region!E334</f>
        <v>2307</v>
      </c>
      <c r="F334">
        <f>[5]trip_summary_region!F334</f>
        <v>29.310806385999999</v>
      </c>
      <c r="G334">
        <f>[5]trip_summary_region!G334</f>
        <v>253.19937268999999</v>
      </c>
      <c r="H334">
        <f>[5]trip_summary_region!H334</f>
        <v>6.3241445859000001</v>
      </c>
      <c r="I334" t="str">
        <f>[5]trip_summary_region!I334</f>
        <v>Light Vehicle Driver</v>
      </c>
      <c r="J334" t="str">
        <f>[5]trip_summary_region!J334</f>
        <v>2027/28</v>
      </c>
    </row>
    <row r="335" spans="1:10" x14ac:dyDescent="0.2">
      <c r="A335" t="str">
        <f>[5]trip_summary_region!A335</f>
        <v>05 GISBORNE</v>
      </c>
      <c r="B335">
        <f>[5]trip_summary_region!B335</f>
        <v>2</v>
      </c>
      <c r="C335">
        <f>[5]trip_summary_region!C335</f>
        <v>2033</v>
      </c>
      <c r="D335">
        <f>[5]trip_summary_region!D335</f>
        <v>319</v>
      </c>
      <c r="E335">
        <f>[5]trip_summary_region!E335</f>
        <v>2307</v>
      </c>
      <c r="F335">
        <f>[5]trip_summary_region!F335</f>
        <v>28.926517855</v>
      </c>
      <c r="G335">
        <f>[5]trip_summary_region!G335</f>
        <v>251.24364360999999</v>
      </c>
      <c r="H335">
        <f>[5]trip_summary_region!H335</f>
        <v>6.2854819881999999</v>
      </c>
      <c r="I335" t="str">
        <f>[5]trip_summary_region!I335</f>
        <v>Light Vehicle Driver</v>
      </c>
      <c r="J335" t="str">
        <f>[5]trip_summary_region!J335</f>
        <v>2032/33</v>
      </c>
    </row>
    <row r="336" spans="1:10" x14ac:dyDescent="0.2">
      <c r="A336" t="str">
        <f>[5]trip_summary_region!A336</f>
        <v>05 GISBORNE</v>
      </c>
      <c r="B336">
        <f>[5]trip_summary_region!B336</f>
        <v>2</v>
      </c>
      <c r="C336">
        <f>[5]trip_summary_region!C336</f>
        <v>2038</v>
      </c>
      <c r="D336">
        <f>[5]trip_summary_region!D336</f>
        <v>319</v>
      </c>
      <c r="E336">
        <f>[5]trip_summary_region!E336</f>
        <v>2307</v>
      </c>
      <c r="F336">
        <f>[5]trip_summary_region!F336</f>
        <v>28.561166501999999</v>
      </c>
      <c r="G336">
        <f>[5]trip_summary_region!G336</f>
        <v>249.18902521000001</v>
      </c>
      <c r="H336">
        <f>[5]trip_summary_region!H336</f>
        <v>6.2443405288999996</v>
      </c>
      <c r="I336" t="str">
        <f>[5]trip_summary_region!I336</f>
        <v>Light Vehicle Driver</v>
      </c>
      <c r="J336" t="str">
        <f>[5]trip_summary_region!J336</f>
        <v>2037/38</v>
      </c>
    </row>
    <row r="337" spans="1:10" x14ac:dyDescent="0.2">
      <c r="A337" t="str">
        <f>[5]trip_summary_region!A337</f>
        <v>05 GISBORNE</v>
      </c>
      <c r="B337">
        <f>[5]trip_summary_region!B337</f>
        <v>2</v>
      </c>
      <c r="C337">
        <f>[5]trip_summary_region!C337</f>
        <v>2043</v>
      </c>
      <c r="D337">
        <f>[5]trip_summary_region!D337</f>
        <v>319</v>
      </c>
      <c r="E337">
        <f>[5]trip_summary_region!E337</f>
        <v>2307</v>
      </c>
      <c r="F337">
        <f>[5]trip_summary_region!F337</f>
        <v>28.121779471</v>
      </c>
      <c r="G337">
        <f>[5]trip_summary_region!G337</f>
        <v>246.26123222000001</v>
      </c>
      <c r="H337">
        <f>[5]trip_summary_region!H337</f>
        <v>6.1860664785999999</v>
      </c>
      <c r="I337" t="str">
        <f>[5]trip_summary_region!I337</f>
        <v>Light Vehicle Driver</v>
      </c>
      <c r="J337" t="str">
        <f>[5]trip_summary_region!J337</f>
        <v>2042/43</v>
      </c>
    </row>
    <row r="338" spans="1:10" x14ac:dyDescent="0.2">
      <c r="A338" t="str">
        <f>[5]trip_summary_region!A338</f>
        <v>05 GISBORNE</v>
      </c>
      <c r="B338">
        <f>[5]trip_summary_region!B338</f>
        <v>3</v>
      </c>
      <c r="C338">
        <f>[5]trip_summary_region!C338</f>
        <v>2013</v>
      </c>
      <c r="D338">
        <f>[5]trip_summary_region!D338</f>
        <v>278</v>
      </c>
      <c r="E338">
        <f>[5]trip_summary_region!E338</f>
        <v>1431</v>
      </c>
      <c r="F338">
        <f>[5]trip_summary_region!F338</f>
        <v>18.791024854</v>
      </c>
      <c r="G338">
        <f>[5]trip_summary_region!G338</f>
        <v>174.74236519999999</v>
      </c>
      <c r="H338">
        <f>[5]trip_summary_region!H338</f>
        <v>4.5909579553000004</v>
      </c>
      <c r="I338" t="str">
        <f>[5]trip_summary_region!I338</f>
        <v>Light Vehicle Passenger</v>
      </c>
      <c r="J338" t="str">
        <f>[5]trip_summary_region!J338</f>
        <v>2012/13</v>
      </c>
    </row>
    <row r="339" spans="1:10" x14ac:dyDescent="0.2">
      <c r="A339" t="str">
        <f>[5]trip_summary_region!A339</f>
        <v>05 GISBORNE</v>
      </c>
      <c r="B339">
        <f>[5]trip_summary_region!B339</f>
        <v>3</v>
      </c>
      <c r="C339">
        <f>[5]trip_summary_region!C339</f>
        <v>2018</v>
      </c>
      <c r="D339">
        <f>[5]trip_summary_region!D339</f>
        <v>278</v>
      </c>
      <c r="E339">
        <f>[5]trip_summary_region!E339</f>
        <v>1431</v>
      </c>
      <c r="F339">
        <f>[5]trip_summary_region!F339</f>
        <v>17.671432620000001</v>
      </c>
      <c r="G339">
        <f>[5]trip_summary_region!G339</f>
        <v>165.91769871</v>
      </c>
      <c r="H339">
        <f>[5]trip_summary_region!H339</f>
        <v>4.3965142607000001</v>
      </c>
      <c r="I339" t="str">
        <f>[5]trip_summary_region!I339</f>
        <v>Light Vehicle Passenger</v>
      </c>
      <c r="J339" t="str">
        <f>[5]trip_summary_region!J339</f>
        <v>2017/18</v>
      </c>
    </row>
    <row r="340" spans="1:10" x14ac:dyDescent="0.2">
      <c r="A340" t="str">
        <f>[5]trip_summary_region!A340</f>
        <v>05 GISBORNE</v>
      </c>
      <c r="B340">
        <f>[5]trip_summary_region!B340</f>
        <v>3</v>
      </c>
      <c r="C340">
        <f>[5]trip_summary_region!C340</f>
        <v>2023</v>
      </c>
      <c r="D340">
        <f>[5]trip_summary_region!D340</f>
        <v>278</v>
      </c>
      <c r="E340">
        <f>[5]trip_summary_region!E340</f>
        <v>1431</v>
      </c>
      <c r="F340">
        <f>[5]trip_summary_region!F340</f>
        <v>16.709269882000001</v>
      </c>
      <c r="G340">
        <f>[5]trip_summary_region!G340</f>
        <v>158.59136022000001</v>
      </c>
      <c r="H340">
        <f>[5]trip_summary_region!H340</f>
        <v>4.2195789627</v>
      </c>
      <c r="I340" t="str">
        <f>[5]trip_summary_region!I340</f>
        <v>Light Vehicle Passenger</v>
      </c>
      <c r="J340" t="str">
        <f>[5]trip_summary_region!J340</f>
        <v>2022/23</v>
      </c>
    </row>
    <row r="341" spans="1:10" x14ac:dyDescent="0.2">
      <c r="A341" t="str">
        <f>[5]trip_summary_region!A341</f>
        <v>05 GISBORNE</v>
      </c>
      <c r="B341">
        <f>[5]trip_summary_region!B341</f>
        <v>3</v>
      </c>
      <c r="C341">
        <f>[5]trip_summary_region!C341</f>
        <v>2028</v>
      </c>
      <c r="D341">
        <f>[5]trip_summary_region!D341</f>
        <v>278</v>
      </c>
      <c r="E341">
        <f>[5]trip_summary_region!E341</f>
        <v>1431</v>
      </c>
      <c r="F341">
        <f>[5]trip_summary_region!F341</f>
        <v>16.001085391</v>
      </c>
      <c r="G341">
        <f>[5]trip_summary_region!G341</f>
        <v>154.27993871000001</v>
      </c>
      <c r="H341">
        <f>[5]trip_summary_region!H341</f>
        <v>4.1145001251000002</v>
      </c>
      <c r="I341" t="str">
        <f>[5]trip_summary_region!I341</f>
        <v>Light Vehicle Passenger</v>
      </c>
      <c r="J341" t="str">
        <f>[5]trip_summary_region!J341</f>
        <v>2027/28</v>
      </c>
    </row>
    <row r="342" spans="1:10" x14ac:dyDescent="0.2">
      <c r="A342" t="str">
        <f>[5]trip_summary_region!A342</f>
        <v>05 GISBORNE</v>
      </c>
      <c r="B342">
        <f>[5]trip_summary_region!B342</f>
        <v>3</v>
      </c>
      <c r="C342">
        <f>[5]trip_summary_region!C342</f>
        <v>2033</v>
      </c>
      <c r="D342">
        <f>[5]trip_summary_region!D342</f>
        <v>278</v>
      </c>
      <c r="E342">
        <f>[5]trip_summary_region!E342</f>
        <v>1431</v>
      </c>
      <c r="F342">
        <f>[5]trip_summary_region!F342</f>
        <v>15.359200202</v>
      </c>
      <c r="G342">
        <f>[5]trip_summary_region!G342</f>
        <v>148.29510931999999</v>
      </c>
      <c r="H342">
        <f>[5]trip_summary_region!H342</f>
        <v>3.9722447651000001</v>
      </c>
      <c r="I342" t="str">
        <f>[5]trip_summary_region!I342</f>
        <v>Light Vehicle Passenger</v>
      </c>
      <c r="J342" t="str">
        <f>[5]trip_summary_region!J342</f>
        <v>2032/33</v>
      </c>
    </row>
    <row r="343" spans="1:10" x14ac:dyDescent="0.2">
      <c r="A343" t="str">
        <f>[5]trip_summary_region!A343</f>
        <v>05 GISBORNE</v>
      </c>
      <c r="B343">
        <f>[5]trip_summary_region!B343</f>
        <v>3</v>
      </c>
      <c r="C343">
        <f>[5]trip_summary_region!C343</f>
        <v>2038</v>
      </c>
      <c r="D343">
        <f>[5]trip_summary_region!D343</f>
        <v>278</v>
      </c>
      <c r="E343">
        <f>[5]trip_summary_region!E343</f>
        <v>1431</v>
      </c>
      <c r="F343">
        <f>[5]trip_summary_region!F343</f>
        <v>14.893223539999999</v>
      </c>
      <c r="G343">
        <f>[5]trip_summary_region!G343</f>
        <v>143.30285739999999</v>
      </c>
      <c r="H343">
        <f>[5]trip_summary_region!H343</f>
        <v>3.8820178683000002</v>
      </c>
      <c r="I343" t="str">
        <f>[5]trip_summary_region!I343</f>
        <v>Light Vehicle Passenger</v>
      </c>
      <c r="J343" t="str">
        <f>[5]trip_summary_region!J343</f>
        <v>2037/38</v>
      </c>
    </row>
    <row r="344" spans="1:10" x14ac:dyDescent="0.2">
      <c r="A344" t="str">
        <f>[5]trip_summary_region!A344</f>
        <v>05 GISBORNE</v>
      </c>
      <c r="B344">
        <f>[5]trip_summary_region!B344</f>
        <v>3</v>
      </c>
      <c r="C344">
        <f>[5]trip_summary_region!C344</f>
        <v>2043</v>
      </c>
      <c r="D344">
        <f>[5]trip_summary_region!D344</f>
        <v>278</v>
      </c>
      <c r="E344">
        <f>[5]trip_summary_region!E344</f>
        <v>1431</v>
      </c>
      <c r="F344">
        <f>[5]trip_summary_region!F344</f>
        <v>14.392162568</v>
      </c>
      <c r="G344">
        <f>[5]trip_summary_region!G344</f>
        <v>137.94193118000001</v>
      </c>
      <c r="H344">
        <f>[5]trip_summary_region!H344</f>
        <v>3.7841423748</v>
      </c>
      <c r="I344" t="str">
        <f>[5]trip_summary_region!I344</f>
        <v>Light Vehicle Passenger</v>
      </c>
      <c r="J344" t="str">
        <f>[5]trip_summary_region!J344</f>
        <v>2042/43</v>
      </c>
    </row>
    <row r="345" spans="1:10" x14ac:dyDescent="0.2">
      <c r="A345" t="str">
        <f>[5]trip_summary_region!A345</f>
        <v>05 GISBORNE</v>
      </c>
      <c r="B345">
        <f>[5]trip_summary_region!B345</f>
        <v>4</v>
      </c>
      <c r="C345">
        <f>[5]trip_summary_region!C345</f>
        <v>2013</v>
      </c>
      <c r="D345">
        <f>[5]trip_summary_region!D345</f>
        <v>2</v>
      </c>
      <c r="E345">
        <f>[5]trip_summary_region!E345</f>
        <v>2</v>
      </c>
      <c r="F345">
        <f>[5]trip_summary_region!F345</f>
        <v>2.27015811E-2</v>
      </c>
      <c r="G345">
        <f>[5]trip_summary_region!G345</f>
        <v>0.1174510768</v>
      </c>
      <c r="H345">
        <f>[5]trip_summary_region!H345</f>
        <v>5.0534828E-3</v>
      </c>
      <c r="I345" t="s">
        <v>116</v>
      </c>
      <c r="J345" t="str">
        <f>[5]trip_summary_region!J345</f>
        <v>2012/13</v>
      </c>
    </row>
    <row r="346" spans="1:10" x14ac:dyDescent="0.2">
      <c r="A346" t="str">
        <f>[5]trip_summary_region!A346</f>
        <v>05 GISBORNE</v>
      </c>
      <c r="B346">
        <f>[5]trip_summary_region!B346</f>
        <v>4</v>
      </c>
      <c r="C346">
        <f>[5]trip_summary_region!C346</f>
        <v>2018</v>
      </c>
      <c r="D346">
        <f>[5]trip_summary_region!D346</f>
        <v>2</v>
      </c>
      <c r="E346">
        <f>[5]trip_summary_region!E346</f>
        <v>2</v>
      </c>
      <c r="F346">
        <f>[5]trip_summary_region!F346</f>
        <v>2.4811977400000001E-2</v>
      </c>
      <c r="G346">
        <f>[5]trip_summary_region!G346</f>
        <v>0.1638076577</v>
      </c>
      <c r="H346">
        <f>[5]trip_summary_region!H346</f>
        <v>6.8502542000000001E-3</v>
      </c>
      <c r="I346" t="s">
        <v>116</v>
      </c>
      <c r="J346" t="str">
        <f>[5]trip_summary_region!J346</f>
        <v>2017/18</v>
      </c>
    </row>
    <row r="347" spans="1:10" x14ac:dyDescent="0.2">
      <c r="A347" t="str">
        <f>[5]trip_summary_region!A347</f>
        <v>05 GISBORNE</v>
      </c>
      <c r="B347">
        <f>[5]trip_summary_region!B347</f>
        <v>4</v>
      </c>
      <c r="C347">
        <f>[5]trip_summary_region!C347</f>
        <v>2023</v>
      </c>
      <c r="D347">
        <f>[5]trip_summary_region!D347</f>
        <v>2</v>
      </c>
      <c r="E347">
        <f>[5]trip_summary_region!E347</f>
        <v>2</v>
      </c>
      <c r="F347">
        <f>[5]trip_summary_region!F347</f>
        <v>2.9629036300000001E-2</v>
      </c>
      <c r="G347">
        <f>[5]trip_summary_region!G347</f>
        <v>0.23694604799999999</v>
      </c>
      <c r="H347">
        <f>[5]trip_summary_region!H347</f>
        <v>9.7280309999999998E-3</v>
      </c>
      <c r="I347" t="s">
        <v>116</v>
      </c>
      <c r="J347" t="str">
        <f>[5]trip_summary_region!J347</f>
        <v>2022/23</v>
      </c>
    </row>
    <row r="348" spans="1:10" x14ac:dyDescent="0.2">
      <c r="A348" t="str">
        <f>[5]trip_summary_region!A348</f>
        <v>05 GISBORNE</v>
      </c>
      <c r="B348">
        <f>[5]trip_summary_region!B348</f>
        <v>4</v>
      </c>
      <c r="C348">
        <f>[5]trip_summary_region!C348</f>
        <v>2028</v>
      </c>
      <c r="D348">
        <f>[5]trip_summary_region!D348</f>
        <v>2</v>
      </c>
      <c r="E348">
        <f>[5]trip_summary_region!E348</f>
        <v>2</v>
      </c>
      <c r="F348">
        <f>[5]trip_summary_region!F348</f>
        <v>3.7503022300000001E-2</v>
      </c>
      <c r="G348">
        <f>[5]trip_summary_region!G348</f>
        <v>0.34430738779999998</v>
      </c>
      <c r="H348">
        <f>[5]trip_summary_region!H348</f>
        <v>1.39755626E-2</v>
      </c>
      <c r="I348" t="s">
        <v>116</v>
      </c>
      <c r="J348" t="str">
        <f>[5]trip_summary_region!J348</f>
        <v>2027/28</v>
      </c>
    </row>
    <row r="349" spans="1:10" x14ac:dyDescent="0.2">
      <c r="A349" t="str">
        <f>[5]trip_summary_region!A349</f>
        <v>05 GISBORNE</v>
      </c>
      <c r="B349">
        <f>[5]trip_summary_region!B349</f>
        <v>4</v>
      </c>
      <c r="C349">
        <f>[5]trip_summary_region!C349</f>
        <v>2033</v>
      </c>
      <c r="D349">
        <f>[5]trip_summary_region!D349</f>
        <v>2</v>
      </c>
      <c r="E349">
        <f>[5]trip_summary_region!E349</f>
        <v>2</v>
      </c>
      <c r="F349">
        <f>[5]trip_summary_region!F349</f>
        <v>4.5445870399999998E-2</v>
      </c>
      <c r="G349">
        <f>[5]trip_summary_region!G349</f>
        <v>0.46271353910000002</v>
      </c>
      <c r="H349">
        <f>[5]trip_summary_region!H349</f>
        <v>1.8638658499999999E-2</v>
      </c>
      <c r="I349" t="s">
        <v>116</v>
      </c>
      <c r="J349" t="str">
        <f>[5]trip_summary_region!J349</f>
        <v>2032/33</v>
      </c>
    </row>
    <row r="350" spans="1:10" x14ac:dyDescent="0.2">
      <c r="A350" t="str">
        <f>[5]trip_summary_region!A350</f>
        <v>05 GISBORNE</v>
      </c>
      <c r="B350">
        <f>[5]trip_summary_region!B350</f>
        <v>4</v>
      </c>
      <c r="C350">
        <f>[5]trip_summary_region!C350</f>
        <v>2038</v>
      </c>
      <c r="D350">
        <f>[5]trip_summary_region!D350</f>
        <v>2</v>
      </c>
      <c r="E350">
        <f>[5]trip_summary_region!E350</f>
        <v>2</v>
      </c>
      <c r="F350">
        <f>[5]trip_summary_region!F350</f>
        <v>5.17664787E-2</v>
      </c>
      <c r="G350">
        <f>[5]trip_summary_region!G350</f>
        <v>0.54845742289999999</v>
      </c>
      <c r="H350">
        <f>[5]trip_summary_region!H350</f>
        <v>2.2031865599999999E-2</v>
      </c>
      <c r="I350" t="s">
        <v>116</v>
      </c>
      <c r="J350" t="str">
        <f>[5]trip_summary_region!J350</f>
        <v>2037/38</v>
      </c>
    </row>
    <row r="351" spans="1:10" x14ac:dyDescent="0.2">
      <c r="A351" t="str">
        <f>[5]trip_summary_region!A351</f>
        <v>05 GISBORNE</v>
      </c>
      <c r="B351">
        <f>[5]trip_summary_region!B351</f>
        <v>4</v>
      </c>
      <c r="C351">
        <f>[5]trip_summary_region!C351</f>
        <v>2043</v>
      </c>
      <c r="D351">
        <f>[5]trip_summary_region!D351</f>
        <v>2</v>
      </c>
      <c r="E351">
        <f>[5]trip_summary_region!E351</f>
        <v>2</v>
      </c>
      <c r="F351">
        <f>[5]trip_summary_region!F351</f>
        <v>5.9023290700000001E-2</v>
      </c>
      <c r="G351">
        <f>[5]trip_summary_region!G351</f>
        <v>0.64775924309999999</v>
      </c>
      <c r="H351">
        <f>[5]trip_summary_region!H351</f>
        <v>2.5959785799999999E-2</v>
      </c>
      <c r="I351" t="s">
        <v>116</v>
      </c>
      <c r="J351" t="str">
        <f>[5]trip_summary_region!J351</f>
        <v>2042/43</v>
      </c>
    </row>
    <row r="352" spans="1:10" x14ac:dyDescent="0.2">
      <c r="A352" t="str">
        <f>[5]trip_summary_region!A352</f>
        <v>05 GISBORNE</v>
      </c>
      <c r="B352">
        <f>[5]trip_summary_region!B352</f>
        <v>5</v>
      </c>
      <c r="C352">
        <f>[5]trip_summary_region!C352</f>
        <v>2013</v>
      </c>
      <c r="D352">
        <f>[5]trip_summary_region!D352</f>
        <v>3</v>
      </c>
      <c r="E352">
        <f>[5]trip_summary_region!E352</f>
        <v>16</v>
      </c>
      <c r="F352">
        <f>[5]trip_summary_region!F352</f>
        <v>0.20072163900000001</v>
      </c>
      <c r="G352">
        <f>[5]trip_summary_region!G352</f>
        <v>0.95186353219999997</v>
      </c>
      <c r="H352">
        <f>[5]trip_summary_region!H352</f>
        <v>4.6418087199999999E-2</v>
      </c>
      <c r="I352" t="str">
        <f>[5]trip_summary_region!I352</f>
        <v>Motorcyclist</v>
      </c>
      <c r="J352" t="str">
        <f>[5]trip_summary_region!J352</f>
        <v>2012/13</v>
      </c>
    </row>
    <row r="353" spans="1:10" x14ac:dyDescent="0.2">
      <c r="A353" t="str">
        <f>[5]trip_summary_region!A353</f>
        <v>05 GISBORNE</v>
      </c>
      <c r="B353">
        <f>[5]trip_summary_region!B353</f>
        <v>5</v>
      </c>
      <c r="C353">
        <f>[5]trip_summary_region!C353</f>
        <v>2018</v>
      </c>
      <c r="D353">
        <f>[5]trip_summary_region!D353</f>
        <v>3</v>
      </c>
      <c r="E353">
        <f>[5]trip_summary_region!E353</f>
        <v>16</v>
      </c>
      <c r="F353">
        <f>[5]trip_summary_region!F353</f>
        <v>0.2021256957</v>
      </c>
      <c r="G353">
        <f>[5]trip_summary_region!G353</f>
        <v>0.98749501529999995</v>
      </c>
      <c r="H353">
        <f>[5]trip_summary_region!H353</f>
        <v>4.68425944E-2</v>
      </c>
      <c r="I353" t="str">
        <f>[5]trip_summary_region!I353</f>
        <v>Motorcyclist</v>
      </c>
      <c r="J353" t="str">
        <f>[5]trip_summary_region!J353</f>
        <v>2017/18</v>
      </c>
    </row>
    <row r="354" spans="1:10" x14ac:dyDescent="0.2">
      <c r="A354" t="str">
        <f>[5]trip_summary_region!A354</f>
        <v>05 GISBORNE</v>
      </c>
      <c r="B354">
        <f>[5]trip_summary_region!B354</f>
        <v>5</v>
      </c>
      <c r="C354">
        <f>[5]trip_summary_region!C354</f>
        <v>2023</v>
      </c>
      <c r="D354">
        <f>[5]trip_summary_region!D354</f>
        <v>3</v>
      </c>
      <c r="E354">
        <f>[5]trip_summary_region!E354</f>
        <v>16</v>
      </c>
      <c r="F354">
        <f>[5]trip_summary_region!F354</f>
        <v>0.19350012259999999</v>
      </c>
      <c r="G354">
        <f>[5]trip_summary_region!G354</f>
        <v>0.97068374609999997</v>
      </c>
      <c r="H354">
        <f>[5]trip_summary_region!H354</f>
        <v>4.4957090800000002E-2</v>
      </c>
      <c r="I354" t="str">
        <f>[5]trip_summary_region!I354</f>
        <v>Motorcyclist</v>
      </c>
      <c r="J354" t="str">
        <f>[5]trip_summary_region!J354</f>
        <v>2022/23</v>
      </c>
    </row>
    <row r="355" spans="1:10" x14ac:dyDescent="0.2">
      <c r="A355" t="str">
        <f>[5]trip_summary_region!A355</f>
        <v>05 GISBORNE</v>
      </c>
      <c r="B355">
        <f>[5]trip_summary_region!B355</f>
        <v>5</v>
      </c>
      <c r="C355">
        <f>[5]trip_summary_region!C355</f>
        <v>2028</v>
      </c>
      <c r="D355">
        <f>[5]trip_summary_region!D355</f>
        <v>3</v>
      </c>
      <c r="E355">
        <f>[5]trip_summary_region!E355</f>
        <v>16</v>
      </c>
      <c r="F355">
        <f>[5]trip_summary_region!F355</f>
        <v>0.17843270510000001</v>
      </c>
      <c r="G355">
        <f>[5]trip_summary_region!G355</f>
        <v>0.92017352600000002</v>
      </c>
      <c r="H355">
        <f>[5]trip_summary_region!H355</f>
        <v>4.1729614200000001E-2</v>
      </c>
      <c r="I355" t="str">
        <f>[5]trip_summary_region!I355</f>
        <v>Motorcyclist</v>
      </c>
      <c r="J355" t="str">
        <f>[5]trip_summary_region!J355</f>
        <v>2027/28</v>
      </c>
    </row>
    <row r="356" spans="1:10" x14ac:dyDescent="0.2">
      <c r="A356" t="str">
        <f>[5]trip_summary_region!A356</f>
        <v>05 GISBORNE</v>
      </c>
      <c r="B356">
        <f>[5]trip_summary_region!B356</f>
        <v>5</v>
      </c>
      <c r="C356">
        <f>[5]trip_summary_region!C356</f>
        <v>2033</v>
      </c>
      <c r="D356">
        <f>[5]trip_summary_region!D356</f>
        <v>3</v>
      </c>
      <c r="E356">
        <f>[5]trip_summary_region!E356</f>
        <v>16</v>
      </c>
      <c r="F356">
        <f>[5]trip_summary_region!F356</f>
        <v>0.16463461169999999</v>
      </c>
      <c r="G356">
        <f>[5]trip_summary_region!G356</f>
        <v>0.85173746500000003</v>
      </c>
      <c r="H356">
        <f>[5]trip_summary_region!H356</f>
        <v>3.8688853799999999E-2</v>
      </c>
      <c r="I356" t="str">
        <f>[5]trip_summary_region!I356</f>
        <v>Motorcyclist</v>
      </c>
      <c r="J356" t="str">
        <f>[5]trip_summary_region!J356</f>
        <v>2032/33</v>
      </c>
    </row>
    <row r="357" spans="1:10" x14ac:dyDescent="0.2">
      <c r="A357" t="str">
        <f>[5]trip_summary_region!A357</f>
        <v>05 GISBORNE</v>
      </c>
      <c r="B357">
        <f>[5]trip_summary_region!B357</f>
        <v>5</v>
      </c>
      <c r="C357">
        <f>[5]trip_summary_region!C357</f>
        <v>2038</v>
      </c>
      <c r="D357">
        <f>[5]trip_summary_region!D357</f>
        <v>3</v>
      </c>
      <c r="E357">
        <f>[5]trip_summary_region!E357</f>
        <v>16</v>
      </c>
      <c r="F357">
        <f>[5]trip_summary_region!F357</f>
        <v>0.1536602088</v>
      </c>
      <c r="G357">
        <f>[5]trip_summary_region!G357</f>
        <v>0.78405372780000004</v>
      </c>
      <c r="H357">
        <f>[5]trip_summary_region!H357</f>
        <v>3.6190141199999998E-2</v>
      </c>
      <c r="I357" t="str">
        <f>[5]trip_summary_region!I357</f>
        <v>Motorcyclist</v>
      </c>
      <c r="J357" t="str">
        <f>[5]trip_summary_region!J357</f>
        <v>2037/38</v>
      </c>
    </row>
    <row r="358" spans="1:10" x14ac:dyDescent="0.2">
      <c r="A358" t="str">
        <f>[5]trip_summary_region!A358</f>
        <v>05 GISBORNE</v>
      </c>
      <c r="B358">
        <f>[5]trip_summary_region!B358</f>
        <v>5</v>
      </c>
      <c r="C358">
        <f>[5]trip_summary_region!C358</f>
        <v>2043</v>
      </c>
      <c r="D358">
        <f>[5]trip_summary_region!D358</f>
        <v>3</v>
      </c>
      <c r="E358">
        <f>[5]trip_summary_region!E358</f>
        <v>16</v>
      </c>
      <c r="F358">
        <f>[5]trip_summary_region!F358</f>
        <v>0.14195436249999999</v>
      </c>
      <c r="G358">
        <f>[5]trip_summary_region!G358</f>
        <v>0.71635773290000004</v>
      </c>
      <c r="H358">
        <f>[5]trip_summary_region!H358</f>
        <v>3.3522573700000002E-2</v>
      </c>
      <c r="I358" t="str">
        <f>[5]trip_summary_region!I358</f>
        <v>Motorcyclist</v>
      </c>
      <c r="J358" t="str">
        <f>[5]trip_summary_region!J358</f>
        <v>2042/43</v>
      </c>
    </row>
    <row r="359" spans="1:10" x14ac:dyDescent="0.2">
      <c r="A359" t="str">
        <f>[5]trip_summary_region!A359</f>
        <v>05 GISBORNE</v>
      </c>
      <c r="B359">
        <f>[5]trip_summary_region!B359</f>
        <v>6</v>
      </c>
      <c r="C359">
        <f>[5]trip_summary_region!C359</f>
        <v>2013</v>
      </c>
      <c r="D359">
        <f>[5]trip_summary_region!D359</f>
        <v>1</v>
      </c>
      <c r="E359">
        <f>[5]trip_summary_region!E359</f>
        <v>3</v>
      </c>
      <c r="F359">
        <f>[5]trip_summary_region!F359</f>
        <v>2.2764127700000001E-2</v>
      </c>
      <c r="G359">
        <f>[5]trip_summary_region!G359</f>
        <v>0</v>
      </c>
      <c r="H359">
        <f>[5]trip_summary_region!H359</f>
        <v>2.5293475000000001E-3</v>
      </c>
      <c r="I359" t="str">
        <f>[5]trip_summary_region!I359</f>
        <v>Local Train</v>
      </c>
      <c r="J359" t="str">
        <f>[5]trip_summary_region!J359</f>
        <v>2012/13</v>
      </c>
    </row>
    <row r="360" spans="1:10" x14ac:dyDescent="0.2">
      <c r="A360" t="str">
        <f>[5]trip_summary_region!A360</f>
        <v>05 GISBORNE</v>
      </c>
      <c r="B360">
        <f>[5]trip_summary_region!B360</f>
        <v>6</v>
      </c>
      <c r="C360">
        <f>[5]trip_summary_region!C360</f>
        <v>2018</v>
      </c>
      <c r="D360">
        <f>[5]trip_summary_region!D360</f>
        <v>1</v>
      </c>
      <c r="E360">
        <f>[5]trip_summary_region!E360</f>
        <v>3</v>
      </c>
      <c r="F360">
        <f>[5]trip_summary_region!F360</f>
        <v>3.4434643500000001E-2</v>
      </c>
      <c r="G360">
        <f>[5]trip_summary_region!G360</f>
        <v>0</v>
      </c>
      <c r="H360">
        <f>[5]trip_summary_region!H360</f>
        <v>3.8260715000000001E-3</v>
      </c>
      <c r="I360" t="str">
        <f>[5]trip_summary_region!I360</f>
        <v>Local Train</v>
      </c>
      <c r="J360" t="str">
        <f>[5]trip_summary_region!J360</f>
        <v>2017/18</v>
      </c>
    </row>
    <row r="361" spans="1:10" x14ac:dyDescent="0.2">
      <c r="A361" t="str">
        <f>[5]trip_summary_region!A361</f>
        <v>05 GISBORNE</v>
      </c>
      <c r="B361">
        <f>[5]trip_summary_region!B361</f>
        <v>6</v>
      </c>
      <c r="C361">
        <f>[5]trip_summary_region!C361</f>
        <v>2023</v>
      </c>
      <c r="D361">
        <f>[5]trip_summary_region!D361</f>
        <v>1</v>
      </c>
      <c r="E361">
        <f>[5]trip_summary_region!E361</f>
        <v>3</v>
      </c>
      <c r="F361">
        <f>[5]trip_summary_region!F361</f>
        <v>5.2264401500000002E-2</v>
      </c>
      <c r="G361">
        <f>[5]trip_summary_region!G361</f>
        <v>0</v>
      </c>
      <c r="H361">
        <f>[5]trip_summary_region!H361</f>
        <v>5.8071557000000003E-3</v>
      </c>
      <c r="I361" t="str">
        <f>[5]trip_summary_region!I361</f>
        <v>Local Train</v>
      </c>
      <c r="J361" t="str">
        <f>[5]trip_summary_region!J361</f>
        <v>2022/23</v>
      </c>
    </row>
    <row r="362" spans="1:10" x14ac:dyDescent="0.2">
      <c r="A362" t="str">
        <f>[5]trip_summary_region!A362</f>
        <v>05 GISBORNE</v>
      </c>
      <c r="B362">
        <f>[5]trip_summary_region!B362</f>
        <v>6</v>
      </c>
      <c r="C362">
        <f>[5]trip_summary_region!C362</f>
        <v>2028</v>
      </c>
      <c r="D362">
        <f>[5]trip_summary_region!D362</f>
        <v>1</v>
      </c>
      <c r="E362">
        <f>[5]trip_summary_region!E362</f>
        <v>3</v>
      </c>
      <c r="F362">
        <f>[5]trip_summary_region!F362</f>
        <v>7.8122237299999994E-2</v>
      </c>
      <c r="G362">
        <f>[5]trip_summary_region!G362</f>
        <v>0</v>
      </c>
      <c r="H362">
        <f>[5]trip_summary_region!H362</f>
        <v>8.6802486000000009E-3</v>
      </c>
      <c r="I362" t="str">
        <f>[5]trip_summary_region!I362</f>
        <v>Local Train</v>
      </c>
      <c r="J362" t="str">
        <f>[5]trip_summary_region!J362</f>
        <v>2027/28</v>
      </c>
    </row>
    <row r="363" spans="1:10" x14ac:dyDescent="0.2">
      <c r="A363" t="str">
        <f>[5]trip_summary_region!A363</f>
        <v>05 GISBORNE</v>
      </c>
      <c r="B363">
        <f>[5]trip_summary_region!B363</f>
        <v>6</v>
      </c>
      <c r="C363">
        <f>[5]trip_summary_region!C363</f>
        <v>2033</v>
      </c>
      <c r="D363">
        <f>[5]trip_summary_region!D363</f>
        <v>1</v>
      </c>
      <c r="E363">
        <f>[5]trip_summary_region!E363</f>
        <v>3</v>
      </c>
      <c r="F363">
        <f>[5]trip_summary_region!F363</f>
        <v>0.106930819</v>
      </c>
      <c r="G363">
        <f>[5]trip_summary_region!G363</f>
        <v>0</v>
      </c>
      <c r="H363">
        <f>[5]trip_summary_region!H363</f>
        <v>1.18812021E-2</v>
      </c>
      <c r="I363" t="str">
        <f>[5]trip_summary_region!I363</f>
        <v>Local Train</v>
      </c>
      <c r="J363" t="str">
        <f>[5]trip_summary_region!J363</f>
        <v>2032/33</v>
      </c>
    </row>
    <row r="364" spans="1:10" x14ac:dyDescent="0.2">
      <c r="A364" t="str">
        <f>[5]trip_summary_region!A364</f>
        <v>05 GISBORNE</v>
      </c>
      <c r="B364">
        <f>[5]trip_summary_region!B364</f>
        <v>6</v>
      </c>
      <c r="C364">
        <f>[5]trip_summary_region!C364</f>
        <v>2038</v>
      </c>
      <c r="D364">
        <f>[5]trip_summary_region!D364</f>
        <v>1</v>
      </c>
      <c r="E364">
        <f>[5]trip_summary_region!E364</f>
        <v>3</v>
      </c>
      <c r="F364">
        <f>[5]trip_summary_region!F364</f>
        <v>0.12756954540000001</v>
      </c>
      <c r="G364">
        <f>[5]trip_summary_region!G364</f>
        <v>0</v>
      </c>
      <c r="H364">
        <f>[5]trip_summary_region!H364</f>
        <v>1.41743939E-2</v>
      </c>
      <c r="I364" t="str">
        <f>[5]trip_summary_region!I364</f>
        <v>Local Train</v>
      </c>
      <c r="J364" t="str">
        <f>[5]trip_summary_region!J364</f>
        <v>2037/38</v>
      </c>
    </row>
    <row r="365" spans="1:10" x14ac:dyDescent="0.2">
      <c r="A365" t="str">
        <f>[5]trip_summary_region!A365</f>
        <v>05 GISBORNE</v>
      </c>
      <c r="B365">
        <f>[5]trip_summary_region!B365</f>
        <v>6</v>
      </c>
      <c r="C365">
        <f>[5]trip_summary_region!C365</f>
        <v>2043</v>
      </c>
      <c r="D365">
        <f>[5]trip_summary_region!D365</f>
        <v>1</v>
      </c>
      <c r="E365">
        <f>[5]trip_summary_region!E365</f>
        <v>3</v>
      </c>
      <c r="F365">
        <f>[5]trip_summary_region!F365</f>
        <v>0.15149648299999999</v>
      </c>
      <c r="G365">
        <f>[5]trip_summary_region!G365</f>
        <v>0</v>
      </c>
      <c r="H365">
        <f>[5]trip_summary_region!H365</f>
        <v>1.6832942600000001E-2</v>
      </c>
      <c r="I365" t="str">
        <f>[5]trip_summary_region!I365</f>
        <v>Local Train</v>
      </c>
      <c r="J365" t="str">
        <f>[5]trip_summary_region!J365</f>
        <v>2042/43</v>
      </c>
    </row>
    <row r="366" spans="1:10" x14ac:dyDescent="0.2">
      <c r="A366" t="str">
        <f>[5]trip_summary_region!A366</f>
        <v>05 GISBORNE</v>
      </c>
      <c r="B366">
        <f>[5]trip_summary_region!B366</f>
        <v>7</v>
      </c>
      <c r="C366">
        <f>[5]trip_summary_region!C366</f>
        <v>2013</v>
      </c>
      <c r="D366">
        <f>[5]trip_summary_region!D366</f>
        <v>18</v>
      </c>
      <c r="E366">
        <f>[5]trip_summary_region!E366</f>
        <v>34</v>
      </c>
      <c r="F366">
        <f>[5]trip_summary_region!F366</f>
        <v>0.39415976190000002</v>
      </c>
      <c r="G366">
        <f>[5]trip_summary_region!G366</f>
        <v>4.8778387282000004</v>
      </c>
      <c r="H366">
        <f>[5]trip_summary_region!H366</f>
        <v>0.17812381360000001</v>
      </c>
      <c r="I366" t="str">
        <f>[5]trip_summary_region!I366</f>
        <v>Local Bus</v>
      </c>
      <c r="J366" t="str">
        <f>[5]trip_summary_region!J366</f>
        <v>2012/13</v>
      </c>
    </row>
    <row r="367" spans="1:10" x14ac:dyDescent="0.2">
      <c r="A367" t="str">
        <f>[5]trip_summary_region!A367</f>
        <v>05 GISBORNE</v>
      </c>
      <c r="B367">
        <f>[5]trip_summary_region!B367</f>
        <v>7</v>
      </c>
      <c r="C367">
        <f>[5]trip_summary_region!C367</f>
        <v>2018</v>
      </c>
      <c r="D367">
        <f>[5]trip_summary_region!D367</f>
        <v>18</v>
      </c>
      <c r="E367">
        <f>[5]trip_summary_region!E367</f>
        <v>34</v>
      </c>
      <c r="F367">
        <f>[5]trip_summary_region!F367</f>
        <v>0.35686035490000001</v>
      </c>
      <c r="G367">
        <f>[5]trip_summary_region!G367</f>
        <v>4.3745403245999999</v>
      </c>
      <c r="H367">
        <f>[5]trip_summary_region!H367</f>
        <v>0.16129306030000001</v>
      </c>
      <c r="I367" t="str">
        <f>[5]trip_summary_region!I367</f>
        <v>Local Bus</v>
      </c>
      <c r="J367" t="str">
        <f>[5]trip_summary_region!J367</f>
        <v>2017/18</v>
      </c>
    </row>
    <row r="368" spans="1:10" x14ac:dyDescent="0.2">
      <c r="A368" t="str">
        <f>[5]trip_summary_region!A368</f>
        <v>05 GISBORNE</v>
      </c>
      <c r="B368">
        <f>[5]trip_summary_region!B368</f>
        <v>7</v>
      </c>
      <c r="C368">
        <f>[5]trip_summary_region!C368</f>
        <v>2023</v>
      </c>
      <c r="D368">
        <f>[5]trip_summary_region!D368</f>
        <v>18</v>
      </c>
      <c r="E368">
        <f>[5]trip_summary_region!E368</f>
        <v>34</v>
      </c>
      <c r="F368">
        <f>[5]trip_summary_region!F368</f>
        <v>0.33600546850000002</v>
      </c>
      <c r="G368">
        <f>[5]trip_summary_region!G368</f>
        <v>4.0372990479000004</v>
      </c>
      <c r="H368">
        <f>[5]trip_summary_region!H368</f>
        <v>0.15210868250000001</v>
      </c>
      <c r="I368" t="str">
        <f>[5]trip_summary_region!I368</f>
        <v>Local Bus</v>
      </c>
      <c r="J368" t="str">
        <f>[5]trip_summary_region!J368</f>
        <v>2022/23</v>
      </c>
    </row>
    <row r="369" spans="1:10" x14ac:dyDescent="0.2">
      <c r="A369" t="str">
        <f>[5]trip_summary_region!A369</f>
        <v>05 GISBORNE</v>
      </c>
      <c r="B369">
        <f>[5]trip_summary_region!B369</f>
        <v>7</v>
      </c>
      <c r="C369">
        <f>[5]trip_summary_region!C369</f>
        <v>2028</v>
      </c>
      <c r="D369">
        <f>[5]trip_summary_region!D369</f>
        <v>18</v>
      </c>
      <c r="E369">
        <f>[5]trip_summary_region!E369</f>
        <v>34</v>
      </c>
      <c r="F369">
        <f>[5]trip_summary_region!F369</f>
        <v>0.33883576570000001</v>
      </c>
      <c r="G369">
        <f>[5]trip_summary_region!G369</f>
        <v>3.9517236578000001</v>
      </c>
      <c r="H369">
        <f>[5]trip_summary_region!H369</f>
        <v>0.15247802060000001</v>
      </c>
      <c r="I369" t="str">
        <f>[5]trip_summary_region!I369</f>
        <v>Local Bus</v>
      </c>
      <c r="J369" t="str">
        <f>[5]trip_summary_region!J369</f>
        <v>2027/28</v>
      </c>
    </row>
    <row r="370" spans="1:10" x14ac:dyDescent="0.2">
      <c r="A370" t="str">
        <f>[5]trip_summary_region!A370</f>
        <v>05 GISBORNE</v>
      </c>
      <c r="B370">
        <f>[5]trip_summary_region!B370</f>
        <v>7</v>
      </c>
      <c r="C370">
        <f>[5]trip_summary_region!C370</f>
        <v>2033</v>
      </c>
      <c r="D370">
        <f>[5]trip_summary_region!D370</f>
        <v>18</v>
      </c>
      <c r="E370">
        <f>[5]trip_summary_region!E370</f>
        <v>34</v>
      </c>
      <c r="F370">
        <f>[5]trip_summary_region!F370</f>
        <v>0.34490867069999998</v>
      </c>
      <c r="G370">
        <f>[5]trip_summary_region!G370</f>
        <v>3.6798282111999998</v>
      </c>
      <c r="H370">
        <f>[5]trip_summary_region!H370</f>
        <v>0.15217471990000001</v>
      </c>
      <c r="I370" t="str">
        <f>[5]trip_summary_region!I370</f>
        <v>Local Bus</v>
      </c>
      <c r="J370" t="str">
        <f>[5]trip_summary_region!J370</f>
        <v>2032/33</v>
      </c>
    </row>
    <row r="371" spans="1:10" x14ac:dyDescent="0.2">
      <c r="A371" t="str">
        <f>[5]trip_summary_region!A371</f>
        <v>05 GISBORNE</v>
      </c>
      <c r="B371">
        <f>[5]trip_summary_region!B371</f>
        <v>7</v>
      </c>
      <c r="C371">
        <f>[5]trip_summary_region!C371</f>
        <v>2038</v>
      </c>
      <c r="D371">
        <f>[5]trip_summary_region!D371</f>
        <v>18</v>
      </c>
      <c r="E371">
        <f>[5]trip_summary_region!E371</f>
        <v>34</v>
      </c>
      <c r="F371">
        <f>[5]trip_summary_region!F371</f>
        <v>0.34785918659999998</v>
      </c>
      <c r="G371">
        <f>[5]trip_summary_region!G371</f>
        <v>3.6314756244000002</v>
      </c>
      <c r="H371">
        <f>[5]trip_summary_region!H371</f>
        <v>0.15475789549999999</v>
      </c>
      <c r="I371" t="str">
        <f>[5]trip_summary_region!I371</f>
        <v>Local Bus</v>
      </c>
      <c r="J371" t="str">
        <f>[5]trip_summary_region!J371</f>
        <v>2037/38</v>
      </c>
    </row>
    <row r="372" spans="1:10" x14ac:dyDescent="0.2">
      <c r="A372" t="str">
        <f>[5]trip_summary_region!A372</f>
        <v>05 GISBORNE</v>
      </c>
      <c r="B372">
        <f>[5]trip_summary_region!B372</f>
        <v>7</v>
      </c>
      <c r="C372">
        <f>[5]trip_summary_region!C372</f>
        <v>2043</v>
      </c>
      <c r="D372">
        <f>[5]trip_summary_region!D372</f>
        <v>18</v>
      </c>
      <c r="E372">
        <f>[5]trip_summary_region!E372</f>
        <v>34</v>
      </c>
      <c r="F372">
        <f>[5]trip_summary_region!F372</f>
        <v>0.35373411329999999</v>
      </c>
      <c r="G372">
        <f>[5]trip_summary_region!G372</f>
        <v>3.5762527427999999</v>
      </c>
      <c r="H372">
        <f>[5]trip_summary_region!H372</f>
        <v>0.15817257330000001</v>
      </c>
      <c r="I372" t="str">
        <f>[5]trip_summary_region!I372</f>
        <v>Local Bus</v>
      </c>
      <c r="J372" t="str">
        <f>[5]trip_summary_region!J372</f>
        <v>2042/43</v>
      </c>
    </row>
    <row r="373" spans="1:10" x14ac:dyDescent="0.2">
      <c r="A373" t="str">
        <f>[5]trip_summary_region!A373</f>
        <v>05 GISBORNE</v>
      </c>
      <c r="B373">
        <f>[5]trip_summary_region!B373</f>
        <v>8</v>
      </c>
      <c r="C373">
        <f>[5]trip_summary_region!C373</f>
        <v>2013</v>
      </c>
      <c r="D373">
        <f>[5]trip_summary_region!D373</f>
        <v>1</v>
      </c>
      <c r="E373">
        <f>[5]trip_summary_region!E373</f>
        <v>2</v>
      </c>
      <c r="F373">
        <f>[5]trip_summary_region!F373</f>
        <v>1.5651153399999999E-2</v>
      </c>
      <c r="G373">
        <f>[5]trip_summary_region!G373</f>
        <v>0</v>
      </c>
      <c r="H373">
        <f>[5]trip_summary_region!H373</f>
        <v>6.5213138999999998E-3</v>
      </c>
      <c r="I373" t="str">
        <f>[5]trip_summary_region!I373</f>
        <v>Local Ferry</v>
      </c>
      <c r="J373" t="str">
        <f>[5]trip_summary_region!J373</f>
        <v>2012/13</v>
      </c>
    </row>
    <row r="374" spans="1:10" x14ac:dyDescent="0.2">
      <c r="A374" t="str">
        <f>[5]trip_summary_region!A374</f>
        <v>05 GISBORNE</v>
      </c>
      <c r="B374">
        <f>[5]trip_summary_region!B374</f>
        <v>8</v>
      </c>
      <c r="C374">
        <f>[5]trip_summary_region!C374</f>
        <v>2018</v>
      </c>
      <c r="D374">
        <f>[5]trip_summary_region!D374</f>
        <v>1</v>
      </c>
      <c r="E374">
        <f>[5]trip_summary_region!E374</f>
        <v>2</v>
      </c>
      <c r="F374">
        <f>[5]trip_summary_region!F374</f>
        <v>1.5020386300000001E-2</v>
      </c>
      <c r="G374">
        <f>[5]trip_summary_region!G374</f>
        <v>0</v>
      </c>
      <c r="H374">
        <f>[5]trip_summary_region!H374</f>
        <v>6.2584943000000004E-3</v>
      </c>
      <c r="I374" t="str">
        <f>[5]trip_summary_region!I374</f>
        <v>Local Ferry</v>
      </c>
      <c r="J374" t="str">
        <f>[5]trip_summary_region!J374</f>
        <v>2017/18</v>
      </c>
    </row>
    <row r="375" spans="1:10" x14ac:dyDescent="0.2">
      <c r="A375" t="str">
        <f>[5]trip_summary_region!A375</f>
        <v>05 GISBORNE</v>
      </c>
      <c r="B375">
        <f>[5]trip_summary_region!B375</f>
        <v>8</v>
      </c>
      <c r="C375">
        <f>[5]trip_summary_region!C375</f>
        <v>2023</v>
      </c>
      <c r="D375">
        <f>[5]trip_summary_region!D375</f>
        <v>1</v>
      </c>
      <c r="E375">
        <f>[5]trip_summary_region!E375</f>
        <v>2</v>
      </c>
      <c r="F375">
        <f>[5]trip_summary_region!F375</f>
        <v>1.4228919499999999E-2</v>
      </c>
      <c r="G375">
        <f>[5]trip_summary_region!G375</f>
        <v>0</v>
      </c>
      <c r="H375">
        <f>[5]trip_summary_region!H375</f>
        <v>5.9287165000000003E-3</v>
      </c>
      <c r="I375" t="str">
        <f>[5]trip_summary_region!I375</f>
        <v>Local Ferry</v>
      </c>
      <c r="J375" t="str">
        <f>[5]trip_summary_region!J375</f>
        <v>2022/23</v>
      </c>
    </row>
    <row r="376" spans="1:10" x14ac:dyDescent="0.2">
      <c r="A376" t="str">
        <f>[5]trip_summary_region!A376</f>
        <v>05 GISBORNE</v>
      </c>
      <c r="B376">
        <f>[5]trip_summary_region!B376</f>
        <v>8</v>
      </c>
      <c r="C376">
        <f>[5]trip_summary_region!C376</f>
        <v>2028</v>
      </c>
      <c r="D376">
        <f>[5]trip_summary_region!D376</f>
        <v>1</v>
      </c>
      <c r="E376">
        <f>[5]trip_summary_region!E376</f>
        <v>2</v>
      </c>
      <c r="F376">
        <f>[5]trip_summary_region!F376</f>
        <v>1.2986311400000001E-2</v>
      </c>
      <c r="G376">
        <f>[5]trip_summary_region!G376</f>
        <v>0</v>
      </c>
      <c r="H376">
        <f>[5]trip_summary_region!H376</f>
        <v>5.4109631E-3</v>
      </c>
      <c r="I376" t="str">
        <f>[5]trip_summary_region!I376</f>
        <v>Local Ferry</v>
      </c>
      <c r="J376" t="str">
        <f>[5]trip_summary_region!J376</f>
        <v>2027/28</v>
      </c>
    </row>
    <row r="377" spans="1:10" x14ac:dyDescent="0.2">
      <c r="A377" t="str">
        <f>[5]trip_summary_region!A377</f>
        <v>05 GISBORNE</v>
      </c>
      <c r="B377">
        <f>[5]trip_summary_region!B377</f>
        <v>8</v>
      </c>
      <c r="C377">
        <f>[5]trip_summary_region!C377</f>
        <v>2033</v>
      </c>
      <c r="D377">
        <f>[5]trip_summary_region!D377</f>
        <v>1</v>
      </c>
      <c r="E377">
        <f>[5]trip_summary_region!E377</f>
        <v>2</v>
      </c>
      <c r="F377">
        <f>[5]trip_summary_region!F377</f>
        <v>1.34539477E-2</v>
      </c>
      <c r="G377">
        <f>[5]trip_summary_region!G377</f>
        <v>0</v>
      </c>
      <c r="H377">
        <f>[5]trip_summary_region!H377</f>
        <v>5.6058115000000002E-3</v>
      </c>
      <c r="I377" t="str">
        <f>[5]trip_summary_region!I377</f>
        <v>Local Ferry</v>
      </c>
      <c r="J377" t="str">
        <f>[5]trip_summary_region!J377</f>
        <v>2032/33</v>
      </c>
    </row>
    <row r="378" spans="1:10" x14ac:dyDescent="0.2">
      <c r="A378" t="str">
        <f>[5]trip_summary_region!A378</f>
        <v>05 GISBORNE</v>
      </c>
      <c r="B378">
        <f>[5]trip_summary_region!B378</f>
        <v>8</v>
      </c>
      <c r="C378">
        <f>[5]trip_summary_region!C378</f>
        <v>2038</v>
      </c>
      <c r="D378">
        <f>[5]trip_summary_region!D378</f>
        <v>1</v>
      </c>
      <c r="E378">
        <f>[5]trip_summary_region!E378</f>
        <v>2</v>
      </c>
      <c r="F378">
        <f>[5]trip_summary_region!F378</f>
        <v>1.50244121E-2</v>
      </c>
      <c r="G378">
        <f>[5]trip_summary_region!G378</f>
        <v>0</v>
      </c>
      <c r="H378">
        <f>[5]trip_summary_region!H378</f>
        <v>6.2601716999999999E-3</v>
      </c>
      <c r="I378" t="str">
        <f>[5]trip_summary_region!I378</f>
        <v>Local Ferry</v>
      </c>
      <c r="J378" t="str">
        <f>[5]trip_summary_region!J378</f>
        <v>2037/38</v>
      </c>
    </row>
    <row r="379" spans="1:10" x14ac:dyDescent="0.2">
      <c r="A379" t="str">
        <f>[5]trip_summary_region!A379</f>
        <v>05 GISBORNE</v>
      </c>
      <c r="B379">
        <f>[5]trip_summary_region!B379</f>
        <v>8</v>
      </c>
      <c r="C379">
        <f>[5]trip_summary_region!C379</f>
        <v>2043</v>
      </c>
      <c r="D379">
        <f>[5]trip_summary_region!D379</f>
        <v>1</v>
      </c>
      <c r="E379">
        <f>[5]trip_summary_region!E379</f>
        <v>2</v>
      </c>
      <c r="F379">
        <f>[5]trip_summary_region!F379</f>
        <v>1.6544597099999999E-2</v>
      </c>
      <c r="G379">
        <f>[5]trip_summary_region!G379</f>
        <v>0</v>
      </c>
      <c r="H379">
        <f>[5]trip_summary_region!H379</f>
        <v>6.8935821000000001E-3</v>
      </c>
      <c r="I379" t="str">
        <f>[5]trip_summary_region!I379</f>
        <v>Local Ferry</v>
      </c>
      <c r="J379" t="str">
        <f>[5]trip_summary_region!J379</f>
        <v>2042/43</v>
      </c>
    </row>
    <row r="380" spans="1:10" x14ac:dyDescent="0.2">
      <c r="A380" t="str">
        <f>[5]trip_summary_region!A380</f>
        <v>05 GISBORNE</v>
      </c>
      <c r="B380">
        <f>[5]trip_summary_region!B380</f>
        <v>9</v>
      </c>
      <c r="C380">
        <f>[5]trip_summary_region!C380</f>
        <v>2013</v>
      </c>
      <c r="D380">
        <f>[5]trip_summary_region!D380</f>
        <v>1</v>
      </c>
      <c r="E380">
        <f>[5]trip_summary_region!E380</f>
        <v>2</v>
      </c>
      <c r="F380">
        <f>[5]trip_summary_region!F380</f>
        <v>3.13358953E-2</v>
      </c>
      <c r="G380">
        <f>[5]trip_summary_region!G380</f>
        <v>0</v>
      </c>
      <c r="H380">
        <f>[5]trip_summary_region!H380</f>
        <v>5.2226492000000003E-3</v>
      </c>
      <c r="I380" t="str">
        <f>[5]trip_summary_region!I380</f>
        <v>Other Household Travel</v>
      </c>
      <c r="J380" t="str">
        <f>[5]trip_summary_region!J380</f>
        <v>2012/13</v>
      </c>
    </row>
    <row r="381" spans="1:10" x14ac:dyDescent="0.2">
      <c r="A381" t="str">
        <f>[5]trip_summary_region!A381</f>
        <v>05 GISBORNE</v>
      </c>
      <c r="B381">
        <f>[5]trip_summary_region!B381</f>
        <v>9</v>
      </c>
      <c r="C381">
        <f>[5]trip_summary_region!C381</f>
        <v>2018</v>
      </c>
      <c r="D381">
        <f>[5]trip_summary_region!D381</f>
        <v>1</v>
      </c>
      <c r="E381">
        <f>[5]trip_summary_region!E381</f>
        <v>2</v>
      </c>
      <c r="F381">
        <f>[5]trip_summary_region!F381</f>
        <v>2.6646337400000001E-2</v>
      </c>
      <c r="G381">
        <f>[5]trip_summary_region!G381</f>
        <v>0</v>
      </c>
      <c r="H381">
        <f>[5]trip_summary_region!H381</f>
        <v>4.4410561999999997E-3</v>
      </c>
      <c r="I381" t="str">
        <f>[5]trip_summary_region!I381</f>
        <v>Other Household Travel</v>
      </c>
      <c r="J381" t="str">
        <f>[5]trip_summary_region!J381</f>
        <v>2017/18</v>
      </c>
    </row>
    <row r="382" spans="1:10" x14ac:dyDescent="0.2">
      <c r="A382" t="str">
        <f>[5]trip_summary_region!A382</f>
        <v>05 GISBORNE</v>
      </c>
      <c r="B382">
        <f>[5]trip_summary_region!B382</f>
        <v>9</v>
      </c>
      <c r="C382">
        <f>[5]trip_summary_region!C382</f>
        <v>2023</v>
      </c>
      <c r="D382">
        <f>[5]trip_summary_region!D382</f>
        <v>1</v>
      </c>
      <c r="E382">
        <f>[5]trip_summary_region!E382</f>
        <v>2</v>
      </c>
      <c r="F382">
        <f>[5]trip_summary_region!F382</f>
        <v>2.0238863700000002E-2</v>
      </c>
      <c r="G382">
        <f>[5]trip_summary_region!G382</f>
        <v>0</v>
      </c>
      <c r="H382">
        <f>[5]trip_summary_region!H382</f>
        <v>3.3731439999999998E-3</v>
      </c>
      <c r="I382" t="str">
        <f>[5]trip_summary_region!I382</f>
        <v>Other Household Travel</v>
      </c>
      <c r="J382" t="str">
        <f>[5]trip_summary_region!J382</f>
        <v>2022/23</v>
      </c>
    </row>
    <row r="383" spans="1:10" x14ac:dyDescent="0.2">
      <c r="A383" t="str">
        <f>[5]trip_summary_region!A383</f>
        <v>05 GISBORNE</v>
      </c>
      <c r="B383">
        <f>[5]trip_summary_region!B383</f>
        <v>9</v>
      </c>
      <c r="C383">
        <f>[5]trip_summary_region!C383</f>
        <v>2028</v>
      </c>
      <c r="D383">
        <f>[5]trip_summary_region!D383</f>
        <v>1</v>
      </c>
      <c r="E383">
        <f>[5]trip_summary_region!E383</f>
        <v>2</v>
      </c>
      <c r="F383">
        <f>[5]trip_summary_region!F383</f>
        <v>2.0581495299999999E-2</v>
      </c>
      <c r="G383">
        <f>[5]trip_summary_region!G383</f>
        <v>0</v>
      </c>
      <c r="H383">
        <f>[5]trip_summary_region!H383</f>
        <v>3.4302491999999999E-3</v>
      </c>
      <c r="I383" t="str">
        <f>[5]trip_summary_region!I383</f>
        <v>Other Household Travel</v>
      </c>
      <c r="J383" t="str">
        <f>[5]trip_summary_region!J383</f>
        <v>2027/28</v>
      </c>
    </row>
    <row r="384" spans="1:10" x14ac:dyDescent="0.2">
      <c r="A384" t="str">
        <f>[5]trip_summary_region!A384</f>
        <v>05 GISBORNE</v>
      </c>
      <c r="B384">
        <f>[5]trip_summary_region!B384</f>
        <v>9</v>
      </c>
      <c r="C384">
        <f>[5]trip_summary_region!C384</f>
        <v>2033</v>
      </c>
      <c r="D384">
        <f>[5]trip_summary_region!D384</f>
        <v>1</v>
      </c>
      <c r="E384">
        <f>[5]trip_summary_region!E384</f>
        <v>2</v>
      </c>
      <c r="F384">
        <f>[5]trip_summary_region!F384</f>
        <v>1.9836614499999999E-2</v>
      </c>
      <c r="G384">
        <f>[5]trip_summary_region!G384</f>
        <v>0</v>
      </c>
      <c r="H384">
        <f>[5]trip_summary_region!H384</f>
        <v>3.3061024000000001E-3</v>
      </c>
      <c r="I384" t="str">
        <f>[5]trip_summary_region!I384</f>
        <v>Other Household Travel</v>
      </c>
      <c r="J384" t="str">
        <f>[5]trip_summary_region!J384</f>
        <v>2032/33</v>
      </c>
    </row>
    <row r="385" spans="1:10" x14ac:dyDescent="0.2">
      <c r="A385" t="str">
        <f>[5]trip_summary_region!A385</f>
        <v>05 GISBORNE</v>
      </c>
      <c r="B385">
        <f>[5]trip_summary_region!B385</f>
        <v>9</v>
      </c>
      <c r="C385">
        <f>[5]trip_summary_region!C385</f>
        <v>2038</v>
      </c>
      <c r="D385">
        <f>[5]trip_summary_region!D385</f>
        <v>1</v>
      </c>
      <c r="E385">
        <f>[5]trip_summary_region!E385</f>
        <v>2</v>
      </c>
      <c r="F385">
        <f>[5]trip_summary_region!F385</f>
        <v>1.73395015E-2</v>
      </c>
      <c r="G385">
        <f>[5]trip_summary_region!G385</f>
        <v>0</v>
      </c>
      <c r="H385">
        <f>[5]trip_summary_region!H385</f>
        <v>2.8899169000000001E-3</v>
      </c>
      <c r="I385" t="str">
        <f>[5]trip_summary_region!I385</f>
        <v>Other Household Travel</v>
      </c>
      <c r="J385" t="str">
        <f>[5]trip_summary_region!J385</f>
        <v>2037/38</v>
      </c>
    </row>
    <row r="386" spans="1:10" x14ac:dyDescent="0.2">
      <c r="A386" t="str">
        <f>[5]trip_summary_region!A386</f>
        <v>05 GISBORNE</v>
      </c>
      <c r="B386">
        <f>[5]trip_summary_region!B386</f>
        <v>9</v>
      </c>
      <c r="C386">
        <f>[5]trip_summary_region!C386</f>
        <v>2043</v>
      </c>
      <c r="D386">
        <f>[5]trip_summary_region!D386</f>
        <v>1</v>
      </c>
      <c r="E386">
        <f>[5]trip_summary_region!E386</f>
        <v>2</v>
      </c>
      <c r="F386">
        <f>[5]trip_summary_region!F386</f>
        <v>1.48788966E-2</v>
      </c>
      <c r="G386">
        <f>[5]trip_summary_region!G386</f>
        <v>0</v>
      </c>
      <c r="H386">
        <f>[5]trip_summary_region!H386</f>
        <v>2.4798161000000002E-3</v>
      </c>
      <c r="I386" t="str">
        <f>[5]trip_summary_region!I386</f>
        <v>Other Household Travel</v>
      </c>
      <c r="J386" t="str">
        <f>[5]trip_summary_region!J386</f>
        <v>2042/43</v>
      </c>
    </row>
    <row r="387" spans="1:10" x14ac:dyDescent="0.2">
      <c r="A387" t="str">
        <f>[5]trip_summary_region!A387</f>
        <v>05 GISBORNE</v>
      </c>
      <c r="B387">
        <f>[5]trip_summary_region!B387</f>
        <v>10</v>
      </c>
      <c r="C387">
        <f>[5]trip_summary_region!C387</f>
        <v>2013</v>
      </c>
      <c r="D387">
        <f>[5]trip_summary_region!D387</f>
        <v>12</v>
      </c>
      <c r="E387">
        <f>[5]trip_summary_region!E387</f>
        <v>20</v>
      </c>
      <c r="F387">
        <f>[5]trip_summary_region!F387</f>
        <v>0.31271654580000002</v>
      </c>
      <c r="G387">
        <f>[5]trip_summary_region!G387</f>
        <v>23.012948782999999</v>
      </c>
      <c r="H387">
        <f>[5]trip_summary_region!H387</f>
        <v>0.66485160600000004</v>
      </c>
      <c r="I387" t="str">
        <f>[5]trip_summary_region!I387</f>
        <v>Air/Non-Local PT</v>
      </c>
      <c r="J387" t="str">
        <f>[5]trip_summary_region!J387</f>
        <v>2012/13</v>
      </c>
    </row>
    <row r="388" spans="1:10" x14ac:dyDescent="0.2">
      <c r="A388" t="str">
        <f>[5]trip_summary_region!A388</f>
        <v>05 GISBORNE</v>
      </c>
      <c r="B388">
        <f>[5]trip_summary_region!B388</f>
        <v>10</v>
      </c>
      <c r="C388">
        <f>[5]trip_summary_region!C388</f>
        <v>2018</v>
      </c>
      <c r="D388">
        <f>[5]trip_summary_region!D388</f>
        <v>12</v>
      </c>
      <c r="E388">
        <f>[5]trip_summary_region!E388</f>
        <v>20</v>
      </c>
      <c r="F388">
        <f>[5]trip_summary_region!F388</f>
        <v>0.30624986780000002</v>
      </c>
      <c r="G388">
        <f>[5]trip_summary_region!G388</f>
        <v>22.180711374000001</v>
      </c>
      <c r="H388">
        <f>[5]trip_summary_region!H388</f>
        <v>0.63993223870000004</v>
      </c>
      <c r="I388" t="str">
        <f>[5]trip_summary_region!I388</f>
        <v>Air/Non-Local PT</v>
      </c>
      <c r="J388" t="str">
        <f>[5]trip_summary_region!J388</f>
        <v>2017/18</v>
      </c>
    </row>
    <row r="389" spans="1:10" x14ac:dyDescent="0.2">
      <c r="A389" t="str">
        <f>[5]trip_summary_region!A389</f>
        <v>05 GISBORNE</v>
      </c>
      <c r="B389">
        <f>[5]trip_summary_region!B389</f>
        <v>10</v>
      </c>
      <c r="C389">
        <f>[5]trip_summary_region!C389</f>
        <v>2023</v>
      </c>
      <c r="D389">
        <f>[5]trip_summary_region!D389</f>
        <v>12</v>
      </c>
      <c r="E389">
        <f>[5]trip_summary_region!E389</f>
        <v>20</v>
      </c>
      <c r="F389">
        <f>[5]trip_summary_region!F389</f>
        <v>0.30098139190000001</v>
      </c>
      <c r="G389">
        <f>[5]trip_summary_region!G389</f>
        <v>21.587036612999999</v>
      </c>
      <c r="H389">
        <f>[5]trip_summary_region!H389</f>
        <v>0.62253032519999996</v>
      </c>
      <c r="I389" t="str">
        <f>[5]trip_summary_region!I389</f>
        <v>Air/Non-Local PT</v>
      </c>
      <c r="J389" t="str">
        <f>[5]trip_summary_region!J389</f>
        <v>2022/23</v>
      </c>
    </row>
    <row r="390" spans="1:10" x14ac:dyDescent="0.2">
      <c r="A390" t="str">
        <f>[5]trip_summary_region!A390</f>
        <v>05 GISBORNE</v>
      </c>
      <c r="B390">
        <f>[5]trip_summary_region!B390</f>
        <v>10</v>
      </c>
      <c r="C390">
        <f>[5]trip_summary_region!C390</f>
        <v>2028</v>
      </c>
      <c r="D390">
        <f>[5]trip_summary_region!D390</f>
        <v>12</v>
      </c>
      <c r="E390">
        <f>[5]trip_summary_region!E390</f>
        <v>20</v>
      </c>
      <c r="F390">
        <f>[5]trip_summary_region!F390</f>
        <v>0.30356849009999998</v>
      </c>
      <c r="G390">
        <f>[5]trip_summary_region!G390</f>
        <v>21.302769654999999</v>
      </c>
      <c r="H390">
        <f>[5]trip_summary_region!H390</f>
        <v>0.62026477879999997</v>
      </c>
      <c r="I390" t="str">
        <f>[5]trip_summary_region!I390</f>
        <v>Air/Non-Local PT</v>
      </c>
      <c r="J390" t="str">
        <f>[5]trip_summary_region!J390</f>
        <v>2027/28</v>
      </c>
    </row>
    <row r="391" spans="1:10" x14ac:dyDescent="0.2">
      <c r="A391" t="str">
        <f>[5]trip_summary_region!A391</f>
        <v>05 GISBORNE</v>
      </c>
      <c r="B391">
        <f>[5]trip_summary_region!B391</f>
        <v>10</v>
      </c>
      <c r="C391">
        <f>[5]trip_summary_region!C391</f>
        <v>2033</v>
      </c>
      <c r="D391">
        <f>[5]trip_summary_region!D391</f>
        <v>12</v>
      </c>
      <c r="E391">
        <f>[5]trip_summary_region!E391</f>
        <v>20</v>
      </c>
      <c r="F391">
        <f>[5]trip_summary_region!F391</f>
        <v>0.3042879376</v>
      </c>
      <c r="G391">
        <f>[5]trip_summary_region!G391</f>
        <v>20.904018323999999</v>
      </c>
      <c r="H391">
        <f>[5]trip_summary_region!H391</f>
        <v>0.61516427100000004</v>
      </c>
      <c r="I391" t="str">
        <f>[5]trip_summary_region!I391</f>
        <v>Air/Non-Local PT</v>
      </c>
      <c r="J391" t="str">
        <f>[5]trip_summary_region!J391</f>
        <v>2032/33</v>
      </c>
    </row>
    <row r="392" spans="1:10" x14ac:dyDescent="0.2">
      <c r="A392" t="str">
        <f>[5]trip_summary_region!A392</f>
        <v>05 GISBORNE</v>
      </c>
      <c r="B392">
        <f>[5]trip_summary_region!B392</f>
        <v>10</v>
      </c>
      <c r="C392">
        <f>[5]trip_summary_region!C392</f>
        <v>2038</v>
      </c>
      <c r="D392">
        <f>[5]trip_summary_region!D392</f>
        <v>12</v>
      </c>
      <c r="E392">
        <f>[5]trip_summary_region!E392</f>
        <v>20</v>
      </c>
      <c r="F392">
        <f>[5]trip_summary_region!F392</f>
        <v>0.29851726620000002</v>
      </c>
      <c r="G392">
        <f>[5]trip_summary_region!G392</f>
        <v>20.670671984999998</v>
      </c>
      <c r="H392">
        <f>[5]trip_summary_region!H392</f>
        <v>0.59793763</v>
      </c>
      <c r="I392" t="str">
        <f>[5]trip_summary_region!I392</f>
        <v>Air/Non-Local PT</v>
      </c>
      <c r="J392" t="str">
        <f>[5]trip_summary_region!J392</f>
        <v>2037/38</v>
      </c>
    </row>
    <row r="393" spans="1:10" x14ac:dyDescent="0.2">
      <c r="A393" t="str">
        <f>[5]trip_summary_region!A393</f>
        <v>05 GISBORNE</v>
      </c>
      <c r="B393">
        <f>[5]trip_summary_region!B393</f>
        <v>10</v>
      </c>
      <c r="C393">
        <f>[5]trip_summary_region!C393</f>
        <v>2043</v>
      </c>
      <c r="D393">
        <f>[5]trip_summary_region!D393</f>
        <v>12</v>
      </c>
      <c r="E393">
        <f>[5]trip_summary_region!E393</f>
        <v>20</v>
      </c>
      <c r="F393">
        <f>[5]trip_summary_region!F393</f>
        <v>0.29345476250000002</v>
      </c>
      <c r="G393">
        <f>[5]trip_summary_region!G393</f>
        <v>20.452283833999999</v>
      </c>
      <c r="H393">
        <f>[5]trip_summary_region!H393</f>
        <v>0.58169369289999995</v>
      </c>
      <c r="I393" t="str">
        <f>[5]trip_summary_region!I393</f>
        <v>Air/Non-Local PT</v>
      </c>
      <c r="J393" t="str">
        <f>[5]trip_summary_region!J393</f>
        <v>2042/43</v>
      </c>
    </row>
    <row r="394" spans="1:10" x14ac:dyDescent="0.2">
      <c r="A394" t="str">
        <f>[5]trip_summary_region!A394</f>
        <v>05 GISBORNE</v>
      </c>
      <c r="B394">
        <f>[5]trip_summary_region!B394</f>
        <v>11</v>
      </c>
      <c r="C394">
        <f>[5]trip_summary_region!C394</f>
        <v>2013</v>
      </c>
      <c r="D394">
        <f>[5]trip_summary_region!D394</f>
        <v>8</v>
      </c>
      <c r="E394">
        <f>[5]trip_summary_region!E394</f>
        <v>22</v>
      </c>
      <c r="F394">
        <f>[5]trip_summary_region!F394</f>
        <v>0.24434687620000001</v>
      </c>
      <c r="G394">
        <f>[5]trip_summary_region!G394</f>
        <v>9.0032605469</v>
      </c>
      <c r="H394">
        <f>[5]trip_summary_region!H394</f>
        <v>0.1991820503</v>
      </c>
      <c r="I394" t="str">
        <f>[5]trip_summary_region!I394</f>
        <v>Non-Household Travel</v>
      </c>
      <c r="J394" t="str">
        <f>[5]trip_summary_region!J394</f>
        <v>2012/13</v>
      </c>
    </row>
    <row r="395" spans="1:10" x14ac:dyDescent="0.2">
      <c r="A395" t="str">
        <f>[5]trip_summary_region!A395</f>
        <v>05 GISBORNE</v>
      </c>
      <c r="B395">
        <f>[5]trip_summary_region!B395</f>
        <v>11</v>
      </c>
      <c r="C395">
        <f>[5]trip_summary_region!C395</f>
        <v>2018</v>
      </c>
      <c r="D395">
        <f>[5]trip_summary_region!D395</f>
        <v>8</v>
      </c>
      <c r="E395">
        <f>[5]trip_summary_region!E395</f>
        <v>22</v>
      </c>
      <c r="F395">
        <f>[5]trip_summary_region!F395</f>
        <v>0.26622711770000002</v>
      </c>
      <c r="G395">
        <f>[5]trip_summary_region!G395</f>
        <v>9.6704949631999995</v>
      </c>
      <c r="H395">
        <f>[5]trip_summary_region!H395</f>
        <v>0.21330047860000001</v>
      </c>
      <c r="I395" t="str">
        <f>[5]trip_summary_region!I395</f>
        <v>Non-Household Travel</v>
      </c>
      <c r="J395" t="str">
        <f>[5]trip_summary_region!J395</f>
        <v>2017/18</v>
      </c>
    </row>
    <row r="396" spans="1:10" x14ac:dyDescent="0.2">
      <c r="A396" t="str">
        <f>[5]trip_summary_region!A396</f>
        <v>05 GISBORNE</v>
      </c>
      <c r="B396">
        <f>[5]trip_summary_region!B396</f>
        <v>11</v>
      </c>
      <c r="C396">
        <f>[5]trip_summary_region!C396</f>
        <v>2023</v>
      </c>
      <c r="D396">
        <f>[5]trip_summary_region!D396</f>
        <v>8</v>
      </c>
      <c r="E396">
        <f>[5]trip_summary_region!E396</f>
        <v>22</v>
      </c>
      <c r="F396">
        <f>[5]trip_summary_region!F396</f>
        <v>0.2732988549</v>
      </c>
      <c r="G396">
        <f>[5]trip_summary_region!G396</f>
        <v>9.7599453277000006</v>
      </c>
      <c r="H396">
        <f>[5]trip_summary_region!H396</f>
        <v>0.21493011510000001</v>
      </c>
      <c r="I396" t="str">
        <f>[5]trip_summary_region!I396</f>
        <v>Non-Household Travel</v>
      </c>
      <c r="J396" t="str">
        <f>[5]trip_summary_region!J396</f>
        <v>2022/23</v>
      </c>
    </row>
    <row r="397" spans="1:10" x14ac:dyDescent="0.2">
      <c r="A397" t="str">
        <f>[5]trip_summary_region!A397</f>
        <v>05 GISBORNE</v>
      </c>
      <c r="B397">
        <f>[5]trip_summary_region!B397</f>
        <v>11</v>
      </c>
      <c r="C397">
        <f>[5]trip_summary_region!C397</f>
        <v>2028</v>
      </c>
      <c r="D397">
        <f>[5]trip_summary_region!D397</f>
        <v>8</v>
      </c>
      <c r="E397">
        <f>[5]trip_summary_region!E397</f>
        <v>22</v>
      </c>
      <c r="F397">
        <f>[5]trip_summary_region!F397</f>
        <v>0.26927771389999999</v>
      </c>
      <c r="G397">
        <f>[5]trip_summary_region!G397</f>
        <v>9.3766032620999997</v>
      </c>
      <c r="H397">
        <f>[5]trip_summary_region!H397</f>
        <v>0.2070337374</v>
      </c>
      <c r="I397" t="str">
        <f>[5]trip_summary_region!I397</f>
        <v>Non-Household Travel</v>
      </c>
      <c r="J397" t="str">
        <f>[5]trip_summary_region!J397</f>
        <v>2027/28</v>
      </c>
    </row>
    <row r="398" spans="1:10" x14ac:dyDescent="0.2">
      <c r="A398" t="str">
        <f>[5]trip_summary_region!A398</f>
        <v>05 GISBORNE</v>
      </c>
      <c r="B398">
        <f>[5]trip_summary_region!B398</f>
        <v>11</v>
      </c>
      <c r="C398">
        <f>[5]trip_summary_region!C398</f>
        <v>2033</v>
      </c>
      <c r="D398">
        <f>[5]trip_summary_region!D398</f>
        <v>8</v>
      </c>
      <c r="E398">
        <f>[5]trip_summary_region!E398</f>
        <v>22</v>
      </c>
      <c r="F398">
        <f>[5]trip_summary_region!F398</f>
        <v>0.26242514230000002</v>
      </c>
      <c r="G398">
        <f>[5]trip_summary_region!G398</f>
        <v>8.5991507024999994</v>
      </c>
      <c r="H398">
        <f>[5]trip_summary_region!H398</f>
        <v>0.19328185480000001</v>
      </c>
      <c r="I398" t="str">
        <f>[5]trip_summary_region!I398</f>
        <v>Non-Household Travel</v>
      </c>
      <c r="J398" t="str">
        <f>[5]trip_summary_region!J398</f>
        <v>2032/33</v>
      </c>
    </row>
    <row r="399" spans="1:10" x14ac:dyDescent="0.2">
      <c r="A399" t="str">
        <f>[5]trip_summary_region!A399</f>
        <v>05 GISBORNE</v>
      </c>
      <c r="B399">
        <f>[5]trip_summary_region!B399</f>
        <v>11</v>
      </c>
      <c r="C399">
        <f>[5]trip_summary_region!C399</f>
        <v>2038</v>
      </c>
      <c r="D399">
        <f>[5]trip_summary_region!D399</f>
        <v>8</v>
      </c>
      <c r="E399">
        <f>[5]trip_summary_region!E399</f>
        <v>22</v>
      </c>
      <c r="F399">
        <f>[5]trip_summary_region!F399</f>
        <v>0.25848331730000002</v>
      </c>
      <c r="G399">
        <f>[5]trip_summary_region!G399</f>
        <v>7.7160282578999997</v>
      </c>
      <c r="H399">
        <f>[5]trip_summary_region!H399</f>
        <v>0.17931824909999999</v>
      </c>
      <c r="I399" t="str">
        <f>[5]trip_summary_region!I399</f>
        <v>Non-Household Travel</v>
      </c>
      <c r="J399" t="str">
        <f>[5]trip_summary_region!J399</f>
        <v>2037/38</v>
      </c>
    </row>
    <row r="400" spans="1:10" x14ac:dyDescent="0.2">
      <c r="A400" t="str">
        <f>[5]trip_summary_region!A400</f>
        <v>05 GISBORNE</v>
      </c>
      <c r="B400">
        <f>[5]trip_summary_region!B400</f>
        <v>11</v>
      </c>
      <c r="C400">
        <f>[5]trip_summary_region!C400</f>
        <v>2043</v>
      </c>
      <c r="D400">
        <f>[5]trip_summary_region!D400</f>
        <v>8</v>
      </c>
      <c r="E400">
        <f>[5]trip_summary_region!E400</f>
        <v>22</v>
      </c>
      <c r="F400">
        <f>[5]trip_summary_region!F400</f>
        <v>0.25616404529999998</v>
      </c>
      <c r="G400">
        <f>[5]trip_summary_region!G400</f>
        <v>6.8818334649999997</v>
      </c>
      <c r="H400">
        <f>[5]trip_summary_region!H400</f>
        <v>0.16648711899999999</v>
      </c>
      <c r="I400" t="str">
        <f>[5]trip_summary_region!I400</f>
        <v>Non-Household Travel</v>
      </c>
      <c r="J400" t="str">
        <f>[5]trip_summary_region!J400</f>
        <v>2042/43</v>
      </c>
    </row>
    <row r="401" spans="1:10" x14ac:dyDescent="0.2">
      <c r="A401" t="str">
        <f>[5]trip_summary_region!A401</f>
        <v>06 HAWKE`S BAY</v>
      </c>
      <c r="B401">
        <f>[5]trip_summary_region!B401</f>
        <v>0</v>
      </c>
      <c r="C401">
        <f>[5]trip_summary_region!C401</f>
        <v>2013</v>
      </c>
      <c r="D401">
        <f>[5]trip_summary_region!D401</f>
        <v>221</v>
      </c>
      <c r="E401">
        <f>[5]trip_summary_region!E401</f>
        <v>754</v>
      </c>
      <c r="F401">
        <f>[5]trip_summary_region!F401</f>
        <v>26.538300281000001</v>
      </c>
      <c r="G401">
        <f>[5]trip_summary_region!G401</f>
        <v>22.691613215</v>
      </c>
      <c r="H401">
        <f>[5]trip_summary_region!H401</f>
        <v>5.9462513095</v>
      </c>
      <c r="I401" t="str">
        <f>[5]trip_summary_region!I401</f>
        <v>Pedestrian</v>
      </c>
      <c r="J401" t="str">
        <f>[5]trip_summary_region!J401</f>
        <v>2012/13</v>
      </c>
    </row>
    <row r="402" spans="1:10" x14ac:dyDescent="0.2">
      <c r="A402" t="str">
        <f>[5]trip_summary_region!A402</f>
        <v>06 HAWKE`S BAY</v>
      </c>
      <c r="B402">
        <f>[5]trip_summary_region!B402</f>
        <v>0</v>
      </c>
      <c r="C402">
        <f>[5]trip_summary_region!C402</f>
        <v>2018</v>
      </c>
      <c r="D402">
        <f>[5]trip_summary_region!D402</f>
        <v>221</v>
      </c>
      <c r="E402">
        <f>[5]trip_summary_region!E402</f>
        <v>754</v>
      </c>
      <c r="F402">
        <f>[5]trip_summary_region!F402</f>
        <v>27.679859898</v>
      </c>
      <c r="G402">
        <f>[5]trip_summary_region!G402</f>
        <v>23.418206013999999</v>
      </c>
      <c r="H402">
        <f>[5]trip_summary_region!H402</f>
        <v>6.16575205</v>
      </c>
      <c r="I402" t="str">
        <f>[5]trip_summary_region!I402</f>
        <v>Pedestrian</v>
      </c>
      <c r="J402" t="str">
        <f>[5]trip_summary_region!J402</f>
        <v>2017/18</v>
      </c>
    </row>
    <row r="403" spans="1:10" x14ac:dyDescent="0.2">
      <c r="A403" t="str">
        <f>[5]trip_summary_region!A403</f>
        <v>06 HAWKE`S BAY</v>
      </c>
      <c r="B403">
        <f>[5]trip_summary_region!B403</f>
        <v>0</v>
      </c>
      <c r="C403">
        <f>[5]trip_summary_region!C403</f>
        <v>2023</v>
      </c>
      <c r="D403">
        <f>[5]trip_summary_region!D403</f>
        <v>221</v>
      </c>
      <c r="E403">
        <f>[5]trip_summary_region!E403</f>
        <v>754</v>
      </c>
      <c r="F403">
        <f>[5]trip_summary_region!F403</f>
        <v>28.610759256000001</v>
      </c>
      <c r="G403">
        <f>[5]trip_summary_region!G403</f>
        <v>23.946917025000001</v>
      </c>
      <c r="H403">
        <f>[5]trip_summary_region!H403</f>
        <v>6.3609058855000002</v>
      </c>
      <c r="I403" t="str">
        <f>[5]trip_summary_region!I403</f>
        <v>Pedestrian</v>
      </c>
      <c r="J403" t="str">
        <f>[5]trip_summary_region!J403</f>
        <v>2022/23</v>
      </c>
    </row>
    <row r="404" spans="1:10" x14ac:dyDescent="0.2">
      <c r="A404" t="str">
        <f>[5]trip_summary_region!A404</f>
        <v>06 HAWKE`S BAY</v>
      </c>
      <c r="B404">
        <f>[5]trip_summary_region!B404</f>
        <v>0</v>
      </c>
      <c r="C404">
        <f>[5]trip_summary_region!C404</f>
        <v>2028</v>
      </c>
      <c r="D404">
        <f>[5]trip_summary_region!D404</f>
        <v>221</v>
      </c>
      <c r="E404">
        <f>[5]trip_summary_region!E404</f>
        <v>754</v>
      </c>
      <c r="F404">
        <f>[5]trip_summary_region!F404</f>
        <v>29.104459340999998</v>
      </c>
      <c r="G404">
        <f>[5]trip_summary_region!G404</f>
        <v>24.127110074000001</v>
      </c>
      <c r="H404">
        <f>[5]trip_summary_region!H404</f>
        <v>6.4545455935999998</v>
      </c>
      <c r="I404" t="str">
        <f>[5]trip_summary_region!I404</f>
        <v>Pedestrian</v>
      </c>
      <c r="J404" t="str">
        <f>[5]trip_summary_region!J404</f>
        <v>2027/28</v>
      </c>
    </row>
    <row r="405" spans="1:10" x14ac:dyDescent="0.2">
      <c r="A405" t="str">
        <f>[5]trip_summary_region!A405</f>
        <v>06 HAWKE`S BAY</v>
      </c>
      <c r="B405">
        <f>[5]trip_summary_region!B405</f>
        <v>0</v>
      </c>
      <c r="C405">
        <f>[5]trip_summary_region!C405</f>
        <v>2033</v>
      </c>
      <c r="D405">
        <f>[5]trip_summary_region!D405</f>
        <v>221</v>
      </c>
      <c r="E405">
        <f>[5]trip_summary_region!E405</f>
        <v>754</v>
      </c>
      <c r="F405">
        <f>[5]trip_summary_region!F405</f>
        <v>29.067048437</v>
      </c>
      <c r="G405">
        <f>[5]trip_summary_region!G405</f>
        <v>24.069405184000001</v>
      </c>
      <c r="H405">
        <f>[5]trip_summary_region!H405</f>
        <v>6.4610936483000003</v>
      </c>
      <c r="I405" t="str">
        <f>[5]trip_summary_region!I405</f>
        <v>Pedestrian</v>
      </c>
      <c r="J405" t="str">
        <f>[5]trip_summary_region!J405</f>
        <v>2032/33</v>
      </c>
    </row>
    <row r="406" spans="1:10" x14ac:dyDescent="0.2">
      <c r="A406" t="str">
        <f>[5]trip_summary_region!A406</f>
        <v>06 HAWKE`S BAY</v>
      </c>
      <c r="B406">
        <f>[5]trip_summary_region!B406</f>
        <v>0</v>
      </c>
      <c r="C406">
        <f>[5]trip_summary_region!C406</f>
        <v>2038</v>
      </c>
      <c r="D406">
        <f>[5]trip_summary_region!D406</f>
        <v>221</v>
      </c>
      <c r="E406">
        <f>[5]trip_summary_region!E406</f>
        <v>754</v>
      </c>
      <c r="F406">
        <f>[5]trip_summary_region!F406</f>
        <v>28.995177586000001</v>
      </c>
      <c r="G406">
        <f>[5]trip_summary_region!G406</f>
        <v>24.129550263999999</v>
      </c>
      <c r="H406">
        <f>[5]trip_summary_region!H406</f>
        <v>6.4817361396999997</v>
      </c>
      <c r="I406" t="str">
        <f>[5]trip_summary_region!I406</f>
        <v>Pedestrian</v>
      </c>
      <c r="J406" t="str">
        <f>[5]trip_summary_region!J406</f>
        <v>2037/38</v>
      </c>
    </row>
    <row r="407" spans="1:10" x14ac:dyDescent="0.2">
      <c r="A407" t="str">
        <f>[5]trip_summary_region!A407</f>
        <v>06 HAWKE`S BAY</v>
      </c>
      <c r="B407">
        <f>[5]trip_summary_region!B407</f>
        <v>0</v>
      </c>
      <c r="C407">
        <f>[5]trip_summary_region!C407</f>
        <v>2043</v>
      </c>
      <c r="D407">
        <f>[5]trip_summary_region!D407</f>
        <v>221</v>
      </c>
      <c r="E407">
        <f>[5]trip_summary_region!E407</f>
        <v>754</v>
      </c>
      <c r="F407">
        <f>[5]trip_summary_region!F407</f>
        <v>28.758693649000001</v>
      </c>
      <c r="G407">
        <f>[5]trip_summary_region!G407</f>
        <v>24.054112357000001</v>
      </c>
      <c r="H407">
        <f>[5]trip_summary_region!H407</f>
        <v>6.4639851063</v>
      </c>
      <c r="I407" t="str">
        <f>[5]trip_summary_region!I407</f>
        <v>Pedestrian</v>
      </c>
      <c r="J407" t="str">
        <f>[5]trip_summary_region!J407</f>
        <v>2042/43</v>
      </c>
    </row>
    <row r="408" spans="1:10" x14ac:dyDescent="0.2">
      <c r="A408" t="str">
        <f>[5]trip_summary_region!A408</f>
        <v>06 HAWKE`S BAY</v>
      </c>
      <c r="B408">
        <f>[5]trip_summary_region!B408</f>
        <v>1</v>
      </c>
      <c r="C408">
        <f>[5]trip_summary_region!C408</f>
        <v>2013</v>
      </c>
      <c r="D408">
        <f>[5]trip_summary_region!D408</f>
        <v>30</v>
      </c>
      <c r="E408">
        <f>[5]trip_summary_region!E408</f>
        <v>93</v>
      </c>
      <c r="F408">
        <f>[5]trip_summary_region!F408</f>
        <v>3.1819840940000002</v>
      </c>
      <c r="G408">
        <f>[5]trip_summary_region!G408</f>
        <v>9.5482363540000001</v>
      </c>
      <c r="H408">
        <f>[5]trip_summary_region!H408</f>
        <v>0.88401106659999995</v>
      </c>
      <c r="I408" t="str">
        <f>[5]trip_summary_region!I408</f>
        <v>Cyclist</v>
      </c>
      <c r="J408" t="str">
        <f>[5]trip_summary_region!J408</f>
        <v>2012/13</v>
      </c>
    </row>
    <row r="409" spans="1:10" x14ac:dyDescent="0.2">
      <c r="A409" t="str">
        <f>[5]trip_summary_region!A409</f>
        <v>06 HAWKE`S BAY</v>
      </c>
      <c r="B409">
        <f>[5]trip_summary_region!B409</f>
        <v>1</v>
      </c>
      <c r="C409">
        <f>[5]trip_summary_region!C409</f>
        <v>2018</v>
      </c>
      <c r="D409">
        <f>[5]trip_summary_region!D409</f>
        <v>30</v>
      </c>
      <c r="E409">
        <f>[5]trip_summary_region!E409</f>
        <v>93</v>
      </c>
      <c r="F409">
        <f>[5]trip_summary_region!F409</f>
        <v>3.2781754430999999</v>
      </c>
      <c r="G409">
        <f>[5]trip_summary_region!G409</f>
        <v>10.138616153999999</v>
      </c>
      <c r="H409">
        <f>[5]trip_summary_region!H409</f>
        <v>0.93602627090000001</v>
      </c>
      <c r="I409" t="str">
        <f>[5]trip_summary_region!I409</f>
        <v>Cyclist</v>
      </c>
      <c r="J409" t="str">
        <f>[5]trip_summary_region!J409</f>
        <v>2017/18</v>
      </c>
    </row>
    <row r="410" spans="1:10" x14ac:dyDescent="0.2">
      <c r="A410" t="str">
        <f>[5]trip_summary_region!A410</f>
        <v>06 HAWKE`S BAY</v>
      </c>
      <c r="B410">
        <f>[5]trip_summary_region!B410</f>
        <v>1</v>
      </c>
      <c r="C410">
        <f>[5]trip_summary_region!C410</f>
        <v>2023</v>
      </c>
      <c r="D410">
        <f>[5]trip_summary_region!D410</f>
        <v>30</v>
      </c>
      <c r="E410">
        <f>[5]trip_summary_region!E410</f>
        <v>93</v>
      </c>
      <c r="F410">
        <f>[5]trip_summary_region!F410</f>
        <v>3.3921256815</v>
      </c>
      <c r="G410">
        <f>[5]trip_summary_region!G410</f>
        <v>10.485251509999999</v>
      </c>
      <c r="H410">
        <f>[5]trip_summary_region!H410</f>
        <v>0.96093119309999997</v>
      </c>
      <c r="I410" t="str">
        <f>[5]trip_summary_region!I410</f>
        <v>Cyclist</v>
      </c>
      <c r="J410" t="str">
        <f>[5]trip_summary_region!J410</f>
        <v>2022/23</v>
      </c>
    </row>
    <row r="411" spans="1:10" x14ac:dyDescent="0.2">
      <c r="A411" t="str">
        <f>[5]trip_summary_region!A411</f>
        <v>06 HAWKE`S BAY</v>
      </c>
      <c r="B411">
        <f>[5]trip_summary_region!B411</f>
        <v>1</v>
      </c>
      <c r="C411">
        <f>[5]trip_summary_region!C411</f>
        <v>2028</v>
      </c>
      <c r="D411">
        <f>[5]trip_summary_region!D411</f>
        <v>30</v>
      </c>
      <c r="E411">
        <f>[5]trip_summary_region!E411</f>
        <v>93</v>
      </c>
      <c r="F411">
        <f>[5]trip_summary_region!F411</f>
        <v>3.5141834976999999</v>
      </c>
      <c r="G411">
        <f>[5]trip_summary_region!G411</f>
        <v>10.829339596000001</v>
      </c>
      <c r="H411">
        <f>[5]trip_summary_region!H411</f>
        <v>0.99061673400000005</v>
      </c>
      <c r="I411" t="str">
        <f>[5]trip_summary_region!I411</f>
        <v>Cyclist</v>
      </c>
      <c r="J411" t="str">
        <f>[5]trip_summary_region!J411</f>
        <v>2027/28</v>
      </c>
    </row>
    <row r="412" spans="1:10" x14ac:dyDescent="0.2">
      <c r="A412" t="str">
        <f>[5]trip_summary_region!A412</f>
        <v>06 HAWKE`S BAY</v>
      </c>
      <c r="B412">
        <f>[5]trip_summary_region!B412</f>
        <v>1</v>
      </c>
      <c r="C412">
        <f>[5]trip_summary_region!C412</f>
        <v>2033</v>
      </c>
      <c r="D412">
        <f>[5]trip_summary_region!D412</f>
        <v>30</v>
      </c>
      <c r="E412">
        <f>[5]trip_summary_region!E412</f>
        <v>93</v>
      </c>
      <c r="F412">
        <f>[5]trip_summary_region!F412</f>
        <v>3.5387594181000002</v>
      </c>
      <c r="G412">
        <f>[5]trip_summary_region!G412</f>
        <v>11.138281901999999</v>
      </c>
      <c r="H412">
        <f>[5]trip_summary_region!H412</f>
        <v>1.0087119254000001</v>
      </c>
      <c r="I412" t="str">
        <f>[5]trip_summary_region!I412</f>
        <v>Cyclist</v>
      </c>
      <c r="J412" t="str">
        <f>[5]trip_summary_region!J412</f>
        <v>2032/33</v>
      </c>
    </row>
    <row r="413" spans="1:10" x14ac:dyDescent="0.2">
      <c r="A413" t="str">
        <f>[5]trip_summary_region!A413</f>
        <v>06 HAWKE`S BAY</v>
      </c>
      <c r="B413">
        <f>[5]trip_summary_region!B413</f>
        <v>1</v>
      </c>
      <c r="C413">
        <f>[5]trip_summary_region!C413</f>
        <v>2038</v>
      </c>
      <c r="D413">
        <f>[5]trip_summary_region!D413</f>
        <v>30</v>
      </c>
      <c r="E413">
        <f>[5]trip_summary_region!E413</f>
        <v>93</v>
      </c>
      <c r="F413">
        <f>[5]trip_summary_region!F413</f>
        <v>3.5701556992999999</v>
      </c>
      <c r="G413">
        <f>[5]trip_summary_region!G413</f>
        <v>11.151492352</v>
      </c>
      <c r="H413">
        <f>[5]trip_summary_region!H413</f>
        <v>1.0105265283</v>
      </c>
      <c r="I413" t="str">
        <f>[5]trip_summary_region!I413</f>
        <v>Cyclist</v>
      </c>
      <c r="J413" t="str">
        <f>[5]trip_summary_region!J413</f>
        <v>2037/38</v>
      </c>
    </row>
    <row r="414" spans="1:10" x14ac:dyDescent="0.2">
      <c r="A414" t="str">
        <f>[5]trip_summary_region!A414</f>
        <v>06 HAWKE`S BAY</v>
      </c>
      <c r="B414">
        <f>[5]trip_summary_region!B414</f>
        <v>1</v>
      </c>
      <c r="C414">
        <f>[5]trip_summary_region!C414</f>
        <v>2043</v>
      </c>
      <c r="D414">
        <f>[5]trip_summary_region!D414</f>
        <v>30</v>
      </c>
      <c r="E414">
        <f>[5]trip_summary_region!E414</f>
        <v>93</v>
      </c>
      <c r="F414">
        <f>[5]trip_summary_region!F414</f>
        <v>3.5823975057999999</v>
      </c>
      <c r="G414">
        <f>[5]trip_summary_region!G414</f>
        <v>11.104819279000001</v>
      </c>
      <c r="H414">
        <f>[5]trip_summary_region!H414</f>
        <v>1.0078962438000001</v>
      </c>
      <c r="I414" t="str">
        <f>[5]trip_summary_region!I414</f>
        <v>Cyclist</v>
      </c>
      <c r="J414" t="str">
        <f>[5]trip_summary_region!J414</f>
        <v>2042/43</v>
      </c>
    </row>
    <row r="415" spans="1:10" x14ac:dyDescent="0.2">
      <c r="A415" t="str">
        <f>[5]trip_summary_region!A415</f>
        <v>06 HAWKE`S BAY</v>
      </c>
      <c r="B415">
        <f>[5]trip_summary_region!B415</f>
        <v>2</v>
      </c>
      <c r="C415">
        <f>[5]trip_summary_region!C415</f>
        <v>2013</v>
      </c>
      <c r="D415">
        <f>[5]trip_summary_region!D415</f>
        <v>446</v>
      </c>
      <c r="E415">
        <f>[5]trip_summary_region!E415</f>
        <v>3171</v>
      </c>
      <c r="F415">
        <f>[5]trip_summary_region!F415</f>
        <v>111.16933473</v>
      </c>
      <c r="G415">
        <f>[5]trip_summary_region!G415</f>
        <v>1001.7566771</v>
      </c>
      <c r="H415">
        <f>[5]trip_summary_region!H415</f>
        <v>25.377986313000001</v>
      </c>
      <c r="I415" t="str">
        <f>[5]trip_summary_region!I415</f>
        <v>Light Vehicle Driver</v>
      </c>
      <c r="J415" t="str">
        <f>[5]trip_summary_region!J415</f>
        <v>2012/13</v>
      </c>
    </row>
    <row r="416" spans="1:10" x14ac:dyDescent="0.2">
      <c r="A416" t="str">
        <f>[5]trip_summary_region!A416</f>
        <v>06 HAWKE`S BAY</v>
      </c>
      <c r="B416">
        <f>[5]trip_summary_region!B416</f>
        <v>2</v>
      </c>
      <c r="C416">
        <f>[5]trip_summary_region!C416</f>
        <v>2018</v>
      </c>
      <c r="D416">
        <f>[5]trip_summary_region!D416</f>
        <v>446</v>
      </c>
      <c r="E416">
        <f>[5]trip_summary_region!E416</f>
        <v>3171</v>
      </c>
      <c r="F416">
        <f>[5]trip_summary_region!F416</f>
        <v>118.48084473</v>
      </c>
      <c r="G416">
        <f>[5]trip_summary_region!G416</f>
        <v>1074.0285553000001</v>
      </c>
      <c r="H416">
        <f>[5]trip_summary_region!H416</f>
        <v>27.136158859999998</v>
      </c>
      <c r="I416" t="str">
        <f>[5]trip_summary_region!I416</f>
        <v>Light Vehicle Driver</v>
      </c>
      <c r="J416" t="str">
        <f>[5]trip_summary_region!J416</f>
        <v>2017/18</v>
      </c>
    </row>
    <row r="417" spans="1:10" x14ac:dyDescent="0.2">
      <c r="A417" t="str">
        <f>[5]trip_summary_region!A417</f>
        <v>06 HAWKE`S BAY</v>
      </c>
      <c r="B417">
        <f>[5]trip_summary_region!B417</f>
        <v>2</v>
      </c>
      <c r="C417">
        <f>[5]trip_summary_region!C417</f>
        <v>2023</v>
      </c>
      <c r="D417">
        <f>[5]trip_summary_region!D417</f>
        <v>446</v>
      </c>
      <c r="E417">
        <f>[5]trip_summary_region!E417</f>
        <v>3171</v>
      </c>
      <c r="F417">
        <f>[5]trip_summary_region!F417</f>
        <v>123.72067284000001</v>
      </c>
      <c r="G417">
        <f>[5]trip_summary_region!G417</f>
        <v>1118.7781339999999</v>
      </c>
      <c r="H417">
        <f>[5]trip_summary_region!H417</f>
        <v>28.337640106999999</v>
      </c>
      <c r="I417" t="str">
        <f>[5]trip_summary_region!I417</f>
        <v>Light Vehicle Driver</v>
      </c>
      <c r="J417" t="str">
        <f>[5]trip_summary_region!J417</f>
        <v>2022/23</v>
      </c>
    </row>
    <row r="418" spans="1:10" x14ac:dyDescent="0.2">
      <c r="A418" t="str">
        <f>[5]trip_summary_region!A418</f>
        <v>06 HAWKE`S BAY</v>
      </c>
      <c r="B418">
        <f>[5]trip_summary_region!B418</f>
        <v>2</v>
      </c>
      <c r="C418">
        <f>[5]trip_summary_region!C418</f>
        <v>2028</v>
      </c>
      <c r="D418">
        <f>[5]trip_summary_region!D418</f>
        <v>446</v>
      </c>
      <c r="E418">
        <f>[5]trip_summary_region!E418</f>
        <v>3171</v>
      </c>
      <c r="F418">
        <f>[5]trip_summary_region!F418</f>
        <v>126.95338227000001</v>
      </c>
      <c r="G418">
        <f>[5]trip_summary_region!G418</f>
        <v>1148.0499122000001</v>
      </c>
      <c r="H418">
        <f>[5]trip_summary_region!H418</f>
        <v>29.156994981</v>
      </c>
      <c r="I418" t="str">
        <f>[5]trip_summary_region!I418</f>
        <v>Light Vehicle Driver</v>
      </c>
      <c r="J418" t="str">
        <f>[5]trip_summary_region!J418</f>
        <v>2027/28</v>
      </c>
    </row>
    <row r="419" spans="1:10" x14ac:dyDescent="0.2">
      <c r="A419" t="str">
        <f>[5]trip_summary_region!A419</f>
        <v>06 HAWKE`S BAY</v>
      </c>
      <c r="B419">
        <f>[5]trip_summary_region!B419</f>
        <v>2</v>
      </c>
      <c r="C419">
        <f>[5]trip_summary_region!C419</f>
        <v>2033</v>
      </c>
      <c r="D419">
        <f>[5]trip_summary_region!D419</f>
        <v>446</v>
      </c>
      <c r="E419">
        <f>[5]trip_summary_region!E419</f>
        <v>3171</v>
      </c>
      <c r="F419">
        <f>[5]trip_summary_region!F419</f>
        <v>128.90328147</v>
      </c>
      <c r="G419">
        <f>[5]trip_summary_region!G419</f>
        <v>1167.1010573999999</v>
      </c>
      <c r="H419">
        <f>[5]trip_summary_region!H419</f>
        <v>29.695405756</v>
      </c>
      <c r="I419" t="str">
        <f>[5]trip_summary_region!I419</f>
        <v>Light Vehicle Driver</v>
      </c>
      <c r="J419" t="str">
        <f>[5]trip_summary_region!J419</f>
        <v>2032/33</v>
      </c>
    </row>
    <row r="420" spans="1:10" x14ac:dyDescent="0.2">
      <c r="A420" t="str">
        <f>[5]trip_summary_region!A420</f>
        <v>06 HAWKE`S BAY</v>
      </c>
      <c r="B420">
        <f>[5]trip_summary_region!B420</f>
        <v>2</v>
      </c>
      <c r="C420">
        <f>[5]trip_summary_region!C420</f>
        <v>2038</v>
      </c>
      <c r="D420">
        <f>[5]trip_summary_region!D420</f>
        <v>446</v>
      </c>
      <c r="E420">
        <f>[5]trip_summary_region!E420</f>
        <v>3171</v>
      </c>
      <c r="F420">
        <f>[5]trip_summary_region!F420</f>
        <v>128.92571924999999</v>
      </c>
      <c r="G420">
        <f>[5]trip_summary_region!G420</f>
        <v>1166.6433945000001</v>
      </c>
      <c r="H420">
        <f>[5]trip_summary_region!H420</f>
        <v>29.761570368000001</v>
      </c>
      <c r="I420" t="str">
        <f>[5]trip_summary_region!I420</f>
        <v>Light Vehicle Driver</v>
      </c>
      <c r="J420" t="str">
        <f>[5]trip_summary_region!J420</f>
        <v>2037/38</v>
      </c>
    </row>
    <row r="421" spans="1:10" x14ac:dyDescent="0.2">
      <c r="A421" t="str">
        <f>[5]trip_summary_region!A421</f>
        <v>06 HAWKE`S BAY</v>
      </c>
      <c r="B421">
        <f>[5]trip_summary_region!B421</f>
        <v>2</v>
      </c>
      <c r="C421">
        <f>[5]trip_summary_region!C421</f>
        <v>2043</v>
      </c>
      <c r="D421">
        <f>[5]trip_summary_region!D421</f>
        <v>446</v>
      </c>
      <c r="E421">
        <f>[5]trip_summary_region!E421</f>
        <v>3171</v>
      </c>
      <c r="F421">
        <f>[5]trip_summary_region!F421</f>
        <v>128.36119982</v>
      </c>
      <c r="G421">
        <f>[5]trip_summary_region!G421</f>
        <v>1160.6864674000001</v>
      </c>
      <c r="H421">
        <f>[5]trip_summary_region!H421</f>
        <v>29.686618302999999</v>
      </c>
      <c r="I421" t="str">
        <f>[5]trip_summary_region!I421</f>
        <v>Light Vehicle Driver</v>
      </c>
      <c r="J421" t="str">
        <f>[5]trip_summary_region!J421</f>
        <v>2042/43</v>
      </c>
    </row>
    <row r="422" spans="1:10" x14ac:dyDescent="0.2">
      <c r="A422" t="str">
        <f>[5]trip_summary_region!A422</f>
        <v>06 HAWKE`S BAY</v>
      </c>
      <c r="B422">
        <f>[5]trip_summary_region!B422</f>
        <v>3</v>
      </c>
      <c r="C422">
        <f>[5]trip_summary_region!C422</f>
        <v>2013</v>
      </c>
      <c r="D422">
        <f>[5]trip_summary_region!D422</f>
        <v>300</v>
      </c>
      <c r="E422">
        <f>[5]trip_summary_region!E422</f>
        <v>1579</v>
      </c>
      <c r="F422">
        <f>[5]trip_summary_region!F422</f>
        <v>58.497679761999997</v>
      </c>
      <c r="G422">
        <f>[5]trip_summary_region!G422</f>
        <v>607.82570181000006</v>
      </c>
      <c r="H422">
        <f>[5]trip_summary_region!H422</f>
        <v>15.230731736999999</v>
      </c>
      <c r="I422" t="str">
        <f>[5]trip_summary_region!I422</f>
        <v>Light Vehicle Passenger</v>
      </c>
      <c r="J422" t="str">
        <f>[5]trip_summary_region!J422</f>
        <v>2012/13</v>
      </c>
    </row>
    <row r="423" spans="1:10" x14ac:dyDescent="0.2">
      <c r="A423" t="str">
        <f>[5]trip_summary_region!A423</f>
        <v>06 HAWKE`S BAY</v>
      </c>
      <c r="B423">
        <f>[5]trip_summary_region!B423</f>
        <v>3</v>
      </c>
      <c r="C423">
        <f>[5]trip_summary_region!C423</f>
        <v>2018</v>
      </c>
      <c r="D423">
        <f>[5]trip_summary_region!D423</f>
        <v>300</v>
      </c>
      <c r="E423">
        <f>[5]trip_summary_region!E423</f>
        <v>1579</v>
      </c>
      <c r="F423">
        <f>[5]trip_summary_region!F423</f>
        <v>59.436725383999999</v>
      </c>
      <c r="G423">
        <f>[5]trip_summary_region!G423</f>
        <v>633.52389414000004</v>
      </c>
      <c r="H423">
        <f>[5]trip_summary_region!H423</f>
        <v>15.741503323</v>
      </c>
      <c r="I423" t="str">
        <f>[5]trip_summary_region!I423</f>
        <v>Light Vehicle Passenger</v>
      </c>
      <c r="J423" t="str">
        <f>[5]trip_summary_region!J423</f>
        <v>2017/18</v>
      </c>
    </row>
    <row r="424" spans="1:10" x14ac:dyDescent="0.2">
      <c r="A424" t="str">
        <f>[5]trip_summary_region!A424</f>
        <v>06 HAWKE`S BAY</v>
      </c>
      <c r="B424">
        <f>[5]trip_summary_region!B424</f>
        <v>3</v>
      </c>
      <c r="C424">
        <f>[5]trip_summary_region!C424</f>
        <v>2023</v>
      </c>
      <c r="D424">
        <f>[5]trip_summary_region!D424</f>
        <v>300</v>
      </c>
      <c r="E424">
        <f>[5]trip_summary_region!E424</f>
        <v>1579</v>
      </c>
      <c r="F424">
        <f>[5]trip_summary_region!F424</f>
        <v>59.730429733000001</v>
      </c>
      <c r="G424">
        <f>[5]trip_summary_region!G424</f>
        <v>649.72763724000004</v>
      </c>
      <c r="H424">
        <f>[5]trip_summary_region!H424</f>
        <v>16.060158362999999</v>
      </c>
      <c r="I424" t="str">
        <f>[5]trip_summary_region!I424</f>
        <v>Light Vehicle Passenger</v>
      </c>
      <c r="J424" t="str">
        <f>[5]trip_summary_region!J424</f>
        <v>2022/23</v>
      </c>
    </row>
    <row r="425" spans="1:10" x14ac:dyDescent="0.2">
      <c r="A425" t="str">
        <f>[5]trip_summary_region!A425</f>
        <v>06 HAWKE`S BAY</v>
      </c>
      <c r="B425">
        <f>[5]trip_summary_region!B425</f>
        <v>3</v>
      </c>
      <c r="C425">
        <f>[5]trip_summary_region!C425</f>
        <v>2028</v>
      </c>
      <c r="D425">
        <f>[5]trip_summary_region!D425</f>
        <v>300</v>
      </c>
      <c r="E425">
        <f>[5]trip_summary_region!E425</f>
        <v>1579</v>
      </c>
      <c r="F425">
        <f>[5]trip_summary_region!F425</f>
        <v>59.462578329999999</v>
      </c>
      <c r="G425">
        <f>[5]trip_summary_region!G425</f>
        <v>651.97721736000005</v>
      </c>
      <c r="H425">
        <f>[5]trip_summary_region!H425</f>
        <v>16.102388857000001</v>
      </c>
      <c r="I425" t="str">
        <f>[5]trip_summary_region!I425</f>
        <v>Light Vehicle Passenger</v>
      </c>
      <c r="J425" t="str">
        <f>[5]trip_summary_region!J425</f>
        <v>2027/28</v>
      </c>
    </row>
    <row r="426" spans="1:10" x14ac:dyDescent="0.2">
      <c r="A426" t="str">
        <f>[5]trip_summary_region!A426</f>
        <v>06 HAWKE`S BAY</v>
      </c>
      <c r="B426">
        <f>[5]trip_summary_region!B426</f>
        <v>3</v>
      </c>
      <c r="C426">
        <f>[5]trip_summary_region!C426</f>
        <v>2033</v>
      </c>
      <c r="D426">
        <f>[5]trip_summary_region!D426</f>
        <v>300</v>
      </c>
      <c r="E426">
        <f>[5]trip_summary_region!E426</f>
        <v>1579</v>
      </c>
      <c r="F426">
        <f>[5]trip_summary_region!F426</f>
        <v>58.437571093000003</v>
      </c>
      <c r="G426">
        <f>[5]trip_summary_region!G426</f>
        <v>641.75951333</v>
      </c>
      <c r="H426">
        <f>[5]trip_summary_region!H426</f>
        <v>15.854169954</v>
      </c>
      <c r="I426" t="str">
        <f>[5]trip_summary_region!I426</f>
        <v>Light Vehicle Passenger</v>
      </c>
      <c r="J426" t="str">
        <f>[5]trip_summary_region!J426</f>
        <v>2032/33</v>
      </c>
    </row>
    <row r="427" spans="1:10" x14ac:dyDescent="0.2">
      <c r="A427" t="str">
        <f>[5]trip_summary_region!A427</f>
        <v>06 HAWKE`S BAY</v>
      </c>
      <c r="B427">
        <f>[5]trip_summary_region!B427</f>
        <v>3</v>
      </c>
      <c r="C427">
        <f>[5]trip_summary_region!C427</f>
        <v>2038</v>
      </c>
      <c r="D427">
        <f>[5]trip_summary_region!D427</f>
        <v>300</v>
      </c>
      <c r="E427">
        <f>[5]trip_summary_region!E427</f>
        <v>1579</v>
      </c>
      <c r="F427">
        <f>[5]trip_summary_region!F427</f>
        <v>57.541627235</v>
      </c>
      <c r="G427">
        <f>[5]trip_summary_region!G427</f>
        <v>627.44158480999999</v>
      </c>
      <c r="H427">
        <f>[5]trip_summary_region!H427</f>
        <v>15.504624084</v>
      </c>
      <c r="I427" t="str">
        <f>[5]trip_summary_region!I427</f>
        <v>Light Vehicle Passenger</v>
      </c>
      <c r="J427" t="str">
        <f>[5]trip_summary_region!J427</f>
        <v>2037/38</v>
      </c>
    </row>
    <row r="428" spans="1:10" x14ac:dyDescent="0.2">
      <c r="A428" t="str">
        <f>[5]trip_summary_region!A428</f>
        <v>06 HAWKE`S BAY</v>
      </c>
      <c r="B428">
        <f>[5]trip_summary_region!B428</f>
        <v>3</v>
      </c>
      <c r="C428">
        <f>[5]trip_summary_region!C428</f>
        <v>2043</v>
      </c>
      <c r="D428">
        <f>[5]trip_summary_region!D428</f>
        <v>300</v>
      </c>
      <c r="E428">
        <f>[5]trip_summary_region!E428</f>
        <v>1579</v>
      </c>
      <c r="F428">
        <f>[5]trip_summary_region!F428</f>
        <v>56.343318451000002</v>
      </c>
      <c r="G428">
        <f>[5]trip_summary_region!G428</f>
        <v>609.97157515000004</v>
      </c>
      <c r="H428">
        <f>[5]trip_summary_region!H428</f>
        <v>15.084283410999999</v>
      </c>
      <c r="I428" t="str">
        <f>[5]trip_summary_region!I428</f>
        <v>Light Vehicle Passenger</v>
      </c>
      <c r="J428" t="str">
        <f>[5]trip_summary_region!J428</f>
        <v>2042/43</v>
      </c>
    </row>
    <row r="429" spans="1:10" x14ac:dyDescent="0.2">
      <c r="A429" t="str">
        <f>[5]trip_summary_region!A429</f>
        <v>06 HAWKE`S BAY</v>
      </c>
      <c r="B429">
        <f>[5]trip_summary_region!B429</f>
        <v>4</v>
      </c>
      <c r="C429">
        <f>[5]trip_summary_region!C429</f>
        <v>2013</v>
      </c>
      <c r="D429">
        <f>[5]trip_summary_region!D429</f>
        <v>4</v>
      </c>
      <c r="E429">
        <f>[5]trip_summary_region!E429</f>
        <v>8</v>
      </c>
      <c r="F429">
        <f>[5]trip_summary_region!F429</f>
        <v>0.32519619989999998</v>
      </c>
      <c r="G429">
        <f>[5]trip_summary_region!G429</f>
        <v>1.7589425135000001</v>
      </c>
      <c r="H429">
        <f>[5]trip_summary_region!H429</f>
        <v>4.5837477299999999E-2</v>
      </c>
      <c r="I429" t="s">
        <v>116</v>
      </c>
      <c r="J429" t="str">
        <f>[5]trip_summary_region!J429</f>
        <v>2012/13</v>
      </c>
    </row>
    <row r="430" spans="1:10" x14ac:dyDescent="0.2">
      <c r="A430" t="str">
        <f>[5]trip_summary_region!A430</f>
        <v>06 HAWKE`S BAY</v>
      </c>
      <c r="B430">
        <f>[5]trip_summary_region!B430</f>
        <v>4</v>
      </c>
      <c r="C430">
        <f>[5]trip_summary_region!C430</f>
        <v>2018</v>
      </c>
      <c r="D430">
        <f>[5]trip_summary_region!D430</f>
        <v>4</v>
      </c>
      <c r="E430">
        <f>[5]trip_summary_region!E430</f>
        <v>8</v>
      </c>
      <c r="F430">
        <f>[5]trip_summary_region!F430</f>
        <v>0.33335792860000002</v>
      </c>
      <c r="G430">
        <f>[5]trip_summary_region!G430</f>
        <v>1.7173685516999999</v>
      </c>
      <c r="H430">
        <f>[5]trip_summary_region!H430</f>
        <v>4.7536448000000002E-2</v>
      </c>
      <c r="I430" t="s">
        <v>116</v>
      </c>
      <c r="J430" t="str">
        <f>[5]trip_summary_region!J430</f>
        <v>2017/18</v>
      </c>
    </row>
    <row r="431" spans="1:10" x14ac:dyDescent="0.2">
      <c r="A431" t="str">
        <f>[5]trip_summary_region!A431</f>
        <v>06 HAWKE`S BAY</v>
      </c>
      <c r="B431">
        <f>[5]trip_summary_region!B431</f>
        <v>4</v>
      </c>
      <c r="C431">
        <f>[5]trip_summary_region!C431</f>
        <v>2023</v>
      </c>
      <c r="D431">
        <f>[5]trip_summary_region!D431</f>
        <v>4</v>
      </c>
      <c r="E431">
        <f>[5]trip_summary_region!E431</f>
        <v>8</v>
      </c>
      <c r="F431">
        <f>[5]trip_summary_region!F431</f>
        <v>0.34725274080000001</v>
      </c>
      <c r="G431">
        <f>[5]trip_summary_region!G431</f>
        <v>1.7012103219000001</v>
      </c>
      <c r="H431">
        <f>[5]trip_summary_region!H431</f>
        <v>4.9769015100000001E-2</v>
      </c>
      <c r="I431" t="s">
        <v>116</v>
      </c>
      <c r="J431" t="str">
        <f>[5]trip_summary_region!J431</f>
        <v>2022/23</v>
      </c>
    </row>
    <row r="432" spans="1:10" x14ac:dyDescent="0.2">
      <c r="A432" t="str">
        <f>[5]trip_summary_region!A432</f>
        <v>06 HAWKE`S BAY</v>
      </c>
      <c r="B432">
        <f>[5]trip_summary_region!B432</f>
        <v>4</v>
      </c>
      <c r="C432">
        <f>[5]trip_summary_region!C432</f>
        <v>2028</v>
      </c>
      <c r="D432">
        <f>[5]trip_summary_region!D432</f>
        <v>4</v>
      </c>
      <c r="E432">
        <f>[5]trip_summary_region!E432</f>
        <v>8</v>
      </c>
      <c r="F432">
        <f>[5]trip_summary_region!F432</f>
        <v>0.37936030970000001</v>
      </c>
      <c r="G432">
        <f>[5]trip_summary_region!G432</f>
        <v>1.7247248821000001</v>
      </c>
      <c r="H432">
        <f>[5]trip_summary_region!H432</f>
        <v>5.5236669400000001E-2</v>
      </c>
      <c r="I432" t="s">
        <v>116</v>
      </c>
      <c r="J432" t="str">
        <f>[5]trip_summary_region!J432</f>
        <v>2027/28</v>
      </c>
    </row>
    <row r="433" spans="1:10" x14ac:dyDescent="0.2">
      <c r="A433" t="str">
        <f>[5]trip_summary_region!A433</f>
        <v>06 HAWKE`S BAY</v>
      </c>
      <c r="B433">
        <f>[5]trip_summary_region!B433</f>
        <v>4</v>
      </c>
      <c r="C433">
        <f>[5]trip_summary_region!C433</f>
        <v>2033</v>
      </c>
      <c r="D433">
        <f>[5]trip_summary_region!D433</f>
        <v>4</v>
      </c>
      <c r="E433">
        <f>[5]trip_summary_region!E433</f>
        <v>8</v>
      </c>
      <c r="F433">
        <f>[5]trip_summary_region!F433</f>
        <v>0.42477284279999999</v>
      </c>
      <c r="G433">
        <f>[5]trip_summary_region!G433</f>
        <v>1.7962449283999999</v>
      </c>
      <c r="H433">
        <f>[5]trip_summary_region!H433</f>
        <v>6.3653579399999993E-2</v>
      </c>
      <c r="I433" t="s">
        <v>116</v>
      </c>
      <c r="J433" t="str">
        <f>[5]trip_summary_region!J433</f>
        <v>2032/33</v>
      </c>
    </row>
    <row r="434" spans="1:10" x14ac:dyDescent="0.2">
      <c r="A434" t="str">
        <f>[5]trip_summary_region!A434</f>
        <v>06 HAWKE`S BAY</v>
      </c>
      <c r="B434">
        <f>[5]trip_summary_region!B434</f>
        <v>4</v>
      </c>
      <c r="C434">
        <f>[5]trip_summary_region!C434</f>
        <v>2038</v>
      </c>
      <c r="D434">
        <f>[5]trip_summary_region!D434</f>
        <v>4</v>
      </c>
      <c r="E434">
        <f>[5]trip_summary_region!E434</f>
        <v>8</v>
      </c>
      <c r="F434">
        <f>[5]trip_summary_region!F434</f>
        <v>0.45356712719999998</v>
      </c>
      <c r="G434">
        <f>[5]trip_summary_region!G434</f>
        <v>1.8102472839999999</v>
      </c>
      <c r="H434">
        <f>[5]trip_summary_region!H434</f>
        <v>7.0193516799999994E-2</v>
      </c>
      <c r="I434" t="s">
        <v>116</v>
      </c>
      <c r="J434" t="str">
        <f>[5]trip_summary_region!J434</f>
        <v>2037/38</v>
      </c>
    </row>
    <row r="435" spans="1:10" x14ac:dyDescent="0.2">
      <c r="A435" t="str">
        <f>[5]trip_summary_region!A435</f>
        <v>06 HAWKE`S BAY</v>
      </c>
      <c r="B435">
        <f>[5]trip_summary_region!B435</f>
        <v>4</v>
      </c>
      <c r="C435">
        <f>[5]trip_summary_region!C435</f>
        <v>2043</v>
      </c>
      <c r="D435">
        <f>[5]trip_summary_region!D435</f>
        <v>4</v>
      </c>
      <c r="E435">
        <f>[5]trip_summary_region!E435</f>
        <v>8</v>
      </c>
      <c r="F435">
        <f>[5]trip_summary_region!F435</f>
        <v>0.48085714280000003</v>
      </c>
      <c r="G435">
        <f>[5]trip_summary_region!G435</f>
        <v>1.8223769205</v>
      </c>
      <c r="H435">
        <f>[5]trip_summary_region!H435</f>
        <v>7.6434761200000007E-2</v>
      </c>
      <c r="I435" t="s">
        <v>116</v>
      </c>
      <c r="J435" t="str">
        <f>[5]trip_summary_region!J435</f>
        <v>2042/43</v>
      </c>
    </row>
    <row r="436" spans="1:10" x14ac:dyDescent="0.2">
      <c r="A436" t="str">
        <f>[5]trip_summary_region!A436</f>
        <v>06 HAWKE`S BAY</v>
      </c>
      <c r="B436">
        <f>[5]trip_summary_region!B436</f>
        <v>5</v>
      </c>
      <c r="C436">
        <f>[5]trip_summary_region!C436</f>
        <v>2013</v>
      </c>
      <c r="D436">
        <f>[5]trip_summary_region!D436</f>
        <v>6</v>
      </c>
      <c r="E436">
        <f>[5]trip_summary_region!E436</f>
        <v>19</v>
      </c>
      <c r="F436">
        <f>[5]trip_summary_region!F436</f>
        <v>0.65061969099999994</v>
      </c>
      <c r="G436">
        <f>[5]trip_summary_region!G436</f>
        <v>3.0321841239</v>
      </c>
      <c r="H436">
        <f>[5]trip_summary_region!H436</f>
        <v>0.11763194120000001</v>
      </c>
      <c r="I436" t="str">
        <f>[5]trip_summary_region!I436</f>
        <v>Motorcyclist</v>
      </c>
      <c r="J436" t="str">
        <f>[5]trip_summary_region!J436</f>
        <v>2012/13</v>
      </c>
    </row>
    <row r="437" spans="1:10" x14ac:dyDescent="0.2">
      <c r="A437" t="str">
        <f>[5]trip_summary_region!A437</f>
        <v>06 HAWKE`S BAY</v>
      </c>
      <c r="B437">
        <f>[5]trip_summary_region!B437</f>
        <v>5</v>
      </c>
      <c r="C437">
        <f>[5]trip_summary_region!C437</f>
        <v>2018</v>
      </c>
      <c r="D437">
        <f>[5]trip_summary_region!D437</f>
        <v>6</v>
      </c>
      <c r="E437">
        <f>[5]trip_summary_region!E437</f>
        <v>19</v>
      </c>
      <c r="F437">
        <f>[5]trip_summary_region!F437</f>
        <v>0.62378405049999996</v>
      </c>
      <c r="G437">
        <f>[5]trip_summary_region!G437</f>
        <v>3.1914722688000001</v>
      </c>
      <c r="H437">
        <f>[5]trip_summary_region!H437</f>
        <v>0.1138802044</v>
      </c>
      <c r="I437" t="str">
        <f>[5]trip_summary_region!I437</f>
        <v>Motorcyclist</v>
      </c>
      <c r="J437" t="str">
        <f>[5]trip_summary_region!J437</f>
        <v>2017/18</v>
      </c>
    </row>
    <row r="438" spans="1:10" x14ac:dyDescent="0.2">
      <c r="A438" t="str">
        <f>[5]trip_summary_region!A438</f>
        <v>06 HAWKE`S BAY</v>
      </c>
      <c r="B438">
        <f>[5]trip_summary_region!B438</f>
        <v>5</v>
      </c>
      <c r="C438">
        <f>[5]trip_summary_region!C438</f>
        <v>2023</v>
      </c>
      <c r="D438">
        <f>[5]trip_summary_region!D438</f>
        <v>6</v>
      </c>
      <c r="E438">
        <f>[5]trip_summary_region!E438</f>
        <v>19</v>
      </c>
      <c r="F438">
        <f>[5]trip_summary_region!F438</f>
        <v>0.59207820440000003</v>
      </c>
      <c r="G438">
        <f>[5]trip_summary_region!G438</f>
        <v>3.2802338867</v>
      </c>
      <c r="H438">
        <f>[5]trip_summary_region!H438</f>
        <v>0.1104504695</v>
      </c>
      <c r="I438" t="str">
        <f>[5]trip_summary_region!I438</f>
        <v>Motorcyclist</v>
      </c>
      <c r="J438" t="str">
        <f>[5]trip_summary_region!J438</f>
        <v>2022/23</v>
      </c>
    </row>
    <row r="439" spans="1:10" x14ac:dyDescent="0.2">
      <c r="A439" t="str">
        <f>[5]trip_summary_region!A439</f>
        <v>06 HAWKE`S BAY</v>
      </c>
      <c r="B439">
        <f>[5]trip_summary_region!B439</f>
        <v>5</v>
      </c>
      <c r="C439">
        <f>[5]trip_summary_region!C439</f>
        <v>2028</v>
      </c>
      <c r="D439">
        <f>[5]trip_summary_region!D439</f>
        <v>6</v>
      </c>
      <c r="E439">
        <f>[5]trip_summary_region!E439</f>
        <v>19</v>
      </c>
      <c r="F439">
        <f>[5]trip_summary_region!F439</f>
        <v>0.5681072103</v>
      </c>
      <c r="G439">
        <f>[5]trip_summary_region!G439</f>
        <v>3.1331678662</v>
      </c>
      <c r="H439">
        <f>[5]trip_summary_region!H439</f>
        <v>0.10644659920000001</v>
      </c>
      <c r="I439" t="str">
        <f>[5]trip_summary_region!I439</f>
        <v>Motorcyclist</v>
      </c>
      <c r="J439" t="str">
        <f>[5]trip_summary_region!J439</f>
        <v>2027/28</v>
      </c>
    </row>
    <row r="440" spans="1:10" x14ac:dyDescent="0.2">
      <c r="A440" t="str">
        <f>[5]trip_summary_region!A440</f>
        <v>06 HAWKE`S BAY</v>
      </c>
      <c r="B440">
        <f>[5]trip_summary_region!B440</f>
        <v>5</v>
      </c>
      <c r="C440">
        <f>[5]trip_summary_region!C440</f>
        <v>2033</v>
      </c>
      <c r="D440">
        <f>[5]trip_summary_region!D440</f>
        <v>6</v>
      </c>
      <c r="E440">
        <f>[5]trip_summary_region!E440</f>
        <v>19</v>
      </c>
      <c r="F440">
        <f>[5]trip_summary_region!F440</f>
        <v>0.53126534400000003</v>
      </c>
      <c r="G440">
        <f>[5]trip_summary_region!G440</f>
        <v>2.9334277147000001</v>
      </c>
      <c r="H440">
        <f>[5]trip_summary_region!H440</f>
        <v>9.8074537599999997E-2</v>
      </c>
      <c r="I440" t="str">
        <f>[5]trip_summary_region!I440</f>
        <v>Motorcyclist</v>
      </c>
      <c r="J440" t="str">
        <f>[5]trip_summary_region!J440</f>
        <v>2032/33</v>
      </c>
    </row>
    <row r="441" spans="1:10" x14ac:dyDescent="0.2">
      <c r="A441" t="str">
        <f>[5]trip_summary_region!A441</f>
        <v>06 HAWKE`S BAY</v>
      </c>
      <c r="B441">
        <f>[5]trip_summary_region!B441</f>
        <v>5</v>
      </c>
      <c r="C441">
        <f>[5]trip_summary_region!C441</f>
        <v>2038</v>
      </c>
      <c r="D441">
        <f>[5]trip_summary_region!D441</f>
        <v>6</v>
      </c>
      <c r="E441">
        <f>[5]trip_summary_region!E441</f>
        <v>19</v>
      </c>
      <c r="F441">
        <f>[5]trip_summary_region!F441</f>
        <v>0.49177647120000001</v>
      </c>
      <c r="G441">
        <f>[5]trip_summary_region!G441</f>
        <v>2.8018503563000001</v>
      </c>
      <c r="H441">
        <f>[5]trip_summary_region!H441</f>
        <v>9.24482108E-2</v>
      </c>
      <c r="I441" t="str">
        <f>[5]trip_summary_region!I441</f>
        <v>Motorcyclist</v>
      </c>
      <c r="J441" t="str">
        <f>[5]trip_summary_region!J441</f>
        <v>2037/38</v>
      </c>
    </row>
    <row r="442" spans="1:10" x14ac:dyDescent="0.2">
      <c r="A442" t="str">
        <f>[5]trip_summary_region!A442</f>
        <v>06 HAWKE`S BAY</v>
      </c>
      <c r="B442">
        <f>[5]trip_summary_region!B442</f>
        <v>5</v>
      </c>
      <c r="C442">
        <f>[5]trip_summary_region!C442</f>
        <v>2043</v>
      </c>
      <c r="D442">
        <f>[5]trip_summary_region!D442</f>
        <v>6</v>
      </c>
      <c r="E442">
        <f>[5]trip_summary_region!E442</f>
        <v>19</v>
      </c>
      <c r="F442">
        <f>[5]trip_summary_region!F442</f>
        <v>0.452160809</v>
      </c>
      <c r="G442">
        <f>[5]trip_summary_region!G442</f>
        <v>2.6798811333999999</v>
      </c>
      <c r="H442">
        <f>[5]trip_summary_region!H442</f>
        <v>8.6826869500000001E-2</v>
      </c>
      <c r="I442" t="str">
        <f>[5]trip_summary_region!I442</f>
        <v>Motorcyclist</v>
      </c>
      <c r="J442" t="str">
        <f>[5]trip_summary_region!J442</f>
        <v>2042/43</v>
      </c>
    </row>
    <row r="443" spans="1:10" x14ac:dyDescent="0.2">
      <c r="A443" t="str">
        <f>[5]trip_summary_region!A443</f>
        <v>06 HAWKE`S BAY</v>
      </c>
      <c r="B443">
        <f>[5]trip_summary_region!B443</f>
        <v>7</v>
      </c>
      <c r="C443">
        <f>[5]trip_summary_region!C443</f>
        <v>2013</v>
      </c>
      <c r="D443">
        <f>[5]trip_summary_region!D443</f>
        <v>50</v>
      </c>
      <c r="E443">
        <f>[5]trip_summary_region!E443</f>
        <v>142</v>
      </c>
      <c r="F443">
        <f>[5]trip_summary_region!F443</f>
        <v>4.5218645043999999</v>
      </c>
      <c r="G443">
        <f>[5]trip_summary_region!G443</f>
        <v>39.591997026999998</v>
      </c>
      <c r="H443">
        <f>[5]trip_summary_region!H443</f>
        <v>1.3660147812000001</v>
      </c>
      <c r="I443" t="str">
        <f>[5]trip_summary_region!I443</f>
        <v>Local Bus</v>
      </c>
      <c r="J443" t="str">
        <f>[5]trip_summary_region!J443</f>
        <v>2012/13</v>
      </c>
    </row>
    <row r="444" spans="1:10" x14ac:dyDescent="0.2">
      <c r="A444" t="str">
        <f>[5]trip_summary_region!A444</f>
        <v>06 HAWKE`S BAY</v>
      </c>
      <c r="B444">
        <f>[5]trip_summary_region!B444</f>
        <v>7</v>
      </c>
      <c r="C444">
        <f>[5]trip_summary_region!C444</f>
        <v>2018</v>
      </c>
      <c r="D444">
        <f>[5]trip_summary_region!D444</f>
        <v>50</v>
      </c>
      <c r="E444">
        <f>[5]trip_summary_region!E444</f>
        <v>142</v>
      </c>
      <c r="F444">
        <f>[5]trip_summary_region!F444</f>
        <v>4.4994219165000002</v>
      </c>
      <c r="G444">
        <f>[5]trip_summary_region!G444</f>
        <v>38.361259404000002</v>
      </c>
      <c r="H444">
        <f>[5]trip_summary_region!H444</f>
        <v>1.3665915040000001</v>
      </c>
      <c r="I444" t="str">
        <f>[5]trip_summary_region!I444</f>
        <v>Local Bus</v>
      </c>
      <c r="J444" t="str">
        <f>[5]trip_summary_region!J444</f>
        <v>2017/18</v>
      </c>
    </row>
    <row r="445" spans="1:10" x14ac:dyDescent="0.2">
      <c r="A445" t="str">
        <f>[5]trip_summary_region!A445</f>
        <v>06 HAWKE`S BAY</v>
      </c>
      <c r="B445">
        <f>[5]trip_summary_region!B445</f>
        <v>7</v>
      </c>
      <c r="C445">
        <f>[5]trip_summary_region!C445</f>
        <v>2023</v>
      </c>
      <c r="D445">
        <f>[5]trip_summary_region!D445</f>
        <v>50</v>
      </c>
      <c r="E445">
        <f>[5]trip_summary_region!E445</f>
        <v>142</v>
      </c>
      <c r="F445">
        <f>[5]trip_summary_region!F445</f>
        <v>4.4918476599000003</v>
      </c>
      <c r="G445">
        <f>[5]trip_summary_region!G445</f>
        <v>37.386645309999999</v>
      </c>
      <c r="H445">
        <f>[5]trip_summary_region!H445</f>
        <v>1.3706771651</v>
      </c>
      <c r="I445" t="str">
        <f>[5]trip_summary_region!I445</f>
        <v>Local Bus</v>
      </c>
      <c r="J445" t="str">
        <f>[5]trip_summary_region!J445</f>
        <v>2022/23</v>
      </c>
    </row>
    <row r="446" spans="1:10" x14ac:dyDescent="0.2">
      <c r="A446" t="str">
        <f>[5]trip_summary_region!A446</f>
        <v>06 HAWKE`S BAY</v>
      </c>
      <c r="B446">
        <f>[5]trip_summary_region!B446</f>
        <v>7</v>
      </c>
      <c r="C446">
        <f>[5]trip_summary_region!C446</f>
        <v>2028</v>
      </c>
      <c r="D446">
        <f>[5]trip_summary_region!D446</f>
        <v>50</v>
      </c>
      <c r="E446">
        <f>[5]trip_summary_region!E446</f>
        <v>142</v>
      </c>
      <c r="F446">
        <f>[5]trip_summary_region!F446</f>
        <v>4.4988621173999999</v>
      </c>
      <c r="G446">
        <f>[5]trip_summary_region!G446</f>
        <v>36.841733109000003</v>
      </c>
      <c r="H446">
        <f>[5]trip_summary_region!H446</f>
        <v>1.3754637256</v>
      </c>
      <c r="I446" t="str">
        <f>[5]trip_summary_region!I446</f>
        <v>Local Bus</v>
      </c>
      <c r="J446" t="str">
        <f>[5]trip_summary_region!J446</f>
        <v>2027/28</v>
      </c>
    </row>
    <row r="447" spans="1:10" x14ac:dyDescent="0.2">
      <c r="A447" t="str">
        <f>[5]trip_summary_region!A447</f>
        <v>06 HAWKE`S BAY</v>
      </c>
      <c r="B447">
        <f>[5]trip_summary_region!B447</f>
        <v>7</v>
      </c>
      <c r="C447">
        <f>[5]trip_summary_region!C447</f>
        <v>2033</v>
      </c>
      <c r="D447">
        <f>[5]trip_summary_region!D447</f>
        <v>50</v>
      </c>
      <c r="E447">
        <f>[5]trip_summary_region!E447</f>
        <v>142</v>
      </c>
      <c r="F447">
        <f>[5]trip_summary_region!F447</f>
        <v>4.3612924271000004</v>
      </c>
      <c r="G447">
        <f>[5]trip_summary_region!G447</f>
        <v>35.118572356000001</v>
      </c>
      <c r="H447">
        <f>[5]trip_summary_region!H447</f>
        <v>1.332158231</v>
      </c>
      <c r="I447" t="str">
        <f>[5]trip_summary_region!I447</f>
        <v>Local Bus</v>
      </c>
      <c r="J447" t="str">
        <f>[5]trip_summary_region!J447</f>
        <v>2032/33</v>
      </c>
    </row>
    <row r="448" spans="1:10" x14ac:dyDescent="0.2">
      <c r="A448" t="str">
        <f>[5]trip_summary_region!A448</f>
        <v>06 HAWKE`S BAY</v>
      </c>
      <c r="B448">
        <f>[5]trip_summary_region!B448</f>
        <v>7</v>
      </c>
      <c r="C448">
        <f>[5]trip_summary_region!C448</f>
        <v>2038</v>
      </c>
      <c r="D448">
        <f>[5]trip_summary_region!D448</f>
        <v>50</v>
      </c>
      <c r="E448">
        <f>[5]trip_summary_region!E448</f>
        <v>142</v>
      </c>
      <c r="F448">
        <f>[5]trip_summary_region!F448</f>
        <v>4.3277477956999997</v>
      </c>
      <c r="G448">
        <f>[5]trip_summary_region!G448</f>
        <v>34.300981016000001</v>
      </c>
      <c r="H448">
        <f>[5]trip_summary_region!H448</f>
        <v>1.3249188895999999</v>
      </c>
      <c r="I448" t="str">
        <f>[5]trip_summary_region!I448</f>
        <v>Local Bus</v>
      </c>
      <c r="J448" t="str">
        <f>[5]trip_summary_region!J448</f>
        <v>2037/38</v>
      </c>
    </row>
    <row r="449" spans="1:10" x14ac:dyDescent="0.2">
      <c r="A449" t="str">
        <f>[5]trip_summary_region!A449</f>
        <v>06 HAWKE`S BAY</v>
      </c>
      <c r="B449">
        <f>[5]trip_summary_region!B449</f>
        <v>7</v>
      </c>
      <c r="C449">
        <f>[5]trip_summary_region!C449</f>
        <v>2043</v>
      </c>
      <c r="D449">
        <f>[5]trip_summary_region!D449</f>
        <v>50</v>
      </c>
      <c r="E449">
        <f>[5]trip_summary_region!E449</f>
        <v>142</v>
      </c>
      <c r="F449">
        <f>[5]trip_summary_region!F449</f>
        <v>4.2737948616999999</v>
      </c>
      <c r="G449">
        <f>[5]trip_summary_region!G449</f>
        <v>33.339615952000003</v>
      </c>
      <c r="H449">
        <f>[5]trip_summary_region!H449</f>
        <v>1.3115310784</v>
      </c>
      <c r="I449" t="str">
        <f>[5]trip_summary_region!I449</f>
        <v>Local Bus</v>
      </c>
      <c r="J449" t="str">
        <f>[5]trip_summary_region!J449</f>
        <v>2042/43</v>
      </c>
    </row>
    <row r="450" spans="1:10" x14ac:dyDescent="0.2">
      <c r="A450" t="str">
        <f>[5]trip_summary_region!A450</f>
        <v>06 HAWKE`S BAY</v>
      </c>
      <c r="B450">
        <f>[5]trip_summary_region!B450</f>
        <v>9</v>
      </c>
      <c r="C450">
        <f>[5]trip_summary_region!C450</f>
        <v>2013</v>
      </c>
      <c r="D450">
        <f>[5]trip_summary_region!D450</f>
        <v>3</v>
      </c>
      <c r="E450">
        <f>[5]trip_summary_region!E450</f>
        <v>10</v>
      </c>
      <c r="F450">
        <f>[5]trip_summary_region!F450</f>
        <v>0.49138149730000003</v>
      </c>
      <c r="G450">
        <f>[5]trip_summary_region!G450</f>
        <v>0</v>
      </c>
      <c r="H450">
        <f>[5]trip_summary_region!H450</f>
        <v>0.15778150060000001</v>
      </c>
      <c r="I450" t="str">
        <f>[5]trip_summary_region!I450</f>
        <v>Other Household Travel</v>
      </c>
      <c r="J450" t="str">
        <f>[5]trip_summary_region!J450</f>
        <v>2012/13</v>
      </c>
    </row>
    <row r="451" spans="1:10" x14ac:dyDescent="0.2">
      <c r="A451" t="str">
        <f>[5]trip_summary_region!A451</f>
        <v>06 HAWKE`S BAY</v>
      </c>
      <c r="B451">
        <f>[5]trip_summary_region!B451</f>
        <v>9</v>
      </c>
      <c r="C451">
        <f>[5]trip_summary_region!C451</f>
        <v>2018</v>
      </c>
      <c r="D451">
        <f>[5]trip_summary_region!D451</f>
        <v>3</v>
      </c>
      <c r="E451">
        <f>[5]trip_summary_region!E451</f>
        <v>10</v>
      </c>
      <c r="F451">
        <f>[5]trip_summary_region!F451</f>
        <v>0.53110834730000001</v>
      </c>
      <c r="G451">
        <f>[5]trip_summary_region!G451</f>
        <v>0</v>
      </c>
      <c r="H451">
        <f>[5]trip_summary_region!H451</f>
        <v>0.16691459289999999</v>
      </c>
      <c r="I451" t="str">
        <f>[5]trip_summary_region!I451</f>
        <v>Other Household Travel</v>
      </c>
      <c r="J451" t="str">
        <f>[5]trip_summary_region!J451</f>
        <v>2017/18</v>
      </c>
    </row>
    <row r="452" spans="1:10" x14ac:dyDescent="0.2">
      <c r="A452" t="str">
        <f>[5]trip_summary_region!A452</f>
        <v>06 HAWKE`S BAY</v>
      </c>
      <c r="B452">
        <f>[5]trip_summary_region!B452</f>
        <v>9</v>
      </c>
      <c r="C452">
        <f>[5]trip_summary_region!C452</f>
        <v>2023</v>
      </c>
      <c r="D452">
        <f>[5]trip_summary_region!D452</f>
        <v>3</v>
      </c>
      <c r="E452">
        <f>[5]trip_summary_region!E452</f>
        <v>10</v>
      </c>
      <c r="F452">
        <f>[5]trip_summary_region!F452</f>
        <v>0.61975372139999996</v>
      </c>
      <c r="G452">
        <f>[5]trip_summary_region!G452</f>
        <v>0</v>
      </c>
      <c r="H452">
        <f>[5]trip_summary_region!H452</f>
        <v>0.19066931770000001</v>
      </c>
      <c r="I452" t="str">
        <f>[5]trip_summary_region!I452</f>
        <v>Other Household Travel</v>
      </c>
      <c r="J452" t="str">
        <f>[5]trip_summary_region!J452</f>
        <v>2022/23</v>
      </c>
    </row>
    <row r="453" spans="1:10" x14ac:dyDescent="0.2">
      <c r="A453" t="str">
        <f>[5]trip_summary_region!A453</f>
        <v>06 HAWKE`S BAY</v>
      </c>
      <c r="B453">
        <f>[5]trip_summary_region!B453</f>
        <v>9</v>
      </c>
      <c r="C453">
        <f>[5]trip_summary_region!C453</f>
        <v>2028</v>
      </c>
      <c r="D453">
        <f>[5]trip_summary_region!D453</f>
        <v>3</v>
      </c>
      <c r="E453">
        <f>[5]trip_summary_region!E453</f>
        <v>10</v>
      </c>
      <c r="F453">
        <f>[5]trip_summary_region!F453</f>
        <v>0.70721419919999995</v>
      </c>
      <c r="G453">
        <f>[5]trip_summary_region!G453</f>
        <v>0</v>
      </c>
      <c r="H453">
        <f>[5]trip_summary_region!H453</f>
        <v>0.21453051479999999</v>
      </c>
      <c r="I453" t="str">
        <f>[5]trip_summary_region!I453</f>
        <v>Other Household Travel</v>
      </c>
      <c r="J453" t="str">
        <f>[5]trip_summary_region!J453</f>
        <v>2027/28</v>
      </c>
    </row>
    <row r="454" spans="1:10" x14ac:dyDescent="0.2">
      <c r="A454" t="str">
        <f>[5]trip_summary_region!A454</f>
        <v>06 HAWKE`S BAY</v>
      </c>
      <c r="B454">
        <f>[5]trip_summary_region!B454</f>
        <v>9</v>
      </c>
      <c r="C454">
        <f>[5]trip_summary_region!C454</f>
        <v>2033</v>
      </c>
      <c r="D454">
        <f>[5]trip_summary_region!D454</f>
        <v>3</v>
      </c>
      <c r="E454">
        <f>[5]trip_summary_region!E454</f>
        <v>10</v>
      </c>
      <c r="F454">
        <f>[5]trip_summary_region!F454</f>
        <v>0.76754483949999996</v>
      </c>
      <c r="G454">
        <f>[5]trip_summary_region!G454</f>
        <v>0</v>
      </c>
      <c r="H454">
        <f>[5]trip_summary_region!H454</f>
        <v>0.2288374175</v>
      </c>
      <c r="I454" t="str">
        <f>[5]trip_summary_region!I454</f>
        <v>Other Household Travel</v>
      </c>
      <c r="J454" t="str">
        <f>[5]trip_summary_region!J454</f>
        <v>2032/33</v>
      </c>
    </row>
    <row r="455" spans="1:10" x14ac:dyDescent="0.2">
      <c r="A455" t="str">
        <f>[5]trip_summary_region!A455</f>
        <v>06 HAWKE`S BAY</v>
      </c>
      <c r="B455">
        <f>[5]trip_summary_region!B455</f>
        <v>9</v>
      </c>
      <c r="C455">
        <f>[5]trip_summary_region!C455</f>
        <v>2038</v>
      </c>
      <c r="D455">
        <f>[5]trip_summary_region!D455</f>
        <v>3</v>
      </c>
      <c r="E455">
        <f>[5]trip_summary_region!E455</f>
        <v>10</v>
      </c>
      <c r="F455">
        <f>[5]trip_summary_region!F455</f>
        <v>0.83529125140000005</v>
      </c>
      <c r="G455">
        <f>[5]trip_summary_region!G455</f>
        <v>0</v>
      </c>
      <c r="H455">
        <f>[5]trip_summary_region!H455</f>
        <v>0.2473337477</v>
      </c>
      <c r="I455" t="str">
        <f>[5]trip_summary_region!I455</f>
        <v>Other Household Travel</v>
      </c>
      <c r="J455" t="str">
        <f>[5]trip_summary_region!J455</f>
        <v>2037/38</v>
      </c>
    </row>
    <row r="456" spans="1:10" x14ac:dyDescent="0.2">
      <c r="A456" t="str">
        <f>[5]trip_summary_region!A456</f>
        <v>06 HAWKE`S BAY</v>
      </c>
      <c r="B456">
        <f>[5]trip_summary_region!B456</f>
        <v>9</v>
      </c>
      <c r="C456">
        <f>[5]trip_summary_region!C456</f>
        <v>2043</v>
      </c>
      <c r="D456">
        <f>[5]trip_summary_region!D456</f>
        <v>3</v>
      </c>
      <c r="E456">
        <f>[5]trip_summary_region!E456</f>
        <v>10</v>
      </c>
      <c r="F456">
        <f>[5]trip_summary_region!F456</f>
        <v>0.89961476399999996</v>
      </c>
      <c r="G456">
        <f>[5]trip_summary_region!G456</f>
        <v>0</v>
      </c>
      <c r="H456">
        <f>[5]trip_summary_region!H456</f>
        <v>0.26474625070000002</v>
      </c>
      <c r="I456" t="str">
        <f>[5]trip_summary_region!I456</f>
        <v>Other Household Travel</v>
      </c>
      <c r="J456" t="str">
        <f>[5]trip_summary_region!J456</f>
        <v>2042/43</v>
      </c>
    </row>
    <row r="457" spans="1:10" x14ac:dyDescent="0.2">
      <c r="A457" t="str">
        <f>[5]trip_summary_region!A457</f>
        <v>06 HAWKE`S BAY</v>
      </c>
      <c r="B457">
        <f>[5]trip_summary_region!B457</f>
        <v>10</v>
      </c>
      <c r="C457">
        <f>[5]trip_summary_region!C457</f>
        <v>2013</v>
      </c>
      <c r="D457">
        <f>[5]trip_summary_region!D457</f>
        <v>3</v>
      </c>
      <c r="E457">
        <f>[5]trip_summary_region!E457</f>
        <v>5</v>
      </c>
      <c r="F457">
        <f>[5]trip_summary_region!F457</f>
        <v>0.36260942909999999</v>
      </c>
      <c r="G457">
        <f>[5]trip_summary_region!G457</f>
        <v>56.865163273</v>
      </c>
      <c r="H457">
        <f>[5]trip_summary_region!H457</f>
        <v>0.96259589999999995</v>
      </c>
      <c r="I457" t="str">
        <f>[5]trip_summary_region!I457</f>
        <v>Air/Non-Local PT</v>
      </c>
      <c r="J457" t="str">
        <f>[5]trip_summary_region!J457</f>
        <v>2012/13</v>
      </c>
    </row>
    <row r="458" spans="1:10" x14ac:dyDescent="0.2">
      <c r="A458" t="str">
        <f>[5]trip_summary_region!A458</f>
        <v>06 HAWKE`S BAY</v>
      </c>
      <c r="B458">
        <f>[5]trip_summary_region!B458</f>
        <v>10</v>
      </c>
      <c r="C458">
        <f>[5]trip_summary_region!C458</f>
        <v>2018</v>
      </c>
      <c r="D458">
        <f>[5]trip_summary_region!D458</f>
        <v>3</v>
      </c>
      <c r="E458">
        <f>[5]trip_summary_region!E458</f>
        <v>5</v>
      </c>
      <c r="F458">
        <f>[5]trip_summary_region!F458</f>
        <v>0.40724406400000002</v>
      </c>
      <c r="G458">
        <f>[5]trip_summary_region!G458</f>
        <v>63.508635699999999</v>
      </c>
      <c r="H458">
        <f>[5]trip_summary_region!H458</f>
        <v>1.0774162499</v>
      </c>
      <c r="I458" t="str">
        <f>[5]trip_summary_region!I458</f>
        <v>Air/Non-Local PT</v>
      </c>
      <c r="J458" t="str">
        <f>[5]trip_summary_region!J458</f>
        <v>2017/18</v>
      </c>
    </row>
    <row r="459" spans="1:10" x14ac:dyDescent="0.2">
      <c r="A459" t="str">
        <f>[5]trip_summary_region!A459</f>
        <v>06 HAWKE`S BAY</v>
      </c>
      <c r="B459">
        <f>[5]trip_summary_region!B459</f>
        <v>10</v>
      </c>
      <c r="C459">
        <f>[5]trip_summary_region!C459</f>
        <v>2023</v>
      </c>
      <c r="D459">
        <f>[5]trip_summary_region!D459</f>
        <v>3</v>
      </c>
      <c r="E459">
        <f>[5]trip_summary_region!E459</f>
        <v>5</v>
      </c>
      <c r="F459">
        <f>[5]trip_summary_region!F459</f>
        <v>0.4270829692</v>
      </c>
      <c r="G459">
        <f>[5]trip_summary_region!G459</f>
        <v>65.819938144000005</v>
      </c>
      <c r="H459">
        <f>[5]trip_summary_region!H459</f>
        <v>1.1213505067</v>
      </c>
      <c r="I459" t="str">
        <f>[5]trip_summary_region!I459</f>
        <v>Air/Non-Local PT</v>
      </c>
      <c r="J459" t="str">
        <f>[5]trip_summary_region!J459</f>
        <v>2022/23</v>
      </c>
    </row>
    <row r="460" spans="1:10" x14ac:dyDescent="0.2">
      <c r="A460" t="str">
        <f>[5]trip_summary_region!A460</f>
        <v>06 HAWKE`S BAY</v>
      </c>
      <c r="B460">
        <f>[5]trip_summary_region!B460</f>
        <v>10</v>
      </c>
      <c r="C460">
        <f>[5]trip_summary_region!C460</f>
        <v>2028</v>
      </c>
      <c r="D460">
        <f>[5]trip_summary_region!D460</f>
        <v>3</v>
      </c>
      <c r="E460">
        <f>[5]trip_summary_region!E460</f>
        <v>5</v>
      </c>
      <c r="F460">
        <f>[5]trip_summary_region!F460</f>
        <v>0.4152039871</v>
      </c>
      <c r="G460">
        <f>[5]trip_summary_region!G460</f>
        <v>62.72099712</v>
      </c>
      <c r="H460">
        <f>[5]trip_summary_region!H460</f>
        <v>1.0759082550000001</v>
      </c>
      <c r="I460" t="str">
        <f>[5]trip_summary_region!I460</f>
        <v>Air/Non-Local PT</v>
      </c>
      <c r="J460" t="str">
        <f>[5]trip_summary_region!J460</f>
        <v>2027/28</v>
      </c>
    </row>
    <row r="461" spans="1:10" x14ac:dyDescent="0.2">
      <c r="A461" t="str">
        <f>[5]trip_summary_region!A461</f>
        <v>06 HAWKE`S BAY</v>
      </c>
      <c r="B461">
        <f>[5]trip_summary_region!B461</f>
        <v>10</v>
      </c>
      <c r="C461">
        <f>[5]trip_summary_region!C461</f>
        <v>2033</v>
      </c>
      <c r="D461">
        <f>[5]trip_summary_region!D461</f>
        <v>3</v>
      </c>
      <c r="E461">
        <f>[5]trip_summary_region!E461</f>
        <v>5</v>
      </c>
      <c r="F461">
        <f>[5]trip_summary_region!F461</f>
        <v>0.4032592022</v>
      </c>
      <c r="G461">
        <f>[5]trip_summary_region!G461</f>
        <v>59.175429669000003</v>
      </c>
      <c r="H461">
        <f>[5]trip_summary_region!H461</f>
        <v>1.0265110421000001</v>
      </c>
      <c r="I461" t="str">
        <f>[5]trip_summary_region!I461</f>
        <v>Air/Non-Local PT</v>
      </c>
      <c r="J461" t="str">
        <f>[5]trip_summary_region!J461</f>
        <v>2032/33</v>
      </c>
    </row>
    <row r="462" spans="1:10" x14ac:dyDescent="0.2">
      <c r="A462" t="str">
        <f>[5]trip_summary_region!A462</f>
        <v>06 HAWKE`S BAY</v>
      </c>
      <c r="B462">
        <f>[5]trip_summary_region!B462</f>
        <v>10</v>
      </c>
      <c r="C462">
        <f>[5]trip_summary_region!C462</f>
        <v>2038</v>
      </c>
      <c r="D462">
        <f>[5]trip_summary_region!D462</f>
        <v>3</v>
      </c>
      <c r="E462">
        <f>[5]trip_summary_region!E462</f>
        <v>5</v>
      </c>
      <c r="F462">
        <f>[5]trip_summary_region!F462</f>
        <v>0.39836075669999998</v>
      </c>
      <c r="G462">
        <f>[5]trip_summary_region!G462</f>
        <v>58.712158320999997</v>
      </c>
      <c r="H462">
        <f>[5]trip_summary_region!H462</f>
        <v>1.0161925516000001</v>
      </c>
      <c r="I462" t="str">
        <f>[5]trip_summary_region!I462</f>
        <v>Air/Non-Local PT</v>
      </c>
      <c r="J462" t="str">
        <f>[5]trip_summary_region!J462</f>
        <v>2037/38</v>
      </c>
    </row>
    <row r="463" spans="1:10" x14ac:dyDescent="0.2">
      <c r="A463" t="str">
        <f>[5]trip_summary_region!A463</f>
        <v>06 HAWKE`S BAY</v>
      </c>
      <c r="B463">
        <f>[5]trip_summary_region!B463</f>
        <v>10</v>
      </c>
      <c r="C463">
        <f>[5]trip_summary_region!C463</f>
        <v>2043</v>
      </c>
      <c r="D463">
        <f>[5]trip_summary_region!D463</f>
        <v>3</v>
      </c>
      <c r="E463">
        <f>[5]trip_summary_region!E463</f>
        <v>5</v>
      </c>
      <c r="F463">
        <f>[5]trip_summary_region!F463</f>
        <v>0.39058307419999999</v>
      </c>
      <c r="G463">
        <f>[5]trip_summary_region!G463</f>
        <v>57.769298941000002</v>
      </c>
      <c r="H463">
        <f>[5]trip_summary_region!H463</f>
        <v>0.99795236789999997</v>
      </c>
      <c r="I463" t="str">
        <f>[5]trip_summary_region!I463</f>
        <v>Air/Non-Local PT</v>
      </c>
      <c r="J463" t="str">
        <f>[5]trip_summary_region!J463</f>
        <v>2042/43</v>
      </c>
    </row>
    <row r="464" spans="1:10" x14ac:dyDescent="0.2">
      <c r="A464" t="str">
        <f>[5]trip_summary_region!A464</f>
        <v>06 HAWKE`S BAY</v>
      </c>
      <c r="B464">
        <f>[5]trip_summary_region!B464</f>
        <v>11</v>
      </c>
      <c r="C464">
        <f>[5]trip_summary_region!C464</f>
        <v>2013</v>
      </c>
      <c r="D464">
        <f>[5]trip_summary_region!D464</f>
        <v>8</v>
      </c>
      <c r="E464">
        <f>[5]trip_summary_region!E464</f>
        <v>27</v>
      </c>
      <c r="F464">
        <f>[5]trip_summary_region!F464</f>
        <v>0.84253347339999995</v>
      </c>
      <c r="G464">
        <f>[5]trip_summary_region!G464</f>
        <v>31.621733808999998</v>
      </c>
      <c r="H464">
        <f>[5]trip_summary_region!H464</f>
        <v>0.62196297879999995</v>
      </c>
      <c r="I464" t="str">
        <f>[5]trip_summary_region!I464</f>
        <v>Non-Household Travel</v>
      </c>
      <c r="J464" t="str">
        <f>[5]trip_summary_region!J464</f>
        <v>2012/13</v>
      </c>
    </row>
    <row r="465" spans="1:10" x14ac:dyDescent="0.2">
      <c r="A465" t="str">
        <f>[5]trip_summary_region!A465</f>
        <v>06 HAWKE`S BAY</v>
      </c>
      <c r="B465">
        <f>[5]trip_summary_region!B465</f>
        <v>11</v>
      </c>
      <c r="C465">
        <f>[5]trip_summary_region!C465</f>
        <v>2018</v>
      </c>
      <c r="D465">
        <f>[5]trip_summary_region!D465</f>
        <v>8</v>
      </c>
      <c r="E465">
        <f>[5]trip_summary_region!E465</f>
        <v>27</v>
      </c>
      <c r="F465">
        <f>[5]trip_summary_region!F465</f>
        <v>0.9532945746</v>
      </c>
      <c r="G465">
        <f>[5]trip_summary_region!G465</f>
        <v>36.919926830999998</v>
      </c>
      <c r="H465">
        <f>[5]trip_summary_region!H465</f>
        <v>0.72287574229999996</v>
      </c>
      <c r="I465" t="str">
        <f>[5]trip_summary_region!I465</f>
        <v>Non-Household Travel</v>
      </c>
      <c r="J465" t="str">
        <f>[5]trip_summary_region!J465</f>
        <v>2017/18</v>
      </c>
    </row>
    <row r="466" spans="1:10" x14ac:dyDescent="0.2">
      <c r="A466" t="str">
        <f>[5]trip_summary_region!A466</f>
        <v>06 HAWKE`S BAY</v>
      </c>
      <c r="B466">
        <f>[5]trip_summary_region!B466</f>
        <v>11</v>
      </c>
      <c r="C466">
        <f>[5]trip_summary_region!C466</f>
        <v>2023</v>
      </c>
      <c r="D466">
        <f>[5]trip_summary_region!D466</f>
        <v>8</v>
      </c>
      <c r="E466">
        <f>[5]trip_summary_region!E466</f>
        <v>27</v>
      </c>
      <c r="F466">
        <f>[5]trip_summary_region!F466</f>
        <v>1.0359565143</v>
      </c>
      <c r="G466">
        <f>[5]trip_summary_region!G466</f>
        <v>39.901408740000001</v>
      </c>
      <c r="H466">
        <f>[5]trip_summary_region!H466</f>
        <v>0.7868554311</v>
      </c>
      <c r="I466" t="str">
        <f>[5]trip_summary_region!I466</f>
        <v>Non-Household Travel</v>
      </c>
      <c r="J466" t="str">
        <f>[5]trip_summary_region!J466</f>
        <v>2022/23</v>
      </c>
    </row>
    <row r="467" spans="1:10" x14ac:dyDescent="0.2">
      <c r="A467" t="str">
        <f>[5]trip_summary_region!A467</f>
        <v>06 HAWKE`S BAY</v>
      </c>
      <c r="B467">
        <f>[5]trip_summary_region!B467</f>
        <v>11</v>
      </c>
      <c r="C467">
        <f>[5]trip_summary_region!C467</f>
        <v>2028</v>
      </c>
      <c r="D467">
        <f>[5]trip_summary_region!D467</f>
        <v>8</v>
      </c>
      <c r="E467">
        <f>[5]trip_summary_region!E467</f>
        <v>27</v>
      </c>
      <c r="F467">
        <f>[5]trip_summary_region!F467</f>
        <v>1.0549465431</v>
      </c>
      <c r="G467">
        <f>[5]trip_summary_region!G467</f>
        <v>39.241486137000003</v>
      </c>
      <c r="H467">
        <f>[5]trip_summary_region!H467</f>
        <v>0.78625564550000004</v>
      </c>
      <c r="I467" t="str">
        <f>[5]trip_summary_region!I467</f>
        <v>Non-Household Travel</v>
      </c>
      <c r="J467" t="str">
        <f>[5]trip_summary_region!J467</f>
        <v>2027/28</v>
      </c>
    </row>
    <row r="468" spans="1:10" x14ac:dyDescent="0.2">
      <c r="A468" t="str">
        <f>[5]trip_summary_region!A468</f>
        <v>06 HAWKE`S BAY</v>
      </c>
      <c r="B468">
        <f>[5]trip_summary_region!B468</f>
        <v>11</v>
      </c>
      <c r="C468">
        <f>[5]trip_summary_region!C468</f>
        <v>2033</v>
      </c>
      <c r="D468">
        <f>[5]trip_summary_region!D468</f>
        <v>8</v>
      </c>
      <c r="E468">
        <f>[5]trip_summary_region!E468</f>
        <v>27</v>
      </c>
      <c r="F468">
        <f>[5]trip_summary_region!F468</f>
        <v>1.052413007</v>
      </c>
      <c r="G468">
        <f>[5]trip_summary_region!G468</f>
        <v>38.857774927999998</v>
      </c>
      <c r="H468">
        <f>[5]trip_summary_region!H468</f>
        <v>0.78493185539999999</v>
      </c>
      <c r="I468" t="str">
        <f>[5]trip_summary_region!I468</f>
        <v>Non-Household Travel</v>
      </c>
      <c r="J468" t="str">
        <f>[5]trip_summary_region!J468</f>
        <v>2032/33</v>
      </c>
    </row>
    <row r="469" spans="1:10" x14ac:dyDescent="0.2">
      <c r="A469" t="str">
        <f>[5]trip_summary_region!A469</f>
        <v>06 HAWKE`S BAY</v>
      </c>
      <c r="B469">
        <f>[5]trip_summary_region!B469</f>
        <v>11</v>
      </c>
      <c r="C469">
        <f>[5]trip_summary_region!C469</f>
        <v>2038</v>
      </c>
      <c r="D469">
        <f>[5]trip_summary_region!D469</f>
        <v>8</v>
      </c>
      <c r="E469">
        <f>[5]trip_summary_region!E469</f>
        <v>27</v>
      </c>
      <c r="F469">
        <f>[5]trip_summary_region!F469</f>
        <v>1.0582786904999999</v>
      </c>
      <c r="G469">
        <f>[5]trip_summary_region!G469</f>
        <v>39.240942146999998</v>
      </c>
      <c r="H469">
        <f>[5]trip_summary_region!H469</f>
        <v>0.79643836509999999</v>
      </c>
      <c r="I469" t="str">
        <f>[5]trip_summary_region!I469</f>
        <v>Non-Household Travel</v>
      </c>
      <c r="J469" t="str">
        <f>[5]trip_summary_region!J469</f>
        <v>2037/38</v>
      </c>
    </row>
    <row r="470" spans="1:10" x14ac:dyDescent="0.2">
      <c r="A470" t="str">
        <f>[5]trip_summary_region!A470</f>
        <v>06 HAWKE`S BAY</v>
      </c>
      <c r="B470">
        <f>[5]trip_summary_region!B470</f>
        <v>11</v>
      </c>
      <c r="C470">
        <f>[5]trip_summary_region!C470</f>
        <v>2043</v>
      </c>
      <c r="D470">
        <f>[5]trip_summary_region!D470</f>
        <v>8</v>
      </c>
      <c r="E470">
        <f>[5]trip_summary_region!E470</f>
        <v>27</v>
      </c>
      <c r="F470">
        <f>[5]trip_summary_region!F470</f>
        <v>1.0587341873</v>
      </c>
      <c r="G470">
        <f>[5]trip_summary_region!G470</f>
        <v>39.533119311</v>
      </c>
      <c r="H470">
        <f>[5]trip_summary_region!H470</f>
        <v>0.80532963130000002</v>
      </c>
      <c r="I470" t="str">
        <f>[5]trip_summary_region!I470</f>
        <v>Non-Household Travel</v>
      </c>
      <c r="J470" t="str">
        <f>[5]trip_summary_region!J470</f>
        <v>2042/43</v>
      </c>
    </row>
    <row r="471" spans="1:10" x14ac:dyDescent="0.2">
      <c r="A471" t="str">
        <f>[5]trip_summary_region!A471</f>
        <v>07 TARANAKI</v>
      </c>
      <c r="B471">
        <f>[5]trip_summary_region!B471</f>
        <v>0</v>
      </c>
      <c r="C471">
        <f>[5]trip_summary_region!C471</f>
        <v>2013</v>
      </c>
      <c r="D471">
        <f>[5]trip_summary_region!D471</f>
        <v>314</v>
      </c>
      <c r="E471">
        <f>[5]trip_summary_region!E471</f>
        <v>1091</v>
      </c>
      <c r="F471">
        <f>[5]trip_summary_region!F471</f>
        <v>23.308571313000002</v>
      </c>
      <c r="G471">
        <f>[5]trip_summary_region!G471</f>
        <v>16.820589198</v>
      </c>
      <c r="H471">
        <f>[5]trip_summary_region!H471</f>
        <v>4.7547330373000003</v>
      </c>
      <c r="I471" t="str">
        <f>[5]trip_summary_region!I471</f>
        <v>Pedestrian</v>
      </c>
      <c r="J471" t="str">
        <f>[5]trip_summary_region!J471</f>
        <v>2012/13</v>
      </c>
    </row>
    <row r="472" spans="1:10" x14ac:dyDescent="0.2">
      <c r="A472" t="str">
        <f>[5]trip_summary_region!A472</f>
        <v>07 TARANAKI</v>
      </c>
      <c r="B472">
        <f>[5]trip_summary_region!B472</f>
        <v>0</v>
      </c>
      <c r="C472">
        <f>[5]trip_summary_region!C472</f>
        <v>2018</v>
      </c>
      <c r="D472">
        <f>[5]trip_summary_region!D472</f>
        <v>314</v>
      </c>
      <c r="E472">
        <f>[5]trip_summary_region!E472</f>
        <v>1091</v>
      </c>
      <c r="F472">
        <f>[5]trip_summary_region!F472</f>
        <v>24.428552687</v>
      </c>
      <c r="G472">
        <f>[5]trip_summary_region!G472</f>
        <v>17.692860114999998</v>
      </c>
      <c r="H472">
        <f>[5]trip_summary_region!H472</f>
        <v>4.8448275164999997</v>
      </c>
      <c r="I472" t="str">
        <f>[5]trip_summary_region!I472</f>
        <v>Pedestrian</v>
      </c>
      <c r="J472" t="str">
        <f>[5]trip_summary_region!J472</f>
        <v>2017/18</v>
      </c>
    </row>
    <row r="473" spans="1:10" x14ac:dyDescent="0.2">
      <c r="A473" t="str">
        <f>[5]trip_summary_region!A473</f>
        <v>07 TARANAKI</v>
      </c>
      <c r="B473">
        <f>[5]trip_summary_region!B473</f>
        <v>0</v>
      </c>
      <c r="C473">
        <f>[5]trip_summary_region!C473</f>
        <v>2023</v>
      </c>
      <c r="D473">
        <f>[5]trip_summary_region!D473</f>
        <v>314</v>
      </c>
      <c r="E473">
        <f>[5]trip_summary_region!E473</f>
        <v>1091</v>
      </c>
      <c r="F473">
        <f>[5]trip_summary_region!F473</f>
        <v>24.96163851</v>
      </c>
      <c r="G473">
        <f>[5]trip_summary_region!G473</f>
        <v>18.161813358</v>
      </c>
      <c r="H473">
        <f>[5]trip_summary_region!H473</f>
        <v>4.8476241167999996</v>
      </c>
      <c r="I473" t="str">
        <f>[5]trip_summary_region!I473</f>
        <v>Pedestrian</v>
      </c>
      <c r="J473" t="str">
        <f>[5]trip_summary_region!J473</f>
        <v>2022/23</v>
      </c>
    </row>
    <row r="474" spans="1:10" x14ac:dyDescent="0.2">
      <c r="A474" t="str">
        <f>[5]trip_summary_region!A474</f>
        <v>07 TARANAKI</v>
      </c>
      <c r="B474">
        <f>[5]trip_summary_region!B474</f>
        <v>0</v>
      </c>
      <c r="C474">
        <f>[5]trip_summary_region!C474</f>
        <v>2028</v>
      </c>
      <c r="D474">
        <f>[5]trip_summary_region!D474</f>
        <v>314</v>
      </c>
      <c r="E474">
        <f>[5]trip_summary_region!E474</f>
        <v>1091</v>
      </c>
      <c r="F474">
        <f>[5]trip_summary_region!F474</f>
        <v>25.145805365000001</v>
      </c>
      <c r="G474">
        <f>[5]trip_summary_region!G474</f>
        <v>18.460673945</v>
      </c>
      <c r="H474">
        <f>[5]trip_summary_region!H474</f>
        <v>4.8141978637999996</v>
      </c>
      <c r="I474" t="str">
        <f>[5]trip_summary_region!I474</f>
        <v>Pedestrian</v>
      </c>
      <c r="J474" t="str">
        <f>[5]trip_summary_region!J474</f>
        <v>2027/28</v>
      </c>
    </row>
    <row r="475" spans="1:10" x14ac:dyDescent="0.2">
      <c r="A475" t="str">
        <f>[5]trip_summary_region!A475</f>
        <v>07 TARANAKI</v>
      </c>
      <c r="B475">
        <f>[5]trip_summary_region!B475</f>
        <v>0</v>
      </c>
      <c r="C475">
        <f>[5]trip_summary_region!C475</f>
        <v>2033</v>
      </c>
      <c r="D475">
        <f>[5]trip_summary_region!D475</f>
        <v>314</v>
      </c>
      <c r="E475">
        <f>[5]trip_summary_region!E475</f>
        <v>1091</v>
      </c>
      <c r="F475">
        <f>[5]trip_summary_region!F475</f>
        <v>25.137351346999999</v>
      </c>
      <c r="G475">
        <f>[5]trip_summary_region!G475</f>
        <v>18.583565827000001</v>
      </c>
      <c r="H475">
        <f>[5]trip_summary_region!H475</f>
        <v>4.7676002443999996</v>
      </c>
      <c r="I475" t="str">
        <f>[5]trip_summary_region!I475</f>
        <v>Pedestrian</v>
      </c>
      <c r="J475" t="str">
        <f>[5]trip_summary_region!J475</f>
        <v>2032/33</v>
      </c>
    </row>
    <row r="476" spans="1:10" x14ac:dyDescent="0.2">
      <c r="A476" t="str">
        <f>[5]trip_summary_region!A476</f>
        <v>07 TARANAKI</v>
      </c>
      <c r="B476">
        <f>[5]trip_summary_region!B476</f>
        <v>0</v>
      </c>
      <c r="C476">
        <f>[5]trip_summary_region!C476</f>
        <v>2038</v>
      </c>
      <c r="D476">
        <f>[5]trip_summary_region!D476</f>
        <v>314</v>
      </c>
      <c r="E476">
        <f>[5]trip_summary_region!E476</f>
        <v>1091</v>
      </c>
      <c r="F476">
        <f>[5]trip_summary_region!F476</f>
        <v>25.024126322000001</v>
      </c>
      <c r="G476">
        <f>[5]trip_summary_region!G476</f>
        <v>18.685750297999999</v>
      </c>
      <c r="H476">
        <f>[5]trip_summary_region!H476</f>
        <v>4.7251269005000003</v>
      </c>
      <c r="I476" t="str">
        <f>[5]trip_summary_region!I476</f>
        <v>Pedestrian</v>
      </c>
      <c r="J476" t="str">
        <f>[5]trip_summary_region!J476</f>
        <v>2037/38</v>
      </c>
    </row>
    <row r="477" spans="1:10" x14ac:dyDescent="0.2">
      <c r="A477" t="str">
        <f>[5]trip_summary_region!A477</f>
        <v>07 TARANAKI</v>
      </c>
      <c r="B477">
        <f>[5]trip_summary_region!B477</f>
        <v>0</v>
      </c>
      <c r="C477">
        <f>[5]trip_summary_region!C477</f>
        <v>2043</v>
      </c>
      <c r="D477">
        <f>[5]trip_summary_region!D477</f>
        <v>314</v>
      </c>
      <c r="E477">
        <f>[5]trip_summary_region!E477</f>
        <v>1091</v>
      </c>
      <c r="F477">
        <f>[5]trip_summary_region!F477</f>
        <v>24.805968183000001</v>
      </c>
      <c r="G477">
        <f>[5]trip_summary_region!G477</f>
        <v>18.718498239999999</v>
      </c>
      <c r="H477">
        <f>[5]trip_summary_region!H477</f>
        <v>4.6699556394000004</v>
      </c>
      <c r="I477" t="str">
        <f>[5]trip_summary_region!I477</f>
        <v>Pedestrian</v>
      </c>
      <c r="J477" t="str">
        <f>[5]trip_summary_region!J477</f>
        <v>2042/43</v>
      </c>
    </row>
    <row r="478" spans="1:10" x14ac:dyDescent="0.2">
      <c r="A478" t="str">
        <f>[5]trip_summary_region!A478</f>
        <v>07 TARANAKI</v>
      </c>
      <c r="B478">
        <f>[5]trip_summary_region!B478</f>
        <v>1</v>
      </c>
      <c r="C478">
        <f>[5]trip_summary_region!C478</f>
        <v>2013</v>
      </c>
      <c r="D478">
        <f>[5]trip_summary_region!D478</f>
        <v>45</v>
      </c>
      <c r="E478">
        <f>[5]trip_summary_region!E478</f>
        <v>133</v>
      </c>
      <c r="F478">
        <f>[5]trip_summary_region!F478</f>
        <v>2.1611397319000001</v>
      </c>
      <c r="G478">
        <f>[5]trip_summary_region!G478</f>
        <v>5.5737915155</v>
      </c>
      <c r="H478">
        <f>[5]trip_summary_region!H478</f>
        <v>0.51341482110000003</v>
      </c>
      <c r="I478" t="str">
        <f>[5]trip_summary_region!I478</f>
        <v>Cyclist</v>
      </c>
      <c r="J478" t="str">
        <f>[5]trip_summary_region!J478</f>
        <v>2012/13</v>
      </c>
    </row>
    <row r="479" spans="1:10" x14ac:dyDescent="0.2">
      <c r="A479" t="str">
        <f>[5]trip_summary_region!A479</f>
        <v>07 TARANAKI</v>
      </c>
      <c r="B479">
        <f>[5]trip_summary_region!B479</f>
        <v>1</v>
      </c>
      <c r="C479">
        <f>[5]trip_summary_region!C479</f>
        <v>2018</v>
      </c>
      <c r="D479">
        <f>[5]trip_summary_region!D479</f>
        <v>45</v>
      </c>
      <c r="E479">
        <f>[5]trip_summary_region!E479</f>
        <v>133</v>
      </c>
      <c r="F479">
        <f>[5]trip_summary_region!F479</f>
        <v>2.1913231084999998</v>
      </c>
      <c r="G479">
        <f>[5]trip_summary_region!G479</f>
        <v>5.7568896104</v>
      </c>
      <c r="H479">
        <f>[5]trip_summary_region!H479</f>
        <v>0.53588330939999995</v>
      </c>
      <c r="I479" t="str">
        <f>[5]trip_summary_region!I479</f>
        <v>Cyclist</v>
      </c>
      <c r="J479" t="str">
        <f>[5]trip_summary_region!J479</f>
        <v>2017/18</v>
      </c>
    </row>
    <row r="480" spans="1:10" x14ac:dyDescent="0.2">
      <c r="A480" t="str">
        <f>[5]trip_summary_region!A480</f>
        <v>07 TARANAKI</v>
      </c>
      <c r="B480">
        <f>[5]trip_summary_region!B480</f>
        <v>1</v>
      </c>
      <c r="C480">
        <f>[5]trip_summary_region!C480</f>
        <v>2023</v>
      </c>
      <c r="D480">
        <f>[5]trip_summary_region!D480</f>
        <v>45</v>
      </c>
      <c r="E480">
        <f>[5]trip_summary_region!E480</f>
        <v>133</v>
      </c>
      <c r="F480">
        <f>[5]trip_summary_region!F480</f>
        <v>2.1918669836000002</v>
      </c>
      <c r="G480">
        <f>[5]trip_summary_region!G480</f>
        <v>5.8132661280000004</v>
      </c>
      <c r="H480">
        <f>[5]trip_summary_region!H480</f>
        <v>0.54417950569999995</v>
      </c>
      <c r="I480" t="str">
        <f>[5]trip_summary_region!I480</f>
        <v>Cyclist</v>
      </c>
      <c r="J480" t="str">
        <f>[5]trip_summary_region!J480</f>
        <v>2022/23</v>
      </c>
    </row>
    <row r="481" spans="1:10" x14ac:dyDescent="0.2">
      <c r="A481" t="str">
        <f>[5]trip_summary_region!A481</f>
        <v>07 TARANAKI</v>
      </c>
      <c r="B481">
        <f>[5]trip_summary_region!B481</f>
        <v>1</v>
      </c>
      <c r="C481">
        <f>[5]trip_summary_region!C481</f>
        <v>2028</v>
      </c>
      <c r="D481">
        <f>[5]trip_summary_region!D481</f>
        <v>45</v>
      </c>
      <c r="E481">
        <f>[5]trip_summary_region!E481</f>
        <v>133</v>
      </c>
      <c r="F481">
        <f>[5]trip_summary_region!F481</f>
        <v>2.1811750935999998</v>
      </c>
      <c r="G481">
        <f>[5]trip_summary_region!G481</f>
        <v>5.6996068239</v>
      </c>
      <c r="H481">
        <f>[5]trip_summary_region!H481</f>
        <v>0.53918220480000001</v>
      </c>
      <c r="I481" t="str">
        <f>[5]trip_summary_region!I481</f>
        <v>Cyclist</v>
      </c>
      <c r="J481" t="str">
        <f>[5]trip_summary_region!J481</f>
        <v>2027/28</v>
      </c>
    </row>
    <row r="482" spans="1:10" x14ac:dyDescent="0.2">
      <c r="A482" t="str">
        <f>[5]trip_summary_region!A482</f>
        <v>07 TARANAKI</v>
      </c>
      <c r="B482">
        <f>[5]trip_summary_region!B482</f>
        <v>1</v>
      </c>
      <c r="C482">
        <f>[5]trip_summary_region!C482</f>
        <v>2033</v>
      </c>
      <c r="D482">
        <f>[5]trip_summary_region!D482</f>
        <v>45</v>
      </c>
      <c r="E482">
        <f>[5]trip_summary_region!E482</f>
        <v>133</v>
      </c>
      <c r="F482">
        <f>[5]trip_summary_region!F482</f>
        <v>2.1765782403</v>
      </c>
      <c r="G482">
        <f>[5]trip_summary_region!G482</f>
        <v>5.7519651597000001</v>
      </c>
      <c r="H482">
        <f>[5]trip_summary_region!H482</f>
        <v>0.54710030129999998</v>
      </c>
      <c r="I482" t="str">
        <f>[5]trip_summary_region!I482</f>
        <v>Cyclist</v>
      </c>
      <c r="J482" t="str">
        <f>[5]trip_summary_region!J482</f>
        <v>2032/33</v>
      </c>
    </row>
    <row r="483" spans="1:10" x14ac:dyDescent="0.2">
      <c r="A483" t="str">
        <f>[5]trip_summary_region!A483</f>
        <v>07 TARANAKI</v>
      </c>
      <c r="B483">
        <f>[5]trip_summary_region!B483</f>
        <v>1</v>
      </c>
      <c r="C483">
        <f>[5]trip_summary_region!C483</f>
        <v>2038</v>
      </c>
      <c r="D483">
        <f>[5]trip_summary_region!D483</f>
        <v>45</v>
      </c>
      <c r="E483">
        <f>[5]trip_summary_region!E483</f>
        <v>133</v>
      </c>
      <c r="F483">
        <f>[5]trip_summary_region!F483</f>
        <v>2.1376069092000001</v>
      </c>
      <c r="G483">
        <f>[5]trip_summary_region!G483</f>
        <v>5.9056402023999999</v>
      </c>
      <c r="H483">
        <f>[5]trip_summary_region!H483</f>
        <v>0.55999709220000005</v>
      </c>
      <c r="I483" t="str">
        <f>[5]trip_summary_region!I483</f>
        <v>Cyclist</v>
      </c>
      <c r="J483" t="str">
        <f>[5]trip_summary_region!J483</f>
        <v>2037/38</v>
      </c>
    </row>
    <row r="484" spans="1:10" x14ac:dyDescent="0.2">
      <c r="A484" t="str">
        <f>[5]trip_summary_region!A484</f>
        <v>07 TARANAKI</v>
      </c>
      <c r="B484">
        <f>[5]trip_summary_region!B484</f>
        <v>1</v>
      </c>
      <c r="C484">
        <f>[5]trip_summary_region!C484</f>
        <v>2043</v>
      </c>
      <c r="D484">
        <f>[5]trip_summary_region!D484</f>
        <v>45</v>
      </c>
      <c r="E484">
        <f>[5]trip_summary_region!E484</f>
        <v>133</v>
      </c>
      <c r="F484">
        <f>[5]trip_summary_region!F484</f>
        <v>2.0943327346</v>
      </c>
      <c r="G484">
        <f>[5]trip_summary_region!G484</f>
        <v>6.0717625328000002</v>
      </c>
      <c r="H484">
        <f>[5]trip_summary_region!H484</f>
        <v>0.57333967190000001</v>
      </c>
      <c r="I484" t="str">
        <f>[5]trip_summary_region!I484</f>
        <v>Cyclist</v>
      </c>
      <c r="J484" t="str">
        <f>[5]trip_summary_region!J484</f>
        <v>2042/43</v>
      </c>
    </row>
    <row r="485" spans="1:10" x14ac:dyDescent="0.2">
      <c r="A485" t="str">
        <f>[5]trip_summary_region!A485</f>
        <v>07 TARANAKI</v>
      </c>
      <c r="B485">
        <f>[5]trip_summary_region!B485</f>
        <v>2</v>
      </c>
      <c r="C485">
        <f>[5]trip_summary_region!C485</f>
        <v>2013</v>
      </c>
      <c r="D485">
        <f>[5]trip_summary_region!D485</f>
        <v>575</v>
      </c>
      <c r="E485">
        <f>[5]trip_summary_region!E485</f>
        <v>4143</v>
      </c>
      <c r="F485">
        <f>[5]trip_summary_region!F485</f>
        <v>90.801950900999998</v>
      </c>
      <c r="G485">
        <f>[5]trip_summary_region!G485</f>
        <v>933.36875414999997</v>
      </c>
      <c r="H485">
        <f>[5]trip_summary_region!H485</f>
        <v>21.205429401</v>
      </c>
      <c r="I485" t="str">
        <f>[5]trip_summary_region!I485</f>
        <v>Light Vehicle Driver</v>
      </c>
      <c r="J485" t="str">
        <f>[5]trip_summary_region!J485</f>
        <v>2012/13</v>
      </c>
    </row>
    <row r="486" spans="1:10" x14ac:dyDescent="0.2">
      <c r="A486" t="str">
        <f>[5]trip_summary_region!A486</f>
        <v>07 TARANAKI</v>
      </c>
      <c r="B486">
        <f>[5]trip_summary_region!B486</f>
        <v>2</v>
      </c>
      <c r="C486">
        <f>[5]trip_summary_region!C486</f>
        <v>2018</v>
      </c>
      <c r="D486">
        <f>[5]trip_summary_region!D486</f>
        <v>575</v>
      </c>
      <c r="E486">
        <f>[5]trip_summary_region!E486</f>
        <v>4143</v>
      </c>
      <c r="F486">
        <f>[5]trip_summary_region!F486</f>
        <v>97.579419178999999</v>
      </c>
      <c r="G486">
        <f>[5]trip_summary_region!G486</f>
        <v>1016.0998587</v>
      </c>
      <c r="H486">
        <f>[5]trip_summary_region!H486</f>
        <v>22.978617472</v>
      </c>
      <c r="I486" t="str">
        <f>[5]trip_summary_region!I486</f>
        <v>Light Vehicle Driver</v>
      </c>
      <c r="J486" t="str">
        <f>[5]trip_summary_region!J486</f>
        <v>2017/18</v>
      </c>
    </row>
    <row r="487" spans="1:10" x14ac:dyDescent="0.2">
      <c r="A487" t="str">
        <f>[5]trip_summary_region!A487</f>
        <v>07 TARANAKI</v>
      </c>
      <c r="B487">
        <f>[5]trip_summary_region!B487</f>
        <v>2</v>
      </c>
      <c r="C487">
        <f>[5]trip_summary_region!C487</f>
        <v>2023</v>
      </c>
      <c r="D487">
        <f>[5]trip_summary_region!D487</f>
        <v>575</v>
      </c>
      <c r="E487">
        <f>[5]trip_summary_region!E487</f>
        <v>4143</v>
      </c>
      <c r="F487">
        <f>[5]trip_summary_region!F487</f>
        <v>102.58171752</v>
      </c>
      <c r="G487">
        <f>[5]trip_summary_region!G487</f>
        <v>1075.0754944</v>
      </c>
      <c r="H487">
        <f>[5]trip_summary_region!H487</f>
        <v>24.269862109999998</v>
      </c>
      <c r="I487" t="str">
        <f>[5]trip_summary_region!I487</f>
        <v>Light Vehicle Driver</v>
      </c>
      <c r="J487" t="str">
        <f>[5]trip_summary_region!J487</f>
        <v>2022/23</v>
      </c>
    </row>
    <row r="488" spans="1:10" x14ac:dyDescent="0.2">
      <c r="A488" t="str">
        <f>[5]trip_summary_region!A488</f>
        <v>07 TARANAKI</v>
      </c>
      <c r="B488">
        <f>[5]trip_summary_region!B488</f>
        <v>2</v>
      </c>
      <c r="C488">
        <f>[5]trip_summary_region!C488</f>
        <v>2028</v>
      </c>
      <c r="D488">
        <f>[5]trip_summary_region!D488</f>
        <v>575</v>
      </c>
      <c r="E488">
        <f>[5]trip_summary_region!E488</f>
        <v>4143</v>
      </c>
      <c r="F488">
        <f>[5]trip_summary_region!F488</f>
        <v>105.43772668</v>
      </c>
      <c r="G488">
        <f>[5]trip_summary_region!G488</f>
        <v>1097.911617</v>
      </c>
      <c r="H488">
        <f>[5]trip_summary_region!H488</f>
        <v>24.896221031</v>
      </c>
      <c r="I488" t="str">
        <f>[5]trip_summary_region!I488</f>
        <v>Light Vehicle Driver</v>
      </c>
      <c r="J488" t="str">
        <f>[5]trip_summary_region!J488</f>
        <v>2027/28</v>
      </c>
    </row>
    <row r="489" spans="1:10" x14ac:dyDescent="0.2">
      <c r="A489" t="str">
        <f>[5]trip_summary_region!A489</f>
        <v>07 TARANAKI</v>
      </c>
      <c r="B489">
        <f>[5]trip_summary_region!B489</f>
        <v>2</v>
      </c>
      <c r="C489">
        <f>[5]trip_summary_region!C489</f>
        <v>2033</v>
      </c>
      <c r="D489">
        <f>[5]trip_summary_region!D489</f>
        <v>575</v>
      </c>
      <c r="E489">
        <f>[5]trip_summary_region!E489</f>
        <v>4143</v>
      </c>
      <c r="F489">
        <f>[5]trip_summary_region!F489</f>
        <v>106.48039591</v>
      </c>
      <c r="G489">
        <f>[5]trip_summary_region!G489</f>
        <v>1102.4804220999999</v>
      </c>
      <c r="H489">
        <f>[5]trip_summary_region!H489</f>
        <v>25.116881281000001</v>
      </c>
      <c r="I489" t="str">
        <f>[5]trip_summary_region!I489</f>
        <v>Light Vehicle Driver</v>
      </c>
      <c r="J489" t="str">
        <f>[5]trip_summary_region!J489</f>
        <v>2032/33</v>
      </c>
    </row>
    <row r="490" spans="1:10" x14ac:dyDescent="0.2">
      <c r="A490" t="str">
        <f>[5]trip_summary_region!A490</f>
        <v>07 TARANAKI</v>
      </c>
      <c r="B490">
        <f>[5]trip_summary_region!B490</f>
        <v>2</v>
      </c>
      <c r="C490">
        <f>[5]trip_summary_region!C490</f>
        <v>2038</v>
      </c>
      <c r="D490">
        <f>[5]trip_summary_region!D490</f>
        <v>575</v>
      </c>
      <c r="E490">
        <f>[5]trip_summary_region!E490</f>
        <v>4143</v>
      </c>
      <c r="F490">
        <f>[5]trip_summary_region!F490</f>
        <v>107.54551639</v>
      </c>
      <c r="G490">
        <f>[5]trip_summary_region!G490</f>
        <v>1119.7332316</v>
      </c>
      <c r="H490">
        <f>[5]trip_summary_region!H490</f>
        <v>25.485904085000001</v>
      </c>
      <c r="I490" t="str">
        <f>[5]trip_summary_region!I490</f>
        <v>Light Vehicle Driver</v>
      </c>
      <c r="J490" t="str">
        <f>[5]trip_summary_region!J490</f>
        <v>2037/38</v>
      </c>
    </row>
    <row r="491" spans="1:10" x14ac:dyDescent="0.2">
      <c r="A491" t="str">
        <f>[5]trip_summary_region!A491</f>
        <v>07 TARANAKI</v>
      </c>
      <c r="B491">
        <f>[5]trip_summary_region!B491</f>
        <v>2</v>
      </c>
      <c r="C491">
        <f>[5]trip_summary_region!C491</f>
        <v>2043</v>
      </c>
      <c r="D491">
        <f>[5]trip_summary_region!D491</f>
        <v>575</v>
      </c>
      <c r="E491">
        <f>[5]trip_summary_region!E491</f>
        <v>4143</v>
      </c>
      <c r="F491">
        <f>[5]trip_summary_region!F491</f>
        <v>108.179361</v>
      </c>
      <c r="G491">
        <f>[5]trip_summary_region!G491</f>
        <v>1133.2985885999999</v>
      </c>
      <c r="H491">
        <f>[5]trip_summary_region!H491</f>
        <v>25.762159809</v>
      </c>
      <c r="I491" t="str">
        <f>[5]trip_summary_region!I491</f>
        <v>Light Vehicle Driver</v>
      </c>
      <c r="J491" t="str">
        <f>[5]trip_summary_region!J491</f>
        <v>2042/43</v>
      </c>
    </row>
    <row r="492" spans="1:10" x14ac:dyDescent="0.2">
      <c r="A492" t="str">
        <f>[5]trip_summary_region!A492</f>
        <v>07 TARANAKI</v>
      </c>
      <c r="B492">
        <f>[5]trip_summary_region!B492</f>
        <v>3</v>
      </c>
      <c r="C492">
        <f>[5]trip_summary_region!C492</f>
        <v>2013</v>
      </c>
      <c r="D492">
        <f>[5]trip_summary_region!D492</f>
        <v>446</v>
      </c>
      <c r="E492">
        <f>[5]trip_summary_region!E492</f>
        <v>2212</v>
      </c>
      <c r="F492">
        <f>[5]trip_summary_region!F492</f>
        <v>45.48406773</v>
      </c>
      <c r="G492">
        <f>[5]trip_summary_region!G492</f>
        <v>656.25872372000003</v>
      </c>
      <c r="H492">
        <f>[5]trip_summary_region!H492</f>
        <v>13.125178352000001</v>
      </c>
      <c r="I492" t="str">
        <f>[5]trip_summary_region!I492</f>
        <v>Light Vehicle Passenger</v>
      </c>
      <c r="J492" t="str">
        <f>[5]trip_summary_region!J492</f>
        <v>2012/13</v>
      </c>
    </row>
    <row r="493" spans="1:10" x14ac:dyDescent="0.2">
      <c r="A493" t="str">
        <f>[5]trip_summary_region!A493</f>
        <v>07 TARANAKI</v>
      </c>
      <c r="B493">
        <f>[5]trip_summary_region!B493</f>
        <v>3</v>
      </c>
      <c r="C493">
        <f>[5]trip_summary_region!C493</f>
        <v>2018</v>
      </c>
      <c r="D493">
        <f>[5]trip_summary_region!D493</f>
        <v>446</v>
      </c>
      <c r="E493">
        <f>[5]trip_summary_region!E493</f>
        <v>2212</v>
      </c>
      <c r="F493">
        <f>[5]trip_summary_region!F493</f>
        <v>46.032677818000003</v>
      </c>
      <c r="G493">
        <f>[5]trip_summary_region!G493</f>
        <v>659.98628889999998</v>
      </c>
      <c r="H493">
        <f>[5]trip_summary_region!H493</f>
        <v>13.224899907999999</v>
      </c>
      <c r="I493" t="str">
        <f>[5]trip_summary_region!I493</f>
        <v>Light Vehicle Passenger</v>
      </c>
      <c r="J493" t="str">
        <f>[5]trip_summary_region!J493</f>
        <v>2017/18</v>
      </c>
    </row>
    <row r="494" spans="1:10" x14ac:dyDescent="0.2">
      <c r="A494" t="str">
        <f>[5]trip_summary_region!A494</f>
        <v>07 TARANAKI</v>
      </c>
      <c r="B494">
        <f>[5]trip_summary_region!B494</f>
        <v>3</v>
      </c>
      <c r="C494">
        <f>[5]trip_summary_region!C494</f>
        <v>2023</v>
      </c>
      <c r="D494">
        <f>[5]trip_summary_region!D494</f>
        <v>446</v>
      </c>
      <c r="E494">
        <f>[5]trip_summary_region!E494</f>
        <v>2212</v>
      </c>
      <c r="F494">
        <f>[5]trip_summary_region!F494</f>
        <v>45.911958089000002</v>
      </c>
      <c r="G494">
        <f>[5]trip_summary_region!G494</f>
        <v>652.95767995000006</v>
      </c>
      <c r="H494">
        <f>[5]trip_summary_region!H494</f>
        <v>13.125696669</v>
      </c>
      <c r="I494" t="str">
        <f>[5]trip_summary_region!I494</f>
        <v>Light Vehicle Passenger</v>
      </c>
      <c r="J494" t="str">
        <f>[5]trip_summary_region!J494</f>
        <v>2022/23</v>
      </c>
    </row>
    <row r="495" spans="1:10" x14ac:dyDescent="0.2">
      <c r="A495" t="str">
        <f>[5]trip_summary_region!A495</f>
        <v>07 TARANAKI</v>
      </c>
      <c r="B495">
        <f>[5]trip_summary_region!B495</f>
        <v>3</v>
      </c>
      <c r="C495">
        <f>[5]trip_summary_region!C495</f>
        <v>2028</v>
      </c>
      <c r="D495">
        <f>[5]trip_summary_region!D495</f>
        <v>446</v>
      </c>
      <c r="E495">
        <f>[5]trip_summary_region!E495</f>
        <v>2212</v>
      </c>
      <c r="F495">
        <f>[5]trip_summary_region!F495</f>
        <v>45.614941270999999</v>
      </c>
      <c r="G495">
        <f>[5]trip_summary_region!G495</f>
        <v>644.54715467000005</v>
      </c>
      <c r="H495">
        <f>[5]trip_summary_region!H495</f>
        <v>13.003220754999999</v>
      </c>
      <c r="I495" t="str">
        <f>[5]trip_summary_region!I495</f>
        <v>Light Vehicle Passenger</v>
      </c>
      <c r="J495" t="str">
        <f>[5]trip_summary_region!J495</f>
        <v>2027/28</v>
      </c>
    </row>
    <row r="496" spans="1:10" x14ac:dyDescent="0.2">
      <c r="A496" t="str">
        <f>[5]trip_summary_region!A496</f>
        <v>07 TARANAKI</v>
      </c>
      <c r="B496">
        <f>[5]trip_summary_region!B496</f>
        <v>3</v>
      </c>
      <c r="C496">
        <f>[5]trip_summary_region!C496</f>
        <v>2033</v>
      </c>
      <c r="D496">
        <f>[5]trip_summary_region!D496</f>
        <v>446</v>
      </c>
      <c r="E496">
        <f>[5]trip_summary_region!E496</f>
        <v>2212</v>
      </c>
      <c r="F496">
        <f>[5]trip_summary_region!F496</f>
        <v>45.424986099000002</v>
      </c>
      <c r="G496">
        <f>[5]trip_summary_region!G496</f>
        <v>639.51516071000003</v>
      </c>
      <c r="H496">
        <f>[5]trip_summary_region!H496</f>
        <v>12.923563667</v>
      </c>
      <c r="I496" t="str">
        <f>[5]trip_summary_region!I496</f>
        <v>Light Vehicle Passenger</v>
      </c>
      <c r="J496" t="str">
        <f>[5]trip_summary_region!J496</f>
        <v>2032/33</v>
      </c>
    </row>
    <row r="497" spans="1:10" x14ac:dyDescent="0.2">
      <c r="A497" t="str">
        <f>[5]trip_summary_region!A497</f>
        <v>07 TARANAKI</v>
      </c>
      <c r="B497">
        <f>[5]trip_summary_region!B497</f>
        <v>3</v>
      </c>
      <c r="C497">
        <f>[5]trip_summary_region!C497</f>
        <v>2038</v>
      </c>
      <c r="D497">
        <f>[5]trip_summary_region!D497</f>
        <v>446</v>
      </c>
      <c r="E497">
        <f>[5]trip_summary_region!E497</f>
        <v>2212</v>
      </c>
      <c r="F497">
        <f>[5]trip_summary_region!F497</f>
        <v>45.101060617999998</v>
      </c>
      <c r="G497">
        <f>[5]trip_summary_region!G497</f>
        <v>629.40956846999995</v>
      </c>
      <c r="H497">
        <f>[5]trip_summary_region!H497</f>
        <v>12.756094574</v>
      </c>
      <c r="I497" t="str">
        <f>[5]trip_summary_region!I497</f>
        <v>Light Vehicle Passenger</v>
      </c>
      <c r="J497" t="str">
        <f>[5]trip_summary_region!J497</f>
        <v>2037/38</v>
      </c>
    </row>
    <row r="498" spans="1:10" x14ac:dyDescent="0.2">
      <c r="A498" t="str">
        <f>[5]trip_summary_region!A498</f>
        <v>07 TARANAKI</v>
      </c>
      <c r="B498">
        <f>[5]trip_summary_region!B498</f>
        <v>3</v>
      </c>
      <c r="C498">
        <f>[5]trip_summary_region!C498</f>
        <v>2043</v>
      </c>
      <c r="D498">
        <f>[5]trip_summary_region!D498</f>
        <v>446</v>
      </c>
      <c r="E498">
        <f>[5]trip_summary_region!E498</f>
        <v>2212</v>
      </c>
      <c r="F498">
        <f>[5]trip_summary_region!F498</f>
        <v>44.563696704000002</v>
      </c>
      <c r="G498">
        <f>[5]trip_summary_region!G498</f>
        <v>616.93854875</v>
      </c>
      <c r="H498">
        <f>[5]trip_summary_region!H498</f>
        <v>12.534678293000001</v>
      </c>
      <c r="I498" t="str">
        <f>[5]trip_summary_region!I498</f>
        <v>Light Vehicle Passenger</v>
      </c>
      <c r="J498" t="str">
        <f>[5]trip_summary_region!J498</f>
        <v>2042/43</v>
      </c>
    </row>
    <row r="499" spans="1:10" x14ac:dyDescent="0.2">
      <c r="A499" t="str">
        <f>[5]trip_summary_region!A499</f>
        <v>07 TARANAKI</v>
      </c>
      <c r="B499">
        <f>[5]trip_summary_region!B499</f>
        <v>4</v>
      </c>
      <c r="C499">
        <f>[5]trip_summary_region!C499</f>
        <v>2013</v>
      </c>
      <c r="D499">
        <f>[5]trip_summary_region!D499</f>
        <v>10</v>
      </c>
      <c r="E499">
        <f>[5]trip_summary_region!E499</f>
        <v>18</v>
      </c>
      <c r="F499">
        <f>[5]trip_summary_region!F499</f>
        <v>0.56194422089999996</v>
      </c>
      <c r="G499">
        <f>[5]trip_summary_region!G499</f>
        <v>1.1335038904000001</v>
      </c>
      <c r="H499">
        <f>[5]trip_summary_region!H499</f>
        <v>0.10005985589999999</v>
      </c>
      <c r="I499" t="s">
        <v>116</v>
      </c>
      <c r="J499" t="str">
        <f>[5]trip_summary_region!J499</f>
        <v>2012/13</v>
      </c>
    </row>
    <row r="500" spans="1:10" x14ac:dyDescent="0.2">
      <c r="A500" t="str">
        <f>[5]trip_summary_region!A500</f>
        <v>07 TARANAKI</v>
      </c>
      <c r="B500">
        <f>[5]trip_summary_region!B500</f>
        <v>4</v>
      </c>
      <c r="C500">
        <f>[5]trip_summary_region!C500</f>
        <v>2018</v>
      </c>
      <c r="D500">
        <f>[5]trip_summary_region!D500</f>
        <v>10</v>
      </c>
      <c r="E500">
        <f>[5]trip_summary_region!E500</f>
        <v>18</v>
      </c>
      <c r="F500">
        <f>[5]trip_summary_region!F500</f>
        <v>0.68077201769999995</v>
      </c>
      <c r="G500">
        <f>[5]trip_summary_region!G500</f>
        <v>1.3774725749000001</v>
      </c>
      <c r="H500">
        <f>[5]trip_summary_region!H500</f>
        <v>0.1220870419</v>
      </c>
      <c r="I500" t="s">
        <v>116</v>
      </c>
      <c r="J500" t="str">
        <f>[5]trip_summary_region!J500</f>
        <v>2017/18</v>
      </c>
    </row>
    <row r="501" spans="1:10" x14ac:dyDescent="0.2">
      <c r="A501" t="str">
        <f>[5]trip_summary_region!A501</f>
        <v>07 TARANAKI</v>
      </c>
      <c r="B501">
        <f>[5]trip_summary_region!B501</f>
        <v>4</v>
      </c>
      <c r="C501">
        <f>[5]trip_summary_region!C501</f>
        <v>2023</v>
      </c>
      <c r="D501">
        <f>[5]trip_summary_region!D501</f>
        <v>10</v>
      </c>
      <c r="E501">
        <f>[5]trip_summary_region!E501</f>
        <v>18</v>
      </c>
      <c r="F501">
        <f>[5]trip_summary_region!F501</f>
        <v>0.74640816600000004</v>
      </c>
      <c r="G501">
        <f>[5]trip_summary_region!G501</f>
        <v>1.5229465226000001</v>
      </c>
      <c r="H501">
        <f>[5]trip_summary_region!H501</f>
        <v>0.134237786</v>
      </c>
      <c r="I501" t="s">
        <v>116</v>
      </c>
      <c r="J501" t="str">
        <f>[5]trip_summary_region!J501</f>
        <v>2022/23</v>
      </c>
    </row>
    <row r="502" spans="1:10" x14ac:dyDescent="0.2">
      <c r="A502" t="str">
        <f>[5]trip_summary_region!A502</f>
        <v>07 TARANAKI</v>
      </c>
      <c r="B502">
        <f>[5]trip_summary_region!B502</f>
        <v>4</v>
      </c>
      <c r="C502">
        <f>[5]trip_summary_region!C502</f>
        <v>2028</v>
      </c>
      <c r="D502">
        <f>[5]trip_summary_region!D502</f>
        <v>10</v>
      </c>
      <c r="E502">
        <f>[5]trip_summary_region!E502</f>
        <v>18</v>
      </c>
      <c r="F502">
        <f>[5]trip_summary_region!F502</f>
        <v>0.80749891750000002</v>
      </c>
      <c r="G502">
        <f>[5]trip_summary_region!G502</f>
        <v>1.6576578834</v>
      </c>
      <c r="H502">
        <f>[5]trip_summary_region!H502</f>
        <v>0.14559617459999999</v>
      </c>
      <c r="I502" t="s">
        <v>116</v>
      </c>
      <c r="J502" t="str">
        <f>[5]trip_summary_region!J502</f>
        <v>2027/28</v>
      </c>
    </row>
    <row r="503" spans="1:10" x14ac:dyDescent="0.2">
      <c r="A503" t="str">
        <f>[5]trip_summary_region!A503</f>
        <v>07 TARANAKI</v>
      </c>
      <c r="B503">
        <f>[5]trip_summary_region!B503</f>
        <v>4</v>
      </c>
      <c r="C503">
        <f>[5]trip_summary_region!C503</f>
        <v>2033</v>
      </c>
      <c r="D503">
        <f>[5]trip_summary_region!D503</f>
        <v>10</v>
      </c>
      <c r="E503">
        <f>[5]trip_summary_region!E503</f>
        <v>18</v>
      </c>
      <c r="F503">
        <f>[5]trip_summary_region!F503</f>
        <v>0.82242841519999998</v>
      </c>
      <c r="G503">
        <f>[5]trip_summary_region!G503</f>
        <v>1.6994461579</v>
      </c>
      <c r="H503">
        <f>[5]trip_summary_region!H503</f>
        <v>0.14927107070000001</v>
      </c>
      <c r="I503" t="s">
        <v>116</v>
      </c>
      <c r="J503" t="str">
        <f>[5]trip_summary_region!J503</f>
        <v>2032/33</v>
      </c>
    </row>
    <row r="504" spans="1:10" x14ac:dyDescent="0.2">
      <c r="A504" t="str">
        <f>[5]trip_summary_region!A504</f>
        <v>07 TARANAKI</v>
      </c>
      <c r="B504">
        <f>[5]trip_summary_region!B504</f>
        <v>4</v>
      </c>
      <c r="C504">
        <f>[5]trip_summary_region!C504</f>
        <v>2038</v>
      </c>
      <c r="D504">
        <f>[5]trip_summary_region!D504</f>
        <v>10</v>
      </c>
      <c r="E504">
        <f>[5]trip_summary_region!E504</f>
        <v>18</v>
      </c>
      <c r="F504">
        <f>[5]trip_summary_region!F504</f>
        <v>0.82829720579999999</v>
      </c>
      <c r="G504">
        <f>[5]trip_summary_region!G504</f>
        <v>1.7276466235000001</v>
      </c>
      <c r="H504">
        <f>[5]trip_summary_region!H504</f>
        <v>0.15031044330000001</v>
      </c>
      <c r="I504" t="s">
        <v>116</v>
      </c>
      <c r="J504" t="str">
        <f>[5]trip_summary_region!J504</f>
        <v>2037/38</v>
      </c>
    </row>
    <row r="505" spans="1:10" x14ac:dyDescent="0.2">
      <c r="A505" t="str">
        <f>[5]trip_summary_region!A505</f>
        <v>07 TARANAKI</v>
      </c>
      <c r="B505">
        <f>[5]trip_summary_region!B505</f>
        <v>4</v>
      </c>
      <c r="C505">
        <f>[5]trip_summary_region!C505</f>
        <v>2043</v>
      </c>
      <c r="D505">
        <f>[5]trip_summary_region!D505</f>
        <v>10</v>
      </c>
      <c r="E505">
        <f>[5]trip_summary_region!E505</f>
        <v>18</v>
      </c>
      <c r="F505">
        <f>[5]trip_summary_region!F505</f>
        <v>0.82641757390000004</v>
      </c>
      <c r="G505">
        <f>[5]trip_summary_region!G505</f>
        <v>1.7404999216999999</v>
      </c>
      <c r="H505">
        <f>[5]trip_summary_region!H505</f>
        <v>0.1499562931</v>
      </c>
      <c r="I505" t="s">
        <v>116</v>
      </c>
      <c r="J505" t="str">
        <f>[5]trip_summary_region!J505</f>
        <v>2042/43</v>
      </c>
    </row>
    <row r="506" spans="1:10" x14ac:dyDescent="0.2">
      <c r="A506" t="str">
        <f>[5]trip_summary_region!A506</f>
        <v>07 TARANAKI</v>
      </c>
      <c r="B506">
        <f>[5]trip_summary_region!B506</f>
        <v>5</v>
      </c>
      <c r="C506">
        <f>[5]trip_summary_region!C506</f>
        <v>2013</v>
      </c>
      <c r="D506">
        <f>[5]trip_summary_region!D506</f>
        <v>14</v>
      </c>
      <c r="E506">
        <f>[5]trip_summary_region!E506</f>
        <v>51</v>
      </c>
      <c r="F506">
        <f>[5]trip_summary_region!F506</f>
        <v>1.091812341</v>
      </c>
      <c r="G506">
        <f>[5]trip_summary_region!G506</f>
        <v>7.0100687938000004</v>
      </c>
      <c r="H506">
        <f>[5]trip_summary_region!H506</f>
        <v>0.25001806910000002</v>
      </c>
      <c r="I506" t="str">
        <f>[5]trip_summary_region!I506</f>
        <v>Motorcyclist</v>
      </c>
      <c r="J506" t="str">
        <f>[5]trip_summary_region!J506</f>
        <v>2012/13</v>
      </c>
    </row>
    <row r="507" spans="1:10" x14ac:dyDescent="0.2">
      <c r="A507" t="str">
        <f>[5]trip_summary_region!A507</f>
        <v>07 TARANAKI</v>
      </c>
      <c r="B507">
        <f>[5]trip_summary_region!B507</f>
        <v>5</v>
      </c>
      <c r="C507">
        <f>[5]trip_summary_region!C507</f>
        <v>2018</v>
      </c>
      <c r="D507">
        <f>[5]trip_summary_region!D507</f>
        <v>14</v>
      </c>
      <c r="E507">
        <f>[5]trip_summary_region!E507</f>
        <v>51</v>
      </c>
      <c r="F507">
        <f>[5]trip_summary_region!F507</f>
        <v>1.1613104882</v>
      </c>
      <c r="G507">
        <f>[5]trip_summary_region!G507</f>
        <v>7.3616165814999999</v>
      </c>
      <c r="H507">
        <f>[5]trip_summary_region!H507</f>
        <v>0.26235057969999998</v>
      </c>
      <c r="I507" t="str">
        <f>[5]trip_summary_region!I507</f>
        <v>Motorcyclist</v>
      </c>
      <c r="J507" t="str">
        <f>[5]trip_summary_region!J507</f>
        <v>2017/18</v>
      </c>
    </row>
    <row r="508" spans="1:10" x14ac:dyDescent="0.2">
      <c r="A508" t="str">
        <f>[5]trip_summary_region!A508</f>
        <v>07 TARANAKI</v>
      </c>
      <c r="B508">
        <f>[5]trip_summary_region!B508</f>
        <v>5</v>
      </c>
      <c r="C508">
        <f>[5]trip_summary_region!C508</f>
        <v>2023</v>
      </c>
      <c r="D508">
        <f>[5]trip_summary_region!D508</f>
        <v>14</v>
      </c>
      <c r="E508">
        <f>[5]trip_summary_region!E508</f>
        <v>51</v>
      </c>
      <c r="F508">
        <f>[5]trip_summary_region!F508</f>
        <v>1.1650970164000001</v>
      </c>
      <c r="G508">
        <f>[5]trip_summary_region!G508</f>
        <v>7.5482259983000004</v>
      </c>
      <c r="H508">
        <f>[5]trip_summary_region!H508</f>
        <v>0.26896151899999998</v>
      </c>
      <c r="I508" t="str">
        <f>[5]trip_summary_region!I508</f>
        <v>Motorcyclist</v>
      </c>
      <c r="J508" t="str">
        <f>[5]trip_summary_region!J508</f>
        <v>2022/23</v>
      </c>
    </row>
    <row r="509" spans="1:10" x14ac:dyDescent="0.2">
      <c r="A509" t="str">
        <f>[5]trip_summary_region!A509</f>
        <v>07 TARANAKI</v>
      </c>
      <c r="B509">
        <f>[5]trip_summary_region!B509</f>
        <v>5</v>
      </c>
      <c r="C509">
        <f>[5]trip_summary_region!C509</f>
        <v>2028</v>
      </c>
      <c r="D509">
        <f>[5]trip_summary_region!D509</f>
        <v>14</v>
      </c>
      <c r="E509">
        <f>[5]trip_summary_region!E509</f>
        <v>51</v>
      </c>
      <c r="F509">
        <f>[5]trip_summary_region!F509</f>
        <v>1.0978777792000001</v>
      </c>
      <c r="G509">
        <f>[5]trip_summary_region!G509</f>
        <v>7.5912994403000003</v>
      </c>
      <c r="H509">
        <f>[5]trip_summary_region!H509</f>
        <v>0.26732330100000001</v>
      </c>
      <c r="I509" t="str">
        <f>[5]trip_summary_region!I509</f>
        <v>Motorcyclist</v>
      </c>
      <c r="J509" t="str">
        <f>[5]trip_summary_region!J509</f>
        <v>2027/28</v>
      </c>
    </row>
    <row r="510" spans="1:10" x14ac:dyDescent="0.2">
      <c r="A510" t="str">
        <f>[5]trip_summary_region!A510</f>
        <v>07 TARANAKI</v>
      </c>
      <c r="B510">
        <f>[5]trip_summary_region!B510</f>
        <v>5</v>
      </c>
      <c r="C510">
        <f>[5]trip_summary_region!C510</f>
        <v>2033</v>
      </c>
      <c r="D510">
        <f>[5]trip_summary_region!D510</f>
        <v>14</v>
      </c>
      <c r="E510">
        <f>[5]trip_summary_region!E510</f>
        <v>51</v>
      </c>
      <c r="F510">
        <f>[5]trip_summary_region!F510</f>
        <v>1.0427687430999999</v>
      </c>
      <c r="G510">
        <f>[5]trip_summary_region!G510</f>
        <v>7.3651743781999999</v>
      </c>
      <c r="H510">
        <f>[5]trip_summary_region!H510</f>
        <v>0.26230508330000002</v>
      </c>
      <c r="I510" t="str">
        <f>[5]trip_summary_region!I510</f>
        <v>Motorcyclist</v>
      </c>
      <c r="J510" t="str">
        <f>[5]trip_summary_region!J510</f>
        <v>2032/33</v>
      </c>
    </row>
    <row r="511" spans="1:10" x14ac:dyDescent="0.2">
      <c r="A511" t="str">
        <f>[5]trip_summary_region!A511</f>
        <v>07 TARANAKI</v>
      </c>
      <c r="B511">
        <f>[5]trip_summary_region!B511</f>
        <v>5</v>
      </c>
      <c r="C511">
        <f>[5]trip_summary_region!C511</f>
        <v>2038</v>
      </c>
      <c r="D511">
        <f>[5]trip_summary_region!D511</f>
        <v>14</v>
      </c>
      <c r="E511">
        <f>[5]trip_summary_region!E511</f>
        <v>51</v>
      </c>
      <c r="F511">
        <f>[5]trip_summary_region!F511</f>
        <v>1.0278800849</v>
      </c>
      <c r="G511">
        <f>[5]trip_summary_region!G511</f>
        <v>7.1202191655</v>
      </c>
      <c r="H511">
        <f>[5]trip_summary_region!H511</f>
        <v>0.25890436659999999</v>
      </c>
      <c r="I511" t="str">
        <f>[5]trip_summary_region!I511</f>
        <v>Motorcyclist</v>
      </c>
      <c r="J511" t="str">
        <f>[5]trip_summary_region!J511</f>
        <v>2037/38</v>
      </c>
    </row>
    <row r="512" spans="1:10" x14ac:dyDescent="0.2">
      <c r="A512" t="str">
        <f>[5]trip_summary_region!A512</f>
        <v>07 TARANAKI</v>
      </c>
      <c r="B512">
        <f>[5]trip_summary_region!B512</f>
        <v>5</v>
      </c>
      <c r="C512">
        <f>[5]trip_summary_region!C512</f>
        <v>2043</v>
      </c>
      <c r="D512">
        <f>[5]trip_summary_region!D512</f>
        <v>14</v>
      </c>
      <c r="E512">
        <f>[5]trip_summary_region!E512</f>
        <v>51</v>
      </c>
      <c r="F512">
        <f>[5]trip_summary_region!F512</f>
        <v>1.0076347406999999</v>
      </c>
      <c r="G512">
        <f>[5]trip_summary_region!G512</f>
        <v>6.8540262323999999</v>
      </c>
      <c r="H512">
        <f>[5]trip_summary_region!H512</f>
        <v>0.25501917489999998</v>
      </c>
      <c r="I512" t="str">
        <f>[5]trip_summary_region!I512</f>
        <v>Motorcyclist</v>
      </c>
      <c r="J512" t="str">
        <f>[5]trip_summary_region!J512</f>
        <v>2042/43</v>
      </c>
    </row>
    <row r="513" spans="1:10" x14ac:dyDescent="0.2">
      <c r="A513" t="str">
        <f>[5]trip_summary_region!A513</f>
        <v>07 TARANAKI</v>
      </c>
      <c r="B513">
        <f>[5]trip_summary_region!B513</f>
        <v>6</v>
      </c>
      <c r="C513">
        <f>[5]trip_summary_region!C513</f>
        <v>2013</v>
      </c>
      <c r="D513">
        <f>[5]trip_summary_region!D513</f>
        <v>1</v>
      </c>
      <c r="E513">
        <f>[5]trip_summary_region!E513</f>
        <v>2</v>
      </c>
      <c r="F513">
        <f>[5]trip_summary_region!F513</f>
        <v>5.3266318100000001E-2</v>
      </c>
      <c r="G513">
        <f>[5]trip_summary_region!G513</f>
        <v>0.36455468079999997</v>
      </c>
      <c r="H513">
        <f>[5]trip_summary_region!H513</f>
        <v>8.8777196999999999E-3</v>
      </c>
      <c r="I513" t="str">
        <f>[5]trip_summary_region!I513</f>
        <v>Local Train</v>
      </c>
      <c r="J513" t="str">
        <f>[5]trip_summary_region!J513</f>
        <v>2012/13</v>
      </c>
    </row>
    <row r="514" spans="1:10" x14ac:dyDescent="0.2">
      <c r="A514" t="str">
        <f>[5]trip_summary_region!A514</f>
        <v>07 TARANAKI</v>
      </c>
      <c r="B514">
        <f>[5]trip_summary_region!B514</f>
        <v>6</v>
      </c>
      <c r="C514">
        <f>[5]trip_summary_region!C514</f>
        <v>2018</v>
      </c>
      <c r="D514">
        <f>[5]trip_summary_region!D514</f>
        <v>1</v>
      </c>
      <c r="E514">
        <f>[5]trip_summary_region!E514</f>
        <v>2</v>
      </c>
      <c r="F514">
        <f>[5]trip_summary_region!F514</f>
        <v>5.1742098600000001E-2</v>
      </c>
      <c r="G514">
        <f>[5]trip_summary_region!G514</f>
        <v>0.35412292249999999</v>
      </c>
      <c r="H514">
        <f>[5]trip_summary_region!H514</f>
        <v>8.6236830999999996E-3</v>
      </c>
      <c r="I514" t="str">
        <f>[5]trip_summary_region!I514</f>
        <v>Local Train</v>
      </c>
      <c r="J514" t="str">
        <f>[5]trip_summary_region!J514</f>
        <v>2017/18</v>
      </c>
    </row>
    <row r="515" spans="1:10" x14ac:dyDescent="0.2">
      <c r="A515" t="str">
        <f>[5]trip_summary_region!A515</f>
        <v>07 TARANAKI</v>
      </c>
      <c r="B515">
        <f>[5]trip_summary_region!B515</f>
        <v>6</v>
      </c>
      <c r="C515">
        <f>[5]trip_summary_region!C515</f>
        <v>2023</v>
      </c>
      <c r="D515">
        <f>[5]trip_summary_region!D515</f>
        <v>1</v>
      </c>
      <c r="E515">
        <f>[5]trip_summary_region!E515</f>
        <v>2</v>
      </c>
      <c r="F515">
        <f>[5]trip_summary_region!F515</f>
        <v>4.6649097700000003E-2</v>
      </c>
      <c r="G515">
        <f>[5]trip_summary_region!G515</f>
        <v>0.31926642459999999</v>
      </c>
      <c r="H515">
        <f>[5]trip_summary_region!H515</f>
        <v>7.7748495999999997E-3</v>
      </c>
      <c r="I515" t="str">
        <f>[5]trip_summary_region!I515</f>
        <v>Local Train</v>
      </c>
      <c r="J515" t="str">
        <f>[5]trip_summary_region!J515</f>
        <v>2022/23</v>
      </c>
    </row>
    <row r="516" spans="1:10" x14ac:dyDescent="0.2">
      <c r="A516" t="str">
        <f>[5]trip_summary_region!A516</f>
        <v>07 TARANAKI</v>
      </c>
      <c r="B516">
        <f>[5]trip_summary_region!B516</f>
        <v>6</v>
      </c>
      <c r="C516">
        <f>[5]trip_summary_region!C516</f>
        <v>2028</v>
      </c>
      <c r="D516">
        <f>[5]trip_summary_region!D516</f>
        <v>1</v>
      </c>
      <c r="E516">
        <f>[5]trip_summary_region!E516</f>
        <v>2</v>
      </c>
      <c r="F516">
        <f>[5]trip_summary_region!F516</f>
        <v>4.3200567699999998E-2</v>
      </c>
      <c r="G516">
        <f>[5]trip_summary_region!G516</f>
        <v>0.2956646852</v>
      </c>
      <c r="H516">
        <f>[5]trip_summary_region!H516</f>
        <v>7.2000946E-3</v>
      </c>
      <c r="I516" t="str">
        <f>[5]trip_summary_region!I516</f>
        <v>Local Train</v>
      </c>
      <c r="J516" t="str">
        <f>[5]trip_summary_region!J516</f>
        <v>2027/28</v>
      </c>
    </row>
    <row r="517" spans="1:10" x14ac:dyDescent="0.2">
      <c r="A517" t="str">
        <f>[5]trip_summary_region!A517</f>
        <v>07 TARANAKI</v>
      </c>
      <c r="B517">
        <f>[5]trip_summary_region!B517</f>
        <v>6</v>
      </c>
      <c r="C517">
        <f>[5]trip_summary_region!C517</f>
        <v>2033</v>
      </c>
      <c r="D517">
        <f>[5]trip_summary_region!D517</f>
        <v>1</v>
      </c>
      <c r="E517">
        <f>[5]trip_summary_region!E517</f>
        <v>2</v>
      </c>
      <c r="F517">
        <f>[5]trip_summary_region!F517</f>
        <v>4.5008697E-2</v>
      </c>
      <c r="G517">
        <f>[5]trip_summary_region!G517</f>
        <v>0.30803952200000001</v>
      </c>
      <c r="H517">
        <f>[5]trip_summary_region!H517</f>
        <v>7.5014495E-3</v>
      </c>
      <c r="I517" t="str">
        <f>[5]trip_summary_region!I517</f>
        <v>Local Train</v>
      </c>
      <c r="J517" t="str">
        <f>[5]trip_summary_region!J517</f>
        <v>2032/33</v>
      </c>
    </row>
    <row r="518" spans="1:10" x14ac:dyDescent="0.2">
      <c r="A518" t="str">
        <f>[5]trip_summary_region!A518</f>
        <v>07 TARANAKI</v>
      </c>
      <c r="B518">
        <f>[5]trip_summary_region!B518</f>
        <v>6</v>
      </c>
      <c r="C518">
        <f>[5]trip_summary_region!C518</f>
        <v>2038</v>
      </c>
      <c r="D518">
        <f>[5]trip_summary_region!D518</f>
        <v>1</v>
      </c>
      <c r="E518">
        <f>[5]trip_summary_region!E518</f>
        <v>2</v>
      </c>
      <c r="F518">
        <f>[5]trip_summary_region!F518</f>
        <v>5.0112339499999999E-2</v>
      </c>
      <c r="G518">
        <f>[5]trip_summary_region!G518</f>
        <v>0.34296885119999998</v>
      </c>
      <c r="H518">
        <f>[5]trip_summary_region!H518</f>
        <v>8.3520565999999994E-3</v>
      </c>
      <c r="I518" t="str">
        <f>[5]trip_summary_region!I518</f>
        <v>Local Train</v>
      </c>
      <c r="J518" t="str">
        <f>[5]trip_summary_region!J518</f>
        <v>2037/38</v>
      </c>
    </row>
    <row r="519" spans="1:10" x14ac:dyDescent="0.2">
      <c r="A519" t="str">
        <f>[5]trip_summary_region!A519</f>
        <v>07 TARANAKI</v>
      </c>
      <c r="B519">
        <f>[5]trip_summary_region!B519</f>
        <v>6</v>
      </c>
      <c r="C519">
        <f>[5]trip_summary_region!C519</f>
        <v>2043</v>
      </c>
      <c r="D519">
        <f>[5]trip_summary_region!D519</f>
        <v>1</v>
      </c>
      <c r="E519">
        <f>[5]trip_summary_region!E519</f>
        <v>2</v>
      </c>
      <c r="F519">
        <f>[5]trip_summary_region!F519</f>
        <v>5.4499178799999999E-2</v>
      </c>
      <c r="G519">
        <f>[5]trip_summary_region!G519</f>
        <v>0.3729923798</v>
      </c>
      <c r="H519">
        <f>[5]trip_summary_region!H519</f>
        <v>9.0831964999999997E-3</v>
      </c>
      <c r="I519" t="str">
        <f>[5]trip_summary_region!I519</f>
        <v>Local Train</v>
      </c>
      <c r="J519" t="str">
        <f>[5]trip_summary_region!J519</f>
        <v>2042/43</v>
      </c>
    </row>
    <row r="520" spans="1:10" x14ac:dyDescent="0.2">
      <c r="A520" t="str">
        <f>[5]trip_summary_region!A520</f>
        <v>07 TARANAKI</v>
      </c>
      <c r="B520">
        <f>[5]trip_summary_region!B520</f>
        <v>7</v>
      </c>
      <c r="C520">
        <f>[5]trip_summary_region!C520</f>
        <v>2013</v>
      </c>
      <c r="D520">
        <f>[5]trip_summary_region!D520</f>
        <v>22</v>
      </c>
      <c r="E520">
        <f>[5]trip_summary_region!E520</f>
        <v>54</v>
      </c>
      <c r="F520">
        <f>[5]trip_summary_region!F520</f>
        <v>1.2787514622</v>
      </c>
      <c r="G520">
        <f>[5]trip_summary_region!G520</f>
        <v>14.084735078</v>
      </c>
      <c r="H520">
        <f>[5]trip_summary_region!H520</f>
        <v>0.4632962336</v>
      </c>
      <c r="I520" t="str">
        <f>[5]trip_summary_region!I520</f>
        <v>Local Bus</v>
      </c>
      <c r="J520" t="str">
        <f>[5]trip_summary_region!J520</f>
        <v>2012/13</v>
      </c>
    </row>
    <row r="521" spans="1:10" x14ac:dyDescent="0.2">
      <c r="A521" t="str">
        <f>[5]trip_summary_region!A521</f>
        <v>07 TARANAKI</v>
      </c>
      <c r="B521">
        <f>[5]trip_summary_region!B521</f>
        <v>7</v>
      </c>
      <c r="C521">
        <f>[5]trip_summary_region!C521</f>
        <v>2018</v>
      </c>
      <c r="D521">
        <f>[5]trip_summary_region!D521</f>
        <v>22</v>
      </c>
      <c r="E521">
        <f>[5]trip_summary_region!E521</f>
        <v>54</v>
      </c>
      <c r="F521">
        <f>[5]trip_summary_region!F521</f>
        <v>1.3193405162</v>
      </c>
      <c r="G521">
        <f>[5]trip_summary_region!G521</f>
        <v>15.253779988</v>
      </c>
      <c r="H521">
        <f>[5]trip_summary_region!H521</f>
        <v>0.47511396519999999</v>
      </c>
      <c r="I521" t="str">
        <f>[5]trip_summary_region!I521</f>
        <v>Local Bus</v>
      </c>
      <c r="J521" t="str">
        <f>[5]trip_summary_region!J521</f>
        <v>2017/18</v>
      </c>
    </row>
    <row r="522" spans="1:10" x14ac:dyDescent="0.2">
      <c r="A522" t="str">
        <f>[5]trip_summary_region!A522</f>
        <v>07 TARANAKI</v>
      </c>
      <c r="B522">
        <f>[5]trip_summary_region!B522</f>
        <v>7</v>
      </c>
      <c r="C522">
        <f>[5]trip_summary_region!C522</f>
        <v>2023</v>
      </c>
      <c r="D522">
        <f>[5]trip_summary_region!D522</f>
        <v>22</v>
      </c>
      <c r="E522">
        <f>[5]trip_summary_region!E522</f>
        <v>54</v>
      </c>
      <c r="F522">
        <f>[5]trip_summary_region!F522</f>
        <v>1.3350223726999999</v>
      </c>
      <c r="G522">
        <f>[5]trip_summary_region!G522</f>
        <v>16.078152168999999</v>
      </c>
      <c r="H522">
        <f>[5]trip_summary_region!H522</f>
        <v>0.48012833739999999</v>
      </c>
      <c r="I522" t="str">
        <f>[5]trip_summary_region!I522</f>
        <v>Local Bus</v>
      </c>
      <c r="J522" t="str">
        <f>[5]trip_summary_region!J522</f>
        <v>2022/23</v>
      </c>
    </row>
    <row r="523" spans="1:10" x14ac:dyDescent="0.2">
      <c r="A523" t="str">
        <f>[5]trip_summary_region!A523</f>
        <v>07 TARANAKI</v>
      </c>
      <c r="B523">
        <f>[5]trip_summary_region!B523</f>
        <v>7</v>
      </c>
      <c r="C523">
        <f>[5]trip_summary_region!C523</f>
        <v>2028</v>
      </c>
      <c r="D523">
        <f>[5]trip_summary_region!D523</f>
        <v>22</v>
      </c>
      <c r="E523">
        <f>[5]trip_summary_region!E523</f>
        <v>54</v>
      </c>
      <c r="F523">
        <f>[5]trip_summary_region!F523</f>
        <v>1.30795017</v>
      </c>
      <c r="G523">
        <f>[5]trip_summary_region!G523</f>
        <v>15.948698133000001</v>
      </c>
      <c r="H523">
        <f>[5]trip_summary_region!H523</f>
        <v>0.46893181540000001</v>
      </c>
      <c r="I523" t="str">
        <f>[5]trip_summary_region!I523</f>
        <v>Local Bus</v>
      </c>
      <c r="J523" t="str">
        <f>[5]trip_summary_region!J523</f>
        <v>2027/28</v>
      </c>
    </row>
    <row r="524" spans="1:10" x14ac:dyDescent="0.2">
      <c r="A524" t="str">
        <f>[5]trip_summary_region!A524</f>
        <v>07 TARANAKI</v>
      </c>
      <c r="B524">
        <f>[5]trip_summary_region!B524</f>
        <v>7</v>
      </c>
      <c r="C524">
        <f>[5]trip_summary_region!C524</f>
        <v>2033</v>
      </c>
      <c r="D524">
        <f>[5]trip_summary_region!D524</f>
        <v>22</v>
      </c>
      <c r="E524">
        <f>[5]trip_summary_region!E524</f>
        <v>54</v>
      </c>
      <c r="F524">
        <f>[5]trip_summary_region!F524</f>
        <v>1.2622677299</v>
      </c>
      <c r="G524">
        <f>[5]trip_summary_region!G524</f>
        <v>15.591665045999999</v>
      </c>
      <c r="H524">
        <f>[5]trip_summary_region!H524</f>
        <v>0.4522052439</v>
      </c>
      <c r="I524" t="str">
        <f>[5]trip_summary_region!I524</f>
        <v>Local Bus</v>
      </c>
      <c r="J524" t="str">
        <f>[5]trip_summary_region!J524</f>
        <v>2032/33</v>
      </c>
    </row>
    <row r="525" spans="1:10" x14ac:dyDescent="0.2">
      <c r="A525" t="str">
        <f>[5]trip_summary_region!A525</f>
        <v>07 TARANAKI</v>
      </c>
      <c r="B525">
        <f>[5]trip_summary_region!B525</f>
        <v>7</v>
      </c>
      <c r="C525">
        <f>[5]trip_summary_region!C525</f>
        <v>2038</v>
      </c>
      <c r="D525">
        <f>[5]trip_summary_region!D525</f>
        <v>22</v>
      </c>
      <c r="E525">
        <f>[5]trip_summary_region!E525</f>
        <v>54</v>
      </c>
      <c r="F525">
        <f>[5]trip_summary_region!F525</f>
        <v>1.2700775642</v>
      </c>
      <c r="G525">
        <f>[5]trip_summary_region!G525</f>
        <v>16.466354347999999</v>
      </c>
      <c r="H525">
        <f>[5]trip_summary_region!H525</f>
        <v>0.46010152160000001</v>
      </c>
      <c r="I525" t="str">
        <f>[5]trip_summary_region!I525</f>
        <v>Local Bus</v>
      </c>
      <c r="J525" t="str">
        <f>[5]trip_summary_region!J525</f>
        <v>2037/38</v>
      </c>
    </row>
    <row r="526" spans="1:10" x14ac:dyDescent="0.2">
      <c r="A526" t="str">
        <f>[5]trip_summary_region!A526</f>
        <v>07 TARANAKI</v>
      </c>
      <c r="B526">
        <f>[5]trip_summary_region!B526</f>
        <v>7</v>
      </c>
      <c r="C526">
        <f>[5]trip_summary_region!C526</f>
        <v>2043</v>
      </c>
      <c r="D526">
        <f>[5]trip_summary_region!D526</f>
        <v>22</v>
      </c>
      <c r="E526">
        <f>[5]trip_summary_region!E526</f>
        <v>54</v>
      </c>
      <c r="F526">
        <f>[5]trip_summary_region!F526</f>
        <v>1.2750341216000001</v>
      </c>
      <c r="G526">
        <f>[5]trip_summary_region!G526</f>
        <v>17.371395704000001</v>
      </c>
      <c r="H526">
        <f>[5]trip_summary_region!H526</f>
        <v>0.4677306188</v>
      </c>
      <c r="I526" t="str">
        <f>[5]trip_summary_region!I526</f>
        <v>Local Bus</v>
      </c>
      <c r="J526" t="str">
        <f>[5]trip_summary_region!J526</f>
        <v>2042/43</v>
      </c>
    </row>
    <row r="527" spans="1:10" x14ac:dyDescent="0.2">
      <c r="A527" t="str">
        <f>[5]trip_summary_region!A527</f>
        <v>07 TARANAKI</v>
      </c>
      <c r="B527">
        <f>[5]trip_summary_region!B527</f>
        <v>9</v>
      </c>
      <c r="C527">
        <f>[5]trip_summary_region!C527</f>
        <v>2013</v>
      </c>
      <c r="D527">
        <f>[5]trip_summary_region!D527</f>
        <v>4</v>
      </c>
      <c r="E527">
        <f>[5]trip_summary_region!E527</f>
        <v>11</v>
      </c>
      <c r="F527">
        <f>[5]trip_summary_region!F527</f>
        <v>0.17475937220000001</v>
      </c>
      <c r="G527">
        <f>[5]trip_summary_region!G527</f>
        <v>0</v>
      </c>
      <c r="H527">
        <f>[5]trip_summary_region!H527</f>
        <v>5.6354069499999999E-2</v>
      </c>
      <c r="I527" t="str">
        <f>[5]trip_summary_region!I527</f>
        <v>Other Household Travel</v>
      </c>
      <c r="J527" t="str">
        <f>[5]trip_summary_region!J527</f>
        <v>2012/13</v>
      </c>
    </row>
    <row r="528" spans="1:10" x14ac:dyDescent="0.2">
      <c r="A528" t="str">
        <f>[5]trip_summary_region!A528</f>
        <v>07 TARANAKI</v>
      </c>
      <c r="B528">
        <f>[5]trip_summary_region!B528</f>
        <v>9</v>
      </c>
      <c r="C528">
        <f>[5]trip_summary_region!C528</f>
        <v>2018</v>
      </c>
      <c r="D528">
        <f>[5]trip_summary_region!D528</f>
        <v>4</v>
      </c>
      <c r="E528">
        <f>[5]trip_summary_region!E528</f>
        <v>11</v>
      </c>
      <c r="F528">
        <f>[5]trip_summary_region!F528</f>
        <v>0.1855548575</v>
      </c>
      <c r="G528">
        <f>[5]trip_summary_region!G528</f>
        <v>0</v>
      </c>
      <c r="H528">
        <f>[5]trip_summary_region!H528</f>
        <v>5.9523355E-2</v>
      </c>
      <c r="I528" t="str">
        <f>[5]trip_summary_region!I528</f>
        <v>Other Household Travel</v>
      </c>
      <c r="J528" t="str">
        <f>[5]trip_summary_region!J528</f>
        <v>2017/18</v>
      </c>
    </row>
    <row r="529" spans="1:10" x14ac:dyDescent="0.2">
      <c r="A529" t="str">
        <f>[5]trip_summary_region!A529</f>
        <v>07 TARANAKI</v>
      </c>
      <c r="B529">
        <f>[5]trip_summary_region!B529</f>
        <v>9</v>
      </c>
      <c r="C529">
        <f>[5]trip_summary_region!C529</f>
        <v>2023</v>
      </c>
      <c r="D529">
        <f>[5]trip_summary_region!D529</f>
        <v>4</v>
      </c>
      <c r="E529">
        <f>[5]trip_summary_region!E529</f>
        <v>11</v>
      </c>
      <c r="F529">
        <f>[5]trip_summary_region!F529</f>
        <v>0.19455219400000001</v>
      </c>
      <c r="G529">
        <f>[5]trip_summary_region!G529</f>
        <v>0</v>
      </c>
      <c r="H529">
        <f>[5]trip_summary_region!H529</f>
        <v>6.3111735599999996E-2</v>
      </c>
      <c r="I529" t="str">
        <f>[5]trip_summary_region!I529</f>
        <v>Other Household Travel</v>
      </c>
      <c r="J529" t="str">
        <f>[5]trip_summary_region!J529</f>
        <v>2022/23</v>
      </c>
    </row>
    <row r="530" spans="1:10" x14ac:dyDescent="0.2">
      <c r="A530" t="str">
        <f>[5]trip_summary_region!A530</f>
        <v>07 TARANAKI</v>
      </c>
      <c r="B530">
        <f>[5]trip_summary_region!B530</f>
        <v>9</v>
      </c>
      <c r="C530">
        <f>[5]trip_summary_region!C530</f>
        <v>2028</v>
      </c>
      <c r="D530">
        <f>[5]trip_summary_region!D530</f>
        <v>4</v>
      </c>
      <c r="E530">
        <f>[5]trip_summary_region!E530</f>
        <v>11</v>
      </c>
      <c r="F530">
        <f>[5]trip_summary_region!F530</f>
        <v>0.2075285298</v>
      </c>
      <c r="G530">
        <f>[5]trip_summary_region!G530</f>
        <v>0</v>
      </c>
      <c r="H530">
        <f>[5]trip_summary_region!H530</f>
        <v>7.1191905900000005E-2</v>
      </c>
      <c r="I530" t="str">
        <f>[5]trip_summary_region!I530</f>
        <v>Other Household Travel</v>
      </c>
      <c r="J530" t="str">
        <f>[5]trip_summary_region!J530</f>
        <v>2027/28</v>
      </c>
    </row>
    <row r="531" spans="1:10" x14ac:dyDescent="0.2">
      <c r="A531" t="str">
        <f>[5]trip_summary_region!A531</f>
        <v>07 TARANAKI</v>
      </c>
      <c r="B531">
        <f>[5]trip_summary_region!B531</f>
        <v>9</v>
      </c>
      <c r="C531">
        <f>[5]trip_summary_region!C531</f>
        <v>2033</v>
      </c>
      <c r="D531">
        <f>[5]trip_summary_region!D531</f>
        <v>4</v>
      </c>
      <c r="E531">
        <f>[5]trip_summary_region!E531</f>
        <v>11</v>
      </c>
      <c r="F531">
        <f>[5]trip_summary_region!F531</f>
        <v>0.2328889422</v>
      </c>
      <c r="G531">
        <f>[5]trip_summary_region!G531</f>
        <v>0</v>
      </c>
      <c r="H531">
        <f>[5]trip_summary_region!H531</f>
        <v>8.5240224899999995E-2</v>
      </c>
      <c r="I531" t="str">
        <f>[5]trip_summary_region!I531</f>
        <v>Other Household Travel</v>
      </c>
      <c r="J531" t="str">
        <f>[5]trip_summary_region!J531</f>
        <v>2032/33</v>
      </c>
    </row>
    <row r="532" spans="1:10" x14ac:dyDescent="0.2">
      <c r="A532" t="str">
        <f>[5]trip_summary_region!A532</f>
        <v>07 TARANAKI</v>
      </c>
      <c r="B532">
        <f>[5]trip_summary_region!B532</f>
        <v>9</v>
      </c>
      <c r="C532">
        <f>[5]trip_summary_region!C532</f>
        <v>2038</v>
      </c>
      <c r="D532">
        <f>[5]trip_summary_region!D532</f>
        <v>4</v>
      </c>
      <c r="E532">
        <f>[5]trip_summary_region!E532</f>
        <v>11</v>
      </c>
      <c r="F532">
        <f>[5]trip_summary_region!F532</f>
        <v>0.25271862049999999</v>
      </c>
      <c r="G532">
        <f>[5]trip_summary_region!G532</f>
        <v>0</v>
      </c>
      <c r="H532">
        <f>[5]trip_summary_region!H532</f>
        <v>9.5482620899999995E-2</v>
      </c>
      <c r="I532" t="str">
        <f>[5]trip_summary_region!I532</f>
        <v>Other Household Travel</v>
      </c>
      <c r="J532" t="str">
        <f>[5]trip_summary_region!J532</f>
        <v>2037/38</v>
      </c>
    </row>
    <row r="533" spans="1:10" x14ac:dyDescent="0.2">
      <c r="A533" t="str">
        <f>[5]trip_summary_region!A533</f>
        <v>07 TARANAKI</v>
      </c>
      <c r="B533">
        <f>[5]trip_summary_region!B533</f>
        <v>9</v>
      </c>
      <c r="C533">
        <f>[5]trip_summary_region!C533</f>
        <v>2043</v>
      </c>
      <c r="D533">
        <f>[5]trip_summary_region!D533</f>
        <v>4</v>
      </c>
      <c r="E533">
        <f>[5]trip_summary_region!E533</f>
        <v>11</v>
      </c>
      <c r="F533">
        <f>[5]trip_summary_region!F533</f>
        <v>0.26568745049999998</v>
      </c>
      <c r="G533">
        <f>[5]trip_summary_region!G533</f>
        <v>0</v>
      </c>
      <c r="H533">
        <f>[5]trip_summary_region!H533</f>
        <v>0.1019528064</v>
      </c>
      <c r="I533" t="str">
        <f>[5]trip_summary_region!I533</f>
        <v>Other Household Travel</v>
      </c>
      <c r="J533" t="str">
        <f>[5]trip_summary_region!J533</f>
        <v>2042/43</v>
      </c>
    </row>
    <row r="534" spans="1:10" x14ac:dyDescent="0.2">
      <c r="A534" t="str">
        <f>[5]trip_summary_region!A534</f>
        <v>07 TARANAKI</v>
      </c>
      <c r="B534">
        <f>[5]trip_summary_region!B534</f>
        <v>10</v>
      </c>
      <c r="C534">
        <f>[5]trip_summary_region!C534</f>
        <v>2013</v>
      </c>
      <c r="D534">
        <f>[5]trip_summary_region!D534</f>
        <v>7</v>
      </c>
      <c r="E534">
        <f>[5]trip_summary_region!E534</f>
        <v>9</v>
      </c>
      <c r="F534">
        <f>[5]trip_summary_region!F534</f>
        <v>0.31946750800000001</v>
      </c>
      <c r="G534">
        <f>[5]trip_summary_region!G534</f>
        <v>11.123016451</v>
      </c>
      <c r="H534">
        <f>[5]trip_summary_region!H534</f>
        <v>0.97687121219999995</v>
      </c>
      <c r="I534" t="str">
        <f>[5]trip_summary_region!I534</f>
        <v>Air/Non-Local PT</v>
      </c>
      <c r="J534" t="str">
        <f>[5]trip_summary_region!J534</f>
        <v>2012/13</v>
      </c>
    </row>
    <row r="535" spans="1:10" x14ac:dyDescent="0.2">
      <c r="A535" t="str">
        <f>[5]trip_summary_region!A535</f>
        <v>07 TARANAKI</v>
      </c>
      <c r="B535">
        <f>[5]trip_summary_region!B535</f>
        <v>10</v>
      </c>
      <c r="C535">
        <f>[5]trip_summary_region!C535</f>
        <v>2018</v>
      </c>
      <c r="D535">
        <f>[5]trip_summary_region!D535</f>
        <v>7</v>
      </c>
      <c r="E535">
        <f>[5]trip_summary_region!E535</f>
        <v>9</v>
      </c>
      <c r="F535">
        <f>[5]trip_summary_region!F535</f>
        <v>0.27794156050000002</v>
      </c>
      <c r="G535">
        <f>[5]trip_summary_region!G535</f>
        <v>12.142658781</v>
      </c>
      <c r="H535">
        <f>[5]trip_summary_region!H535</f>
        <v>0.85199087060000001</v>
      </c>
      <c r="I535" t="str">
        <f>[5]trip_summary_region!I535</f>
        <v>Air/Non-Local PT</v>
      </c>
      <c r="J535" t="str">
        <f>[5]trip_summary_region!J535</f>
        <v>2017/18</v>
      </c>
    </row>
    <row r="536" spans="1:10" x14ac:dyDescent="0.2">
      <c r="A536" t="str">
        <f>[5]trip_summary_region!A536</f>
        <v>07 TARANAKI</v>
      </c>
      <c r="B536">
        <f>[5]trip_summary_region!B536</f>
        <v>10</v>
      </c>
      <c r="C536">
        <f>[5]trip_summary_region!C536</f>
        <v>2023</v>
      </c>
      <c r="D536">
        <f>[5]trip_summary_region!D536</f>
        <v>7</v>
      </c>
      <c r="E536">
        <f>[5]trip_summary_region!E536</f>
        <v>9</v>
      </c>
      <c r="F536">
        <f>[5]trip_summary_region!F536</f>
        <v>0.2508483299</v>
      </c>
      <c r="G536">
        <f>[5]trip_summary_region!G536</f>
        <v>14.212996303000001</v>
      </c>
      <c r="H536">
        <f>[5]trip_summary_region!H536</f>
        <v>0.77473971419999998</v>
      </c>
      <c r="I536" t="str">
        <f>[5]trip_summary_region!I536</f>
        <v>Air/Non-Local PT</v>
      </c>
      <c r="J536" t="str">
        <f>[5]trip_summary_region!J536</f>
        <v>2022/23</v>
      </c>
    </row>
    <row r="537" spans="1:10" x14ac:dyDescent="0.2">
      <c r="A537" t="str">
        <f>[5]trip_summary_region!A537</f>
        <v>07 TARANAKI</v>
      </c>
      <c r="B537">
        <f>[5]trip_summary_region!B537</f>
        <v>10</v>
      </c>
      <c r="C537">
        <f>[5]trip_summary_region!C537</f>
        <v>2028</v>
      </c>
      <c r="D537">
        <f>[5]trip_summary_region!D537</f>
        <v>7</v>
      </c>
      <c r="E537">
        <f>[5]trip_summary_region!E537</f>
        <v>9</v>
      </c>
      <c r="F537">
        <f>[5]trip_summary_region!F537</f>
        <v>0.23475136629999999</v>
      </c>
      <c r="G537">
        <f>[5]trip_summary_region!G537</f>
        <v>16.252692070999998</v>
      </c>
      <c r="H537">
        <f>[5]trip_summary_region!H537</f>
        <v>0.72844207959999996</v>
      </c>
      <c r="I537" t="str">
        <f>[5]trip_summary_region!I537</f>
        <v>Air/Non-Local PT</v>
      </c>
      <c r="J537" t="str">
        <f>[5]trip_summary_region!J537</f>
        <v>2027/28</v>
      </c>
    </row>
    <row r="538" spans="1:10" x14ac:dyDescent="0.2">
      <c r="A538" t="str">
        <f>[5]trip_summary_region!A538</f>
        <v>07 TARANAKI</v>
      </c>
      <c r="B538">
        <f>[5]trip_summary_region!B538</f>
        <v>10</v>
      </c>
      <c r="C538">
        <f>[5]trip_summary_region!C538</f>
        <v>2033</v>
      </c>
      <c r="D538">
        <f>[5]trip_summary_region!D538</f>
        <v>7</v>
      </c>
      <c r="E538">
        <f>[5]trip_summary_region!E538</f>
        <v>9</v>
      </c>
      <c r="F538">
        <f>[5]trip_summary_region!F538</f>
        <v>0.2235480373</v>
      </c>
      <c r="G538">
        <f>[5]trip_summary_region!G538</f>
        <v>17.512653454999999</v>
      </c>
      <c r="H538">
        <f>[5]trip_summary_region!H538</f>
        <v>0.68900357729999995</v>
      </c>
      <c r="I538" t="str">
        <f>[5]trip_summary_region!I538</f>
        <v>Air/Non-Local PT</v>
      </c>
      <c r="J538" t="str">
        <f>[5]trip_summary_region!J538</f>
        <v>2032/33</v>
      </c>
    </row>
    <row r="539" spans="1:10" x14ac:dyDescent="0.2">
      <c r="A539" t="str">
        <f>[5]trip_summary_region!A539</f>
        <v>07 TARANAKI</v>
      </c>
      <c r="B539">
        <f>[5]trip_summary_region!B539</f>
        <v>10</v>
      </c>
      <c r="C539">
        <f>[5]trip_summary_region!C539</f>
        <v>2038</v>
      </c>
      <c r="D539">
        <f>[5]trip_summary_region!D539</f>
        <v>7</v>
      </c>
      <c r="E539">
        <f>[5]trip_summary_region!E539</f>
        <v>9</v>
      </c>
      <c r="F539">
        <f>[5]trip_summary_region!F539</f>
        <v>0.21520183870000001</v>
      </c>
      <c r="G539">
        <f>[5]trip_summary_region!G539</f>
        <v>18.914875592000001</v>
      </c>
      <c r="H539">
        <f>[5]trip_summary_region!H539</f>
        <v>0.65429796539999996</v>
      </c>
      <c r="I539" t="str">
        <f>[5]trip_summary_region!I539</f>
        <v>Air/Non-Local PT</v>
      </c>
      <c r="J539" t="str">
        <f>[5]trip_summary_region!J539</f>
        <v>2037/38</v>
      </c>
    </row>
    <row r="540" spans="1:10" x14ac:dyDescent="0.2">
      <c r="A540" t="str">
        <f>[5]trip_summary_region!A540</f>
        <v>07 TARANAKI</v>
      </c>
      <c r="B540">
        <f>[5]trip_summary_region!B540</f>
        <v>10</v>
      </c>
      <c r="C540">
        <f>[5]trip_summary_region!C540</f>
        <v>2043</v>
      </c>
      <c r="D540">
        <f>[5]trip_summary_region!D540</f>
        <v>7</v>
      </c>
      <c r="E540">
        <f>[5]trip_summary_region!E540</f>
        <v>9</v>
      </c>
      <c r="F540">
        <f>[5]trip_summary_region!F540</f>
        <v>0.2058025869</v>
      </c>
      <c r="G540">
        <f>[5]trip_summary_region!G540</f>
        <v>20.111284098999999</v>
      </c>
      <c r="H540">
        <f>[5]trip_summary_region!H540</f>
        <v>0.61901382270000005</v>
      </c>
      <c r="I540" t="str">
        <f>[5]trip_summary_region!I540</f>
        <v>Air/Non-Local PT</v>
      </c>
      <c r="J540" t="str">
        <f>[5]trip_summary_region!J540</f>
        <v>2042/43</v>
      </c>
    </row>
    <row r="541" spans="1:10" x14ac:dyDescent="0.2">
      <c r="A541" t="str">
        <f>[5]trip_summary_region!A541</f>
        <v>07 TARANAKI</v>
      </c>
      <c r="B541">
        <f>[5]trip_summary_region!B541</f>
        <v>11</v>
      </c>
      <c r="C541">
        <f>[5]trip_summary_region!C541</f>
        <v>2013</v>
      </c>
      <c r="D541">
        <f>[5]trip_summary_region!D541</f>
        <v>28</v>
      </c>
      <c r="E541">
        <f>[5]trip_summary_region!E541</f>
        <v>118</v>
      </c>
      <c r="F541">
        <f>[5]trip_summary_region!F541</f>
        <v>3.0516698092999999</v>
      </c>
      <c r="G541">
        <f>[5]trip_summary_region!G541</f>
        <v>51.301529111999997</v>
      </c>
      <c r="H541">
        <f>[5]trip_summary_region!H541</f>
        <v>1.1153896443</v>
      </c>
      <c r="I541" t="str">
        <f>[5]trip_summary_region!I541</f>
        <v>Non-Household Travel</v>
      </c>
      <c r="J541" t="str">
        <f>[5]trip_summary_region!J541</f>
        <v>2012/13</v>
      </c>
    </row>
    <row r="542" spans="1:10" x14ac:dyDescent="0.2">
      <c r="A542" t="str">
        <f>[5]trip_summary_region!A542</f>
        <v>07 TARANAKI</v>
      </c>
      <c r="B542">
        <f>[5]trip_summary_region!B542</f>
        <v>11</v>
      </c>
      <c r="C542">
        <f>[5]trip_summary_region!C542</f>
        <v>2018</v>
      </c>
      <c r="D542">
        <f>[5]trip_summary_region!D542</f>
        <v>28</v>
      </c>
      <c r="E542">
        <f>[5]trip_summary_region!E542</f>
        <v>118</v>
      </c>
      <c r="F542">
        <f>[5]trip_summary_region!F542</f>
        <v>3.3802598205000001</v>
      </c>
      <c r="G542">
        <f>[5]trip_summary_region!G542</f>
        <v>56.394094404000001</v>
      </c>
      <c r="H542">
        <f>[5]trip_summary_region!H542</f>
        <v>1.2484914064999999</v>
      </c>
      <c r="I542" t="str">
        <f>[5]trip_summary_region!I542</f>
        <v>Non-Household Travel</v>
      </c>
      <c r="J542" t="str">
        <f>[5]trip_summary_region!J542</f>
        <v>2017/18</v>
      </c>
    </row>
    <row r="543" spans="1:10" x14ac:dyDescent="0.2">
      <c r="A543" t="str">
        <f>[5]trip_summary_region!A543</f>
        <v>07 TARANAKI</v>
      </c>
      <c r="B543">
        <f>[5]trip_summary_region!B543</f>
        <v>11</v>
      </c>
      <c r="C543">
        <f>[5]trip_summary_region!C543</f>
        <v>2023</v>
      </c>
      <c r="D543">
        <f>[5]trip_summary_region!D543</f>
        <v>28</v>
      </c>
      <c r="E543">
        <f>[5]trip_summary_region!E543</f>
        <v>118</v>
      </c>
      <c r="F543">
        <f>[5]trip_summary_region!F543</f>
        <v>3.6530115433999999</v>
      </c>
      <c r="G543">
        <f>[5]trip_summary_region!G543</f>
        <v>60.343290213000003</v>
      </c>
      <c r="H543">
        <f>[5]trip_summary_region!H543</f>
        <v>1.3570601631999999</v>
      </c>
      <c r="I543" t="str">
        <f>[5]trip_summary_region!I543</f>
        <v>Non-Household Travel</v>
      </c>
      <c r="J543" t="str">
        <f>[5]trip_summary_region!J543</f>
        <v>2022/23</v>
      </c>
    </row>
    <row r="544" spans="1:10" x14ac:dyDescent="0.2">
      <c r="A544" t="str">
        <f>[5]trip_summary_region!A544</f>
        <v>07 TARANAKI</v>
      </c>
      <c r="B544">
        <f>[5]trip_summary_region!B544</f>
        <v>11</v>
      </c>
      <c r="C544">
        <f>[5]trip_summary_region!C544</f>
        <v>2028</v>
      </c>
      <c r="D544">
        <f>[5]trip_summary_region!D544</f>
        <v>28</v>
      </c>
      <c r="E544">
        <f>[5]trip_summary_region!E544</f>
        <v>118</v>
      </c>
      <c r="F544">
        <f>[5]trip_summary_region!F544</f>
        <v>3.7959288562000002</v>
      </c>
      <c r="G544">
        <f>[5]trip_summary_region!G544</f>
        <v>61.577856062000002</v>
      </c>
      <c r="H544">
        <f>[5]trip_summary_region!H544</f>
        <v>1.4077730800999999</v>
      </c>
      <c r="I544" t="str">
        <f>[5]trip_summary_region!I544</f>
        <v>Non-Household Travel</v>
      </c>
      <c r="J544" t="str">
        <f>[5]trip_summary_region!J544</f>
        <v>2027/28</v>
      </c>
    </row>
    <row r="545" spans="1:10" x14ac:dyDescent="0.2">
      <c r="A545" t="str">
        <f>[5]trip_summary_region!A545</f>
        <v>07 TARANAKI</v>
      </c>
      <c r="B545">
        <f>[5]trip_summary_region!B545</f>
        <v>11</v>
      </c>
      <c r="C545">
        <f>[5]trip_summary_region!C545</f>
        <v>2033</v>
      </c>
      <c r="D545">
        <f>[5]trip_summary_region!D545</f>
        <v>28</v>
      </c>
      <c r="E545">
        <f>[5]trip_summary_region!E545</f>
        <v>118</v>
      </c>
      <c r="F545">
        <f>[5]trip_summary_region!F545</f>
        <v>3.8796311480000001</v>
      </c>
      <c r="G545">
        <f>[5]trip_summary_region!G545</f>
        <v>62.185613332000003</v>
      </c>
      <c r="H545">
        <f>[5]trip_summary_region!H545</f>
        <v>1.4298859749999999</v>
      </c>
      <c r="I545" t="str">
        <f>[5]trip_summary_region!I545</f>
        <v>Non-Household Travel</v>
      </c>
      <c r="J545" t="str">
        <f>[5]trip_summary_region!J545</f>
        <v>2032/33</v>
      </c>
    </row>
    <row r="546" spans="1:10" x14ac:dyDescent="0.2">
      <c r="A546" t="str">
        <f>[5]trip_summary_region!A546</f>
        <v>07 TARANAKI</v>
      </c>
      <c r="B546">
        <f>[5]trip_summary_region!B546</f>
        <v>11</v>
      </c>
      <c r="C546">
        <f>[5]trip_summary_region!C546</f>
        <v>2038</v>
      </c>
      <c r="D546">
        <f>[5]trip_summary_region!D546</f>
        <v>28</v>
      </c>
      <c r="E546">
        <f>[5]trip_summary_region!E546</f>
        <v>118</v>
      </c>
      <c r="F546">
        <f>[5]trip_summary_region!F546</f>
        <v>3.9289352841</v>
      </c>
      <c r="G546">
        <f>[5]trip_summary_region!G546</f>
        <v>62.121855150999998</v>
      </c>
      <c r="H546">
        <f>[5]trip_summary_region!H546</f>
        <v>1.4268608594000001</v>
      </c>
      <c r="I546" t="str">
        <f>[5]trip_summary_region!I546</f>
        <v>Non-Household Travel</v>
      </c>
      <c r="J546" t="str">
        <f>[5]trip_summary_region!J546</f>
        <v>2037/38</v>
      </c>
    </row>
    <row r="547" spans="1:10" x14ac:dyDescent="0.2">
      <c r="A547" t="str">
        <f>[5]trip_summary_region!A547</f>
        <v>07 TARANAKI</v>
      </c>
      <c r="B547">
        <f>[5]trip_summary_region!B547</f>
        <v>11</v>
      </c>
      <c r="C547">
        <f>[5]trip_summary_region!C547</f>
        <v>2043</v>
      </c>
      <c r="D547">
        <f>[5]trip_summary_region!D547</f>
        <v>28</v>
      </c>
      <c r="E547">
        <f>[5]trip_summary_region!E547</f>
        <v>118</v>
      </c>
      <c r="F547">
        <f>[5]trip_summary_region!F547</f>
        <v>3.9670760852</v>
      </c>
      <c r="G547">
        <f>[5]trip_summary_region!G547</f>
        <v>61.68571524</v>
      </c>
      <c r="H547">
        <f>[5]trip_summary_region!H547</f>
        <v>1.4160113235</v>
      </c>
      <c r="I547" t="str">
        <f>[5]trip_summary_region!I547</f>
        <v>Non-Household Travel</v>
      </c>
      <c r="J547" t="str">
        <f>[5]trip_summary_region!J547</f>
        <v>2042/43</v>
      </c>
    </row>
    <row r="548" spans="1:10" x14ac:dyDescent="0.2">
      <c r="A548" t="str">
        <f>[5]trip_summary_region!A548</f>
        <v>08 MANAWATU-WANGANUI</v>
      </c>
      <c r="B548">
        <f>[5]trip_summary_region!B548</f>
        <v>0</v>
      </c>
      <c r="C548">
        <f>[5]trip_summary_region!C548</f>
        <v>2013</v>
      </c>
      <c r="D548">
        <f>[5]trip_summary_region!D548</f>
        <v>214</v>
      </c>
      <c r="E548">
        <f>[5]trip_summary_region!E548</f>
        <v>797</v>
      </c>
      <c r="F548">
        <f>[5]trip_summary_region!F548</f>
        <v>39.544031846000003</v>
      </c>
      <c r="G548">
        <f>[5]trip_summary_region!G548</f>
        <v>32.265609755</v>
      </c>
      <c r="H548">
        <f>[5]trip_summary_region!H548</f>
        <v>8.3408449691000008</v>
      </c>
      <c r="I548" t="str">
        <f>[5]trip_summary_region!I548</f>
        <v>Pedestrian</v>
      </c>
      <c r="J548" t="str">
        <f>[5]trip_summary_region!J548</f>
        <v>2012/13</v>
      </c>
    </row>
    <row r="549" spans="1:10" x14ac:dyDescent="0.2">
      <c r="A549" t="str">
        <f>[5]trip_summary_region!A549</f>
        <v>08 MANAWATU-WANGANUI</v>
      </c>
      <c r="B549">
        <f>[5]trip_summary_region!B549</f>
        <v>0</v>
      </c>
      <c r="C549">
        <f>[5]trip_summary_region!C549</f>
        <v>2018</v>
      </c>
      <c r="D549">
        <f>[5]trip_summary_region!D549</f>
        <v>214</v>
      </c>
      <c r="E549">
        <f>[5]trip_summary_region!E549</f>
        <v>797</v>
      </c>
      <c r="F549">
        <f>[5]trip_summary_region!F549</f>
        <v>38.747288760000004</v>
      </c>
      <c r="G549">
        <f>[5]trip_summary_region!G549</f>
        <v>32.257016430999997</v>
      </c>
      <c r="H549">
        <f>[5]trip_summary_region!H549</f>
        <v>8.1995005451999994</v>
      </c>
      <c r="I549" t="str">
        <f>[5]trip_summary_region!I549</f>
        <v>Pedestrian</v>
      </c>
      <c r="J549" t="str">
        <f>[5]trip_summary_region!J549</f>
        <v>2017/18</v>
      </c>
    </row>
    <row r="550" spans="1:10" x14ac:dyDescent="0.2">
      <c r="A550" t="str">
        <f>[5]trip_summary_region!A550</f>
        <v>08 MANAWATU-WANGANUI</v>
      </c>
      <c r="B550">
        <f>[5]trip_summary_region!B550</f>
        <v>0</v>
      </c>
      <c r="C550">
        <f>[5]trip_summary_region!C550</f>
        <v>2023</v>
      </c>
      <c r="D550">
        <f>[5]trip_summary_region!D550</f>
        <v>214</v>
      </c>
      <c r="E550">
        <f>[5]trip_summary_region!E550</f>
        <v>797</v>
      </c>
      <c r="F550">
        <f>[5]trip_summary_region!F550</f>
        <v>37.613829013999997</v>
      </c>
      <c r="G550">
        <f>[5]trip_summary_region!G550</f>
        <v>31.715956725000002</v>
      </c>
      <c r="H550">
        <f>[5]trip_summary_region!H550</f>
        <v>7.9520479962000001</v>
      </c>
      <c r="I550" t="str">
        <f>[5]trip_summary_region!I550</f>
        <v>Pedestrian</v>
      </c>
      <c r="J550" t="str">
        <f>[5]trip_summary_region!J550</f>
        <v>2022/23</v>
      </c>
    </row>
    <row r="551" spans="1:10" x14ac:dyDescent="0.2">
      <c r="A551" t="str">
        <f>[5]trip_summary_region!A551</f>
        <v>08 MANAWATU-WANGANUI</v>
      </c>
      <c r="B551">
        <f>[5]trip_summary_region!B551</f>
        <v>0</v>
      </c>
      <c r="C551">
        <f>[5]trip_summary_region!C551</f>
        <v>2028</v>
      </c>
      <c r="D551">
        <f>[5]trip_summary_region!D551</f>
        <v>214</v>
      </c>
      <c r="E551">
        <f>[5]trip_summary_region!E551</f>
        <v>797</v>
      </c>
      <c r="F551">
        <f>[5]trip_summary_region!F551</f>
        <v>36.087513074999997</v>
      </c>
      <c r="G551">
        <f>[5]trip_summary_region!G551</f>
        <v>30.917619644999998</v>
      </c>
      <c r="H551">
        <f>[5]trip_summary_region!H551</f>
        <v>7.6600913107000004</v>
      </c>
      <c r="I551" t="str">
        <f>[5]trip_summary_region!I551</f>
        <v>Pedestrian</v>
      </c>
      <c r="J551" t="str">
        <f>[5]trip_summary_region!J551</f>
        <v>2027/28</v>
      </c>
    </row>
    <row r="552" spans="1:10" x14ac:dyDescent="0.2">
      <c r="A552" t="str">
        <f>[5]trip_summary_region!A552</f>
        <v>08 MANAWATU-WANGANUI</v>
      </c>
      <c r="B552">
        <f>[5]trip_summary_region!B552</f>
        <v>0</v>
      </c>
      <c r="C552">
        <f>[5]trip_summary_region!C552</f>
        <v>2033</v>
      </c>
      <c r="D552">
        <f>[5]trip_summary_region!D552</f>
        <v>214</v>
      </c>
      <c r="E552">
        <f>[5]trip_summary_region!E552</f>
        <v>797</v>
      </c>
      <c r="F552">
        <f>[5]trip_summary_region!F552</f>
        <v>34.792072251999997</v>
      </c>
      <c r="G552">
        <f>[5]trip_summary_region!G552</f>
        <v>29.996205966000002</v>
      </c>
      <c r="H552">
        <f>[5]trip_summary_region!H552</f>
        <v>7.3427811850999998</v>
      </c>
      <c r="I552" t="str">
        <f>[5]trip_summary_region!I552</f>
        <v>Pedestrian</v>
      </c>
      <c r="J552" t="str">
        <f>[5]trip_summary_region!J552</f>
        <v>2032/33</v>
      </c>
    </row>
    <row r="553" spans="1:10" x14ac:dyDescent="0.2">
      <c r="A553" t="str">
        <f>[5]trip_summary_region!A553</f>
        <v>08 MANAWATU-WANGANUI</v>
      </c>
      <c r="B553">
        <f>[5]trip_summary_region!B553</f>
        <v>0</v>
      </c>
      <c r="C553">
        <f>[5]trip_summary_region!C553</f>
        <v>2038</v>
      </c>
      <c r="D553">
        <f>[5]trip_summary_region!D553</f>
        <v>214</v>
      </c>
      <c r="E553">
        <f>[5]trip_summary_region!E553</f>
        <v>797</v>
      </c>
      <c r="F553">
        <f>[5]trip_summary_region!F553</f>
        <v>33.663252628999999</v>
      </c>
      <c r="G553">
        <f>[5]trip_summary_region!G553</f>
        <v>29.078439356000001</v>
      </c>
      <c r="H553">
        <f>[5]trip_summary_region!H553</f>
        <v>6.9983546418999998</v>
      </c>
      <c r="I553" t="str">
        <f>[5]trip_summary_region!I553</f>
        <v>Pedestrian</v>
      </c>
      <c r="J553" t="str">
        <f>[5]trip_summary_region!J553</f>
        <v>2037/38</v>
      </c>
    </row>
    <row r="554" spans="1:10" x14ac:dyDescent="0.2">
      <c r="A554" t="str">
        <f>[5]trip_summary_region!A554</f>
        <v>08 MANAWATU-WANGANUI</v>
      </c>
      <c r="B554">
        <f>[5]trip_summary_region!B554</f>
        <v>0</v>
      </c>
      <c r="C554">
        <f>[5]trip_summary_region!C554</f>
        <v>2043</v>
      </c>
      <c r="D554">
        <f>[5]trip_summary_region!D554</f>
        <v>214</v>
      </c>
      <c r="E554">
        <f>[5]trip_summary_region!E554</f>
        <v>797</v>
      </c>
      <c r="F554">
        <f>[5]trip_summary_region!F554</f>
        <v>32.498796087000002</v>
      </c>
      <c r="G554">
        <f>[5]trip_summary_region!G554</f>
        <v>28.108525367999999</v>
      </c>
      <c r="H554">
        <f>[5]trip_summary_region!H554</f>
        <v>6.6453339281000003</v>
      </c>
      <c r="I554" t="str">
        <f>[5]trip_summary_region!I554</f>
        <v>Pedestrian</v>
      </c>
      <c r="J554" t="str">
        <f>[5]trip_summary_region!J554</f>
        <v>2042/43</v>
      </c>
    </row>
    <row r="555" spans="1:10" x14ac:dyDescent="0.2">
      <c r="A555" t="str">
        <f>[5]trip_summary_region!A555</f>
        <v>08 MANAWATU-WANGANUI</v>
      </c>
      <c r="B555">
        <f>[5]trip_summary_region!B555</f>
        <v>1</v>
      </c>
      <c r="C555">
        <f>[5]trip_summary_region!C555</f>
        <v>2013</v>
      </c>
      <c r="D555">
        <f>[5]trip_summary_region!D555</f>
        <v>33</v>
      </c>
      <c r="E555">
        <f>[5]trip_summary_region!E555</f>
        <v>96</v>
      </c>
      <c r="F555">
        <f>[5]trip_summary_region!F555</f>
        <v>4.6745036201000003</v>
      </c>
      <c r="G555">
        <f>[5]trip_summary_region!G555</f>
        <v>20.722330986999999</v>
      </c>
      <c r="H555">
        <f>[5]trip_summary_region!H555</f>
        <v>1.7566260256999999</v>
      </c>
      <c r="I555" t="str">
        <f>[5]trip_summary_region!I555</f>
        <v>Cyclist</v>
      </c>
      <c r="J555" t="str">
        <f>[5]trip_summary_region!J555</f>
        <v>2012/13</v>
      </c>
    </row>
    <row r="556" spans="1:10" x14ac:dyDescent="0.2">
      <c r="A556" t="str">
        <f>[5]trip_summary_region!A556</f>
        <v>08 MANAWATU-WANGANUI</v>
      </c>
      <c r="B556">
        <f>[5]trip_summary_region!B556</f>
        <v>1</v>
      </c>
      <c r="C556">
        <f>[5]trip_summary_region!C556</f>
        <v>2018</v>
      </c>
      <c r="D556">
        <f>[5]trip_summary_region!D556</f>
        <v>33</v>
      </c>
      <c r="E556">
        <f>[5]trip_summary_region!E556</f>
        <v>96</v>
      </c>
      <c r="F556">
        <f>[5]trip_summary_region!F556</f>
        <v>4.8924618022999997</v>
      </c>
      <c r="G556">
        <f>[5]trip_summary_region!G556</f>
        <v>23.088944231999999</v>
      </c>
      <c r="H556">
        <f>[5]trip_summary_region!H556</f>
        <v>1.9183887787</v>
      </c>
      <c r="I556" t="str">
        <f>[5]trip_summary_region!I556</f>
        <v>Cyclist</v>
      </c>
      <c r="J556" t="str">
        <f>[5]trip_summary_region!J556</f>
        <v>2017/18</v>
      </c>
    </row>
    <row r="557" spans="1:10" x14ac:dyDescent="0.2">
      <c r="A557" t="str">
        <f>[5]trip_summary_region!A557</f>
        <v>08 MANAWATU-WANGANUI</v>
      </c>
      <c r="B557">
        <f>[5]trip_summary_region!B557</f>
        <v>1</v>
      </c>
      <c r="C557">
        <f>[5]trip_summary_region!C557</f>
        <v>2023</v>
      </c>
      <c r="D557">
        <f>[5]trip_summary_region!D557</f>
        <v>33</v>
      </c>
      <c r="E557">
        <f>[5]trip_summary_region!E557</f>
        <v>96</v>
      </c>
      <c r="F557">
        <f>[5]trip_summary_region!F557</f>
        <v>5.0785923155999999</v>
      </c>
      <c r="G557">
        <f>[5]trip_summary_region!G557</f>
        <v>24.655979531</v>
      </c>
      <c r="H557">
        <f>[5]trip_summary_region!H557</f>
        <v>2.0372377434</v>
      </c>
      <c r="I557" t="str">
        <f>[5]trip_summary_region!I557</f>
        <v>Cyclist</v>
      </c>
      <c r="J557" t="str">
        <f>[5]trip_summary_region!J557</f>
        <v>2022/23</v>
      </c>
    </row>
    <row r="558" spans="1:10" x14ac:dyDescent="0.2">
      <c r="A558" t="str">
        <f>[5]trip_summary_region!A558</f>
        <v>08 MANAWATU-WANGANUI</v>
      </c>
      <c r="B558">
        <f>[5]trip_summary_region!B558</f>
        <v>1</v>
      </c>
      <c r="C558">
        <f>[5]trip_summary_region!C558</f>
        <v>2028</v>
      </c>
      <c r="D558">
        <f>[5]trip_summary_region!D558</f>
        <v>33</v>
      </c>
      <c r="E558">
        <f>[5]trip_summary_region!E558</f>
        <v>96</v>
      </c>
      <c r="F558">
        <f>[5]trip_summary_region!F558</f>
        <v>5.2129145006000002</v>
      </c>
      <c r="G558">
        <f>[5]trip_summary_region!G558</f>
        <v>24.982433145000002</v>
      </c>
      <c r="H558">
        <f>[5]trip_summary_region!H558</f>
        <v>2.0829749575999998</v>
      </c>
      <c r="I558" t="str">
        <f>[5]trip_summary_region!I558</f>
        <v>Cyclist</v>
      </c>
      <c r="J558" t="str">
        <f>[5]trip_summary_region!J558</f>
        <v>2027/28</v>
      </c>
    </row>
    <row r="559" spans="1:10" x14ac:dyDescent="0.2">
      <c r="A559" t="str">
        <f>[5]trip_summary_region!A559</f>
        <v>08 MANAWATU-WANGANUI</v>
      </c>
      <c r="B559">
        <f>[5]trip_summary_region!B559</f>
        <v>1</v>
      </c>
      <c r="C559">
        <f>[5]trip_summary_region!C559</f>
        <v>2033</v>
      </c>
      <c r="D559">
        <f>[5]trip_summary_region!D559</f>
        <v>33</v>
      </c>
      <c r="E559">
        <f>[5]trip_summary_region!E559</f>
        <v>96</v>
      </c>
      <c r="F559">
        <f>[5]trip_summary_region!F559</f>
        <v>5.3691444793000001</v>
      </c>
      <c r="G559">
        <f>[5]trip_summary_region!G559</f>
        <v>25.192419341000001</v>
      </c>
      <c r="H559">
        <f>[5]trip_summary_region!H559</f>
        <v>2.115150087</v>
      </c>
      <c r="I559" t="str">
        <f>[5]trip_summary_region!I559</f>
        <v>Cyclist</v>
      </c>
      <c r="J559" t="str">
        <f>[5]trip_summary_region!J559</f>
        <v>2032/33</v>
      </c>
    </row>
    <row r="560" spans="1:10" x14ac:dyDescent="0.2">
      <c r="A560" t="str">
        <f>[5]trip_summary_region!A560</f>
        <v>08 MANAWATU-WANGANUI</v>
      </c>
      <c r="B560">
        <f>[5]trip_summary_region!B560</f>
        <v>1</v>
      </c>
      <c r="C560">
        <f>[5]trip_summary_region!C560</f>
        <v>2038</v>
      </c>
      <c r="D560">
        <f>[5]trip_summary_region!D560</f>
        <v>33</v>
      </c>
      <c r="E560">
        <f>[5]trip_summary_region!E560</f>
        <v>96</v>
      </c>
      <c r="F560">
        <f>[5]trip_summary_region!F560</f>
        <v>5.3169612224999998</v>
      </c>
      <c r="G560">
        <f>[5]trip_summary_region!G560</f>
        <v>25.398751116</v>
      </c>
      <c r="H560">
        <f>[5]trip_summary_region!H560</f>
        <v>2.1032904944999999</v>
      </c>
      <c r="I560" t="str">
        <f>[5]trip_summary_region!I560</f>
        <v>Cyclist</v>
      </c>
      <c r="J560" t="str">
        <f>[5]trip_summary_region!J560</f>
        <v>2037/38</v>
      </c>
    </row>
    <row r="561" spans="1:10" x14ac:dyDescent="0.2">
      <c r="A561" t="str">
        <f>[5]trip_summary_region!A561</f>
        <v>08 MANAWATU-WANGANUI</v>
      </c>
      <c r="B561">
        <f>[5]trip_summary_region!B561</f>
        <v>1</v>
      </c>
      <c r="C561">
        <f>[5]trip_summary_region!C561</f>
        <v>2043</v>
      </c>
      <c r="D561">
        <f>[5]trip_summary_region!D561</f>
        <v>33</v>
      </c>
      <c r="E561">
        <f>[5]trip_summary_region!E561</f>
        <v>96</v>
      </c>
      <c r="F561">
        <f>[5]trip_summary_region!F561</f>
        <v>5.2270414566000003</v>
      </c>
      <c r="G561">
        <f>[5]trip_summary_region!G561</f>
        <v>25.519875636999998</v>
      </c>
      <c r="H561">
        <f>[5]trip_summary_region!H561</f>
        <v>2.0782260834000001</v>
      </c>
      <c r="I561" t="str">
        <f>[5]trip_summary_region!I561</f>
        <v>Cyclist</v>
      </c>
      <c r="J561" t="str">
        <f>[5]trip_summary_region!J561</f>
        <v>2042/43</v>
      </c>
    </row>
    <row r="562" spans="1:10" x14ac:dyDescent="0.2">
      <c r="A562" t="str">
        <f>[5]trip_summary_region!A562</f>
        <v>08 MANAWATU-WANGANUI</v>
      </c>
      <c r="B562">
        <f>[5]trip_summary_region!B562</f>
        <v>2</v>
      </c>
      <c r="C562">
        <f>[5]trip_summary_region!C562</f>
        <v>2013</v>
      </c>
      <c r="D562">
        <f>[5]trip_summary_region!D562</f>
        <v>588</v>
      </c>
      <c r="E562">
        <f>[5]trip_summary_region!E562</f>
        <v>4259</v>
      </c>
      <c r="F562">
        <f>[5]trip_summary_region!F562</f>
        <v>178.69640117</v>
      </c>
      <c r="G562">
        <f>[5]trip_summary_region!G562</f>
        <v>1782.4745101999999</v>
      </c>
      <c r="H562">
        <f>[5]trip_summary_region!H562</f>
        <v>42.09204356</v>
      </c>
      <c r="I562" t="str">
        <f>[5]trip_summary_region!I562</f>
        <v>Light Vehicle Driver</v>
      </c>
      <c r="J562" t="str">
        <f>[5]trip_summary_region!J562</f>
        <v>2012/13</v>
      </c>
    </row>
    <row r="563" spans="1:10" x14ac:dyDescent="0.2">
      <c r="A563" t="str">
        <f>[5]trip_summary_region!A563</f>
        <v>08 MANAWATU-WANGANUI</v>
      </c>
      <c r="B563">
        <f>[5]trip_summary_region!B563</f>
        <v>2</v>
      </c>
      <c r="C563">
        <f>[5]trip_summary_region!C563</f>
        <v>2018</v>
      </c>
      <c r="D563">
        <f>[5]trip_summary_region!D563</f>
        <v>588</v>
      </c>
      <c r="E563">
        <f>[5]trip_summary_region!E563</f>
        <v>4259</v>
      </c>
      <c r="F563">
        <f>[5]trip_summary_region!F563</f>
        <v>190.53984130000001</v>
      </c>
      <c r="G563">
        <f>[5]trip_summary_region!G563</f>
        <v>1921.6056977999999</v>
      </c>
      <c r="H563">
        <f>[5]trip_summary_region!H563</f>
        <v>45.311149942</v>
      </c>
      <c r="I563" t="str">
        <f>[5]trip_summary_region!I563</f>
        <v>Light Vehicle Driver</v>
      </c>
      <c r="J563" t="str">
        <f>[5]trip_summary_region!J563</f>
        <v>2017/18</v>
      </c>
    </row>
    <row r="564" spans="1:10" x14ac:dyDescent="0.2">
      <c r="A564" t="str">
        <f>[5]trip_summary_region!A564</f>
        <v>08 MANAWATU-WANGANUI</v>
      </c>
      <c r="B564">
        <f>[5]trip_summary_region!B564</f>
        <v>2</v>
      </c>
      <c r="C564">
        <f>[5]trip_summary_region!C564</f>
        <v>2023</v>
      </c>
      <c r="D564">
        <f>[5]trip_summary_region!D564</f>
        <v>588</v>
      </c>
      <c r="E564">
        <f>[5]trip_summary_region!E564</f>
        <v>4259</v>
      </c>
      <c r="F564">
        <f>[5]trip_summary_region!F564</f>
        <v>196.60968793999999</v>
      </c>
      <c r="G564">
        <f>[5]trip_summary_region!G564</f>
        <v>2008.5325579</v>
      </c>
      <c r="H564">
        <f>[5]trip_summary_region!H564</f>
        <v>47.137630287999997</v>
      </c>
      <c r="I564" t="str">
        <f>[5]trip_summary_region!I564</f>
        <v>Light Vehicle Driver</v>
      </c>
      <c r="J564" t="str">
        <f>[5]trip_summary_region!J564</f>
        <v>2022/23</v>
      </c>
    </row>
    <row r="565" spans="1:10" x14ac:dyDescent="0.2">
      <c r="A565" t="str">
        <f>[5]trip_summary_region!A565</f>
        <v>08 MANAWATU-WANGANUI</v>
      </c>
      <c r="B565">
        <f>[5]trip_summary_region!B565</f>
        <v>2</v>
      </c>
      <c r="C565">
        <f>[5]trip_summary_region!C565</f>
        <v>2028</v>
      </c>
      <c r="D565">
        <f>[5]trip_summary_region!D565</f>
        <v>588</v>
      </c>
      <c r="E565">
        <f>[5]trip_summary_region!E565</f>
        <v>4259</v>
      </c>
      <c r="F565">
        <f>[5]trip_summary_region!F565</f>
        <v>198.41565265</v>
      </c>
      <c r="G565">
        <f>[5]trip_summary_region!G565</f>
        <v>2051.1508617999998</v>
      </c>
      <c r="H565">
        <f>[5]trip_summary_region!H565</f>
        <v>47.849284208999997</v>
      </c>
      <c r="I565" t="str">
        <f>[5]trip_summary_region!I565</f>
        <v>Light Vehicle Driver</v>
      </c>
      <c r="J565" t="str">
        <f>[5]trip_summary_region!J565</f>
        <v>2027/28</v>
      </c>
    </row>
    <row r="566" spans="1:10" x14ac:dyDescent="0.2">
      <c r="A566" t="str">
        <f>[5]trip_summary_region!A566</f>
        <v>08 MANAWATU-WANGANUI</v>
      </c>
      <c r="B566">
        <f>[5]trip_summary_region!B566</f>
        <v>2</v>
      </c>
      <c r="C566">
        <f>[5]trip_summary_region!C566</f>
        <v>2033</v>
      </c>
      <c r="D566">
        <f>[5]trip_summary_region!D566</f>
        <v>588</v>
      </c>
      <c r="E566">
        <f>[5]trip_summary_region!E566</f>
        <v>4259</v>
      </c>
      <c r="F566">
        <f>[5]trip_summary_region!F566</f>
        <v>200.58084801999999</v>
      </c>
      <c r="G566">
        <f>[5]trip_summary_region!G566</f>
        <v>2080.9406641999999</v>
      </c>
      <c r="H566">
        <f>[5]trip_summary_region!H566</f>
        <v>48.443217124</v>
      </c>
      <c r="I566" t="str">
        <f>[5]trip_summary_region!I566</f>
        <v>Light Vehicle Driver</v>
      </c>
      <c r="J566" t="str">
        <f>[5]trip_summary_region!J566</f>
        <v>2032/33</v>
      </c>
    </row>
    <row r="567" spans="1:10" x14ac:dyDescent="0.2">
      <c r="A567" t="str">
        <f>[5]trip_summary_region!A567</f>
        <v>08 MANAWATU-WANGANUI</v>
      </c>
      <c r="B567">
        <f>[5]trip_summary_region!B567</f>
        <v>2</v>
      </c>
      <c r="C567">
        <f>[5]trip_summary_region!C567</f>
        <v>2038</v>
      </c>
      <c r="D567">
        <f>[5]trip_summary_region!D567</f>
        <v>588</v>
      </c>
      <c r="E567">
        <f>[5]trip_summary_region!E567</f>
        <v>4259</v>
      </c>
      <c r="F567">
        <f>[5]trip_summary_region!F567</f>
        <v>200.55342327</v>
      </c>
      <c r="G567">
        <f>[5]trip_summary_region!G567</f>
        <v>2087.7514050999998</v>
      </c>
      <c r="H567">
        <f>[5]trip_summary_region!H567</f>
        <v>48.487029622999998</v>
      </c>
      <c r="I567" t="str">
        <f>[5]trip_summary_region!I567</f>
        <v>Light Vehicle Driver</v>
      </c>
      <c r="J567" t="str">
        <f>[5]trip_summary_region!J567</f>
        <v>2037/38</v>
      </c>
    </row>
    <row r="568" spans="1:10" x14ac:dyDescent="0.2">
      <c r="A568" t="str">
        <f>[5]trip_summary_region!A568</f>
        <v>08 MANAWATU-WANGANUI</v>
      </c>
      <c r="B568">
        <f>[5]trip_summary_region!B568</f>
        <v>2</v>
      </c>
      <c r="C568">
        <f>[5]trip_summary_region!C568</f>
        <v>2043</v>
      </c>
      <c r="D568">
        <f>[5]trip_summary_region!D568</f>
        <v>588</v>
      </c>
      <c r="E568">
        <f>[5]trip_summary_region!E568</f>
        <v>4259</v>
      </c>
      <c r="F568">
        <f>[5]trip_summary_region!F568</f>
        <v>199.60305457999999</v>
      </c>
      <c r="G568">
        <f>[5]trip_summary_region!G568</f>
        <v>2085.8321083000001</v>
      </c>
      <c r="H568">
        <f>[5]trip_summary_region!H568</f>
        <v>48.307120400000002</v>
      </c>
      <c r="I568" t="str">
        <f>[5]trip_summary_region!I568</f>
        <v>Light Vehicle Driver</v>
      </c>
      <c r="J568" t="str">
        <f>[5]trip_summary_region!J568</f>
        <v>2042/43</v>
      </c>
    </row>
    <row r="569" spans="1:10" x14ac:dyDescent="0.2">
      <c r="A569" t="str">
        <f>[5]trip_summary_region!A569</f>
        <v>08 MANAWATU-WANGANUI</v>
      </c>
      <c r="B569">
        <f>[5]trip_summary_region!B569</f>
        <v>3</v>
      </c>
      <c r="C569">
        <f>[5]trip_summary_region!C569</f>
        <v>2013</v>
      </c>
      <c r="D569">
        <f>[5]trip_summary_region!D569</f>
        <v>425</v>
      </c>
      <c r="E569">
        <f>[5]trip_summary_region!E569</f>
        <v>2071</v>
      </c>
      <c r="F569">
        <f>[5]trip_summary_region!F569</f>
        <v>84.046137802999993</v>
      </c>
      <c r="G569">
        <f>[5]trip_summary_region!G569</f>
        <v>885.65568203999999</v>
      </c>
      <c r="H569">
        <f>[5]trip_summary_region!H569</f>
        <v>20.286542670999999</v>
      </c>
      <c r="I569" t="str">
        <f>[5]trip_summary_region!I569</f>
        <v>Light Vehicle Passenger</v>
      </c>
      <c r="J569" t="str">
        <f>[5]trip_summary_region!J569</f>
        <v>2012/13</v>
      </c>
    </row>
    <row r="570" spans="1:10" x14ac:dyDescent="0.2">
      <c r="A570" t="str">
        <f>[5]trip_summary_region!A570</f>
        <v>08 MANAWATU-WANGANUI</v>
      </c>
      <c r="B570">
        <f>[5]trip_summary_region!B570</f>
        <v>3</v>
      </c>
      <c r="C570">
        <f>[5]trip_summary_region!C570</f>
        <v>2018</v>
      </c>
      <c r="D570">
        <f>[5]trip_summary_region!D570</f>
        <v>425</v>
      </c>
      <c r="E570">
        <f>[5]trip_summary_region!E570</f>
        <v>2071</v>
      </c>
      <c r="F570">
        <f>[5]trip_summary_region!F570</f>
        <v>83.487040914999994</v>
      </c>
      <c r="G570">
        <f>[5]trip_summary_region!G570</f>
        <v>904.80493391000005</v>
      </c>
      <c r="H570">
        <f>[5]trip_summary_region!H570</f>
        <v>20.514725923</v>
      </c>
      <c r="I570" t="str">
        <f>[5]trip_summary_region!I570</f>
        <v>Light Vehicle Passenger</v>
      </c>
      <c r="J570" t="str">
        <f>[5]trip_summary_region!J570</f>
        <v>2017/18</v>
      </c>
    </row>
    <row r="571" spans="1:10" x14ac:dyDescent="0.2">
      <c r="A571" t="str">
        <f>[5]trip_summary_region!A571</f>
        <v>08 MANAWATU-WANGANUI</v>
      </c>
      <c r="B571">
        <f>[5]trip_summary_region!B571</f>
        <v>3</v>
      </c>
      <c r="C571">
        <f>[5]trip_summary_region!C571</f>
        <v>2023</v>
      </c>
      <c r="D571">
        <f>[5]trip_summary_region!D571</f>
        <v>425</v>
      </c>
      <c r="E571">
        <f>[5]trip_summary_region!E571</f>
        <v>2071</v>
      </c>
      <c r="F571">
        <f>[5]trip_summary_region!F571</f>
        <v>82.487814665000002</v>
      </c>
      <c r="G571">
        <f>[5]trip_summary_region!G571</f>
        <v>910.37082107000003</v>
      </c>
      <c r="H571">
        <f>[5]trip_summary_region!H571</f>
        <v>20.510028004999999</v>
      </c>
      <c r="I571" t="str">
        <f>[5]trip_summary_region!I571</f>
        <v>Light Vehicle Passenger</v>
      </c>
      <c r="J571" t="str">
        <f>[5]trip_summary_region!J571</f>
        <v>2022/23</v>
      </c>
    </row>
    <row r="572" spans="1:10" x14ac:dyDescent="0.2">
      <c r="A572" t="str">
        <f>[5]trip_summary_region!A572</f>
        <v>08 MANAWATU-WANGANUI</v>
      </c>
      <c r="B572">
        <f>[5]trip_summary_region!B572</f>
        <v>3</v>
      </c>
      <c r="C572">
        <f>[5]trip_summary_region!C572</f>
        <v>2028</v>
      </c>
      <c r="D572">
        <f>[5]trip_summary_region!D572</f>
        <v>425</v>
      </c>
      <c r="E572">
        <f>[5]trip_summary_region!E572</f>
        <v>2071</v>
      </c>
      <c r="F572">
        <f>[5]trip_summary_region!F572</f>
        <v>81.159871222000007</v>
      </c>
      <c r="G572">
        <f>[5]trip_summary_region!G572</f>
        <v>905.54878393000001</v>
      </c>
      <c r="H572">
        <f>[5]trip_summary_region!H572</f>
        <v>20.321673954000001</v>
      </c>
      <c r="I572" t="str">
        <f>[5]trip_summary_region!I572</f>
        <v>Light Vehicle Passenger</v>
      </c>
      <c r="J572" t="str">
        <f>[5]trip_summary_region!J572</f>
        <v>2027/28</v>
      </c>
    </row>
    <row r="573" spans="1:10" x14ac:dyDescent="0.2">
      <c r="A573" t="str">
        <f>[5]trip_summary_region!A573</f>
        <v>08 MANAWATU-WANGANUI</v>
      </c>
      <c r="B573">
        <f>[5]trip_summary_region!B573</f>
        <v>3</v>
      </c>
      <c r="C573">
        <f>[5]trip_summary_region!C573</f>
        <v>2033</v>
      </c>
      <c r="D573">
        <f>[5]trip_summary_region!D573</f>
        <v>425</v>
      </c>
      <c r="E573">
        <f>[5]trip_summary_region!E573</f>
        <v>2071</v>
      </c>
      <c r="F573">
        <f>[5]trip_summary_region!F573</f>
        <v>80.491277304999997</v>
      </c>
      <c r="G573">
        <f>[5]trip_summary_region!G573</f>
        <v>910.10950706999995</v>
      </c>
      <c r="H573">
        <f>[5]trip_summary_region!H573</f>
        <v>20.352410842000001</v>
      </c>
      <c r="I573" t="str">
        <f>[5]trip_summary_region!I573</f>
        <v>Light Vehicle Passenger</v>
      </c>
      <c r="J573" t="str">
        <f>[5]trip_summary_region!J573</f>
        <v>2032/33</v>
      </c>
    </row>
    <row r="574" spans="1:10" x14ac:dyDescent="0.2">
      <c r="A574" t="str">
        <f>[5]trip_summary_region!A574</f>
        <v>08 MANAWATU-WANGANUI</v>
      </c>
      <c r="B574">
        <f>[5]trip_summary_region!B574</f>
        <v>3</v>
      </c>
      <c r="C574">
        <f>[5]trip_summary_region!C574</f>
        <v>2038</v>
      </c>
      <c r="D574">
        <f>[5]trip_summary_region!D574</f>
        <v>425</v>
      </c>
      <c r="E574">
        <f>[5]trip_summary_region!E574</f>
        <v>2071</v>
      </c>
      <c r="F574">
        <f>[5]trip_summary_region!F574</f>
        <v>79.106475465000003</v>
      </c>
      <c r="G574">
        <f>[5]trip_summary_region!G574</f>
        <v>911.53890762000003</v>
      </c>
      <c r="H574">
        <f>[5]trip_summary_region!H574</f>
        <v>20.313275279999999</v>
      </c>
      <c r="I574" t="str">
        <f>[5]trip_summary_region!I574</f>
        <v>Light Vehicle Passenger</v>
      </c>
      <c r="J574" t="str">
        <f>[5]trip_summary_region!J574</f>
        <v>2037/38</v>
      </c>
    </row>
    <row r="575" spans="1:10" x14ac:dyDescent="0.2">
      <c r="A575" t="str">
        <f>[5]trip_summary_region!A575</f>
        <v>08 MANAWATU-WANGANUI</v>
      </c>
      <c r="B575">
        <f>[5]trip_summary_region!B575</f>
        <v>3</v>
      </c>
      <c r="C575">
        <f>[5]trip_summary_region!C575</f>
        <v>2043</v>
      </c>
      <c r="D575">
        <f>[5]trip_summary_region!D575</f>
        <v>425</v>
      </c>
      <c r="E575">
        <f>[5]trip_summary_region!E575</f>
        <v>2071</v>
      </c>
      <c r="F575">
        <f>[5]trip_summary_region!F575</f>
        <v>77.338407837000005</v>
      </c>
      <c r="G575">
        <f>[5]trip_summary_region!G575</f>
        <v>910.54565156000001</v>
      </c>
      <c r="H575">
        <f>[5]trip_summary_region!H575</f>
        <v>20.197447498999999</v>
      </c>
      <c r="I575" t="str">
        <f>[5]trip_summary_region!I575</f>
        <v>Light Vehicle Passenger</v>
      </c>
      <c r="J575" t="str">
        <f>[5]trip_summary_region!J575</f>
        <v>2042/43</v>
      </c>
    </row>
    <row r="576" spans="1:10" x14ac:dyDescent="0.2">
      <c r="A576" t="str">
        <f>[5]trip_summary_region!A576</f>
        <v>08 MANAWATU-WANGANUI</v>
      </c>
      <c r="B576">
        <f>[5]trip_summary_region!B576</f>
        <v>4</v>
      </c>
      <c r="C576">
        <f>[5]trip_summary_region!C576</f>
        <v>2013</v>
      </c>
      <c r="D576">
        <f>[5]trip_summary_region!D576</f>
        <v>16</v>
      </c>
      <c r="E576">
        <f>[5]trip_summary_region!E576</f>
        <v>32</v>
      </c>
      <c r="F576">
        <f>[5]trip_summary_region!F576</f>
        <v>0.99874441920000001</v>
      </c>
      <c r="G576">
        <f>[5]trip_summary_region!G576</f>
        <v>5.6344181790999999</v>
      </c>
      <c r="H576">
        <f>[5]trip_summary_region!H576</f>
        <v>0.26821620219999998</v>
      </c>
      <c r="I576" t="s">
        <v>116</v>
      </c>
      <c r="J576" t="str">
        <f>[5]trip_summary_region!J576</f>
        <v>2012/13</v>
      </c>
    </row>
    <row r="577" spans="1:10" x14ac:dyDescent="0.2">
      <c r="A577" t="str">
        <f>[5]trip_summary_region!A577</f>
        <v>08 MANAWATU-WANGANUI</v>
      </c>
      <c r="B577">
        <f>[5]trip_summary_region!B577</f>
        <v>4</v>
      </c>
      <c r="C577">
        <f>[5]trip_summary_region!C577</f>
        <v>2018</v>
      </c>
      <c r="D577">
        <f>[5]trip_summary_region!D577</f>
        <v>16</v>
      </c>
      <c r="E577">
        <f>[5]trip_summary_region!E577</f>
        <v>32</v>
      </c>
      <c r="F577">
        <f>[5]trip_summary_region!F577</f>
        <v>1.1002310403</v>
      </c>
      <c r="G577">
        <f>[5]trip_summary_region!G577</f>
        <v>6.7762108150999998</v>
      </c>
      <c r="H577">
        <f>[5]trip_summary_region!H577</f>
        <v>0.31846578850000001</v>
      </c>
      <c r="I577" t="s">
        <v>116</v>
      </c>
      <c r="J577" t="str">
        <f>[5]trip_summary_region!J577</f>
        <v>2017/18</v>
      </c>
    </row>
    <row r="578" spans="1:10" x14ac:dyDescent="0.2">
      <c r="A578" t="str">
        <f>[5]trip_summary_region!A578</f>
        <v>08 MANAWATU-WANGANUI</v>
      </c>
      <c r="B578">
        <f>[5]trip_summary_region!B578</f>
        <v>4</v>
      </c>
      <c r="C578">
        <f>[5]trip_summary_region!C578</f>
        <v>2023</v>
      </c>
      <c r="D578">
        <f>[5]trip_summary_region!D578</f>
        <v>16</v>
      </c>
      <c r="E578">
        <f>[5]trip_summary_region!E578</f>
        <v>32</v>
      </c>
      <c r="F578">
        <f>[5]trip_summary_region!F578</f>
        <v>1.1421527327000001</v>
      </c>
      <c r="G578">
        <f>[5]trip_summary_region!G578</f>
        <v>7.5072467897999999</v>
      </c>
      <c r="H578">
        <f>[5]trip_summary_region!H578</f>
        <v>0.34870497290000002</v>
      </c>
      <c r="I578" t="s">
        <v>116</v>
      </c>
      <c r="J578" t="str">
        <f>[5]trip_summary_region!J578</f>
        <v>2022/23</v>
      </c>
    </row>
    <row r="579" spans="1:10" x14ac:dyDescent="0.2">
      <c r="A579" t="str">
        <f>[5]trip_summary_region!A579</f>
        <v>08 MANAWATU-WANGANUI</v>
      </c>
      <c r="B579">
        <f>[5]trip_summary_region!B579</f>
        <v>4</v>
      </c>
      <c r="C579">
        <f>[5]trip_summary_region!C579</f>
        <v>2028</v>
      </c>
      <c r="D579">
        <f>[5]trip_summary_region!D579</f>
        <v>16</v>
      </c>
      <c r="E579">
        <f>[5]trip_summary_region!E579</f>
        <v>32</v>
      </c>
      <c r="F579">
        <f>[5]trip_summary_region!F579</f>
        <v>1.1269840790000001</v>
      </c>
      <c r="G579">
        <f>[5]trip_summary_region!G579</f>
        <v>7.7162094202000002</v>
      </c>
      <c r="H579">
        <f>[5]trip_summary_region!H579</f>
        <v>0.35477330210000002</v>
      </c>
      <c r="I579" t="s">
        <v>116</v>
      </c>
      <c r="J579" t="str">
        <f>[5]trip_summary_region!J579</f>
        <v>2027/28</v>
      </c>
    </row>
    <row r="580" spans="1:10" x14ac:dyDescent="0.2">
      <c r="A580" t="str">
        <f>[5]trip_summary_region!A580</f>
        <v>08 MANAWATU-WANGANUI</v>
      </c>
      <c r="B580">
        <f>[5]trip_summary_region!B580</f>
        <v>4</v>
      </c>
      <c r="C580">
        <f>[5]trip_summary_region!C580</f>
        <v>2033</v>
      </c>
      <c r="D580">
        <f>[5]trip_summary_region!D580</f>
        <v>16</v>
      </c>
      <c r="E580">
        <f>[5]trip_summary_region!E580</f>
        <v>32</v>
      </c>
      <c r="F580">
        <f>[5]trip_summary_region!F580</f>
        <v>1.1027621072</v>
      </c>
      <c r="G580">
        <f>[5]trip_summary_region!G580</f>
        <v>7.8582624336000002</v>
      </c>
      <c r="H580">
        <f>[5]trip_summary_region!H580</f>
        <v>0.35878399989999998</v>
      </c>
      <c r="I580" t="s">
        <v>116</v>
      </c>
      <c r="J580" t="str">
        <f>[5]trip_summary_region!J580</f>
        <v>2032/33</v>
      </c>
    </row>
    <row r="581" spans="1:10" x14ac:dyDescent="0.2">
      <c r="A581" t="str">
        <f>[5]trip_summary_region!A581</f>
        <v>08 MANAWATU-WANGANUI</v>
      </c>
      <c r="B581">
        <f>[5]trip_summary_region!B581</f>
        <v>4</v>
      </c>
      <c r="C581">
        <f>[5]trip_summary_region!C581</f>
        <v>2038</v>
      </c>
      <c r="D581">
        <f>[5]trip_summary_region!D581</f>
        <v>16</v>
      </c>
      <c r="E581">
        <f>[5]trip_summary_region!E581</f>
        <v>32</v>
      </c>
      <c r="F581">
        <f>[5]trip_summary_region!F581</f>
        <v>1.1330636912000001</v>
      </c>
      <c r="G581">
        <f>[5]trip_summary_region!G581</f>
        <v>8.4667641685999993</v>
      </c>
      <c r="H581">
        <f>[5]trip_summary_region!H581</f>
        <v>0.38383747039999999</v>
      </c>
      <c r="I581" t="s">
        <v>116</v>
      </c>
      <c r="J581" t="str">
        <f>[5]trip_summary_region!J581</f>
        <v>2037/38</v>
      </c>
    </row>
    <row r="582" spans="1:10" x14ac:dyDescent="0.2">
      <c r="A582" t="str">
        <f>[5]trip_summary_region!A582</f>
        <v>08 MANAWATU-WANGANUI</v>
      </c>
      <c r="B582">
        <f>[5]trip_summary_region!B582</f>
        <v>4</v>
      </c>
      <c r="C582">
        <f>[5]trip_summary_region!C582</f>
        <v>2043</v>
      </c>
      <c r="D582">
        <f>[5]trip_summary_region!D582</f>
        <v>16</v>
      </c>
      <c r="E582">
        <f>[5]trip_summary_region!E582</f>
        <v>32</v>
      </c>
      <c r="F582">
        <f>[5]trip_summary_region!F582</f>
        <v>1.1637068523</v>
      </c>
      <c r="G582">
        <f>[5]trip_summary_region!G582</f>
        <v>9.1007542028999993</v>
      </c>
      <c r="H582">
        <f>[5]trip_summary_region!H582</f>
        <v>0.4101707584</v>
      </c>
      <c r="I582" t="s">
        <v>116</v>
      </c>
      <c r="J582" t="str">
        <f>[5]trip_summary_region!J582</f>
        <v>2042/43</v>
      </c>
    </row>
    <row r="583" spans="1:10" x14ac:dyDescent="0.2">
      <c r="A583" t="str">
        <f>[5]trip_summary_region!A583</f>
        <v>08 MANAWATU-WANGANUI</v>
      </c>
      <c r="B583">
        <f>[5]trip_summary_region!B583</f>
        <v>5</v>
      </c>
      <c r="C583">
        <f>[5]trip_summary_region!C583</f>
        <v>2013</v>
      </c>
      <c r="D583">
        <f>[5]trip_summary_region!D583</f>
        <v>5</v>
      </c>
      <c r="E583">
        <f>[5]trip_summary_region!E583</f>
        <v>19</v>
      </c>
      <c r="F583">
        <f>[5]trip_summary_region!F583</f>
        <v>0.79000583589999995</v>
      </c>
      <c r="G583">
        <f>[5]trip_summary_region!G583</f>
        <v>3.8744282972000001</v>
      </c>
      <c r="H583">
        <f>[5]trip_summary_region!H583</f>
        <v>0.1643149203</v>
      </c>
      <c r="I583" t="str">
        <f>[5]trip_summary_region!I583</f>
        <v>Motorcyclist</v>
      </c>
      <c r="J583" t="str">
        <f>[5]trip_summary_region!J583</f>
        <v>2012/13</v>
      </c>
    </row>
    <row r="584" spans="1:10" x14ac:dyDescent="0.2">
      <c r="A584" t="str">
        <f>[5]trip_summary_region!A584</f>
        <v>08 MANAWATU-WANGANUI</v>
      </c>
      <c r="B584">
        <f>[5]trip_summary_region!B584</f>
        <v>5</v>
      </c>
      <c r="C584">
        <f>[5]trip_summary_region!C584</f>
        <v>2018</v>
      </c>
      <c r="D584">
        <f>[5]trip_summary_region!D584</f>
        <v>5</v>
      </c>
      <c r="E584">
        <f>[5]trip_summary_region!E584</f>
        <v>19</v>
      </c>
      <c r="F584">
        <f>[5]trip_summary_region!F584</f>
        <v>0.73454540800000001</v>
      </c>
      <c r="G584">
        <f>[5]trip_summary_region!G584</f>
        <v>4.2395155517000003</v>
      </c>
      <c r="H584">
        <f>[5]trip_summary_region!H584</f>
        <v>0.1591607978</v>
      </c>
      <c r="I584" t="str">
        <f>[5]trip_summary_region!I584</f>
        <v>Motorcyclist</v>
      </c>
      <c r="J584" t="str">
        <f>[5]trip_summary_region!J584</f>
        <v>2017/18</v>
      </c>
    </row>
    <row r="585" spans="1:10" x14ac:dyDescent="0.2">
      <c r="A585" t="str">
        <f>[5]trip_summary_region!A585</f>
        <v>08 MANAWATU-WANGANUI</v>
      </c>
      <c r="B585">
        <f>[5]trip_summary_region!B585</f>
        <v>5</v>
      </c>
      <c r="C585">
        <f>[5]trip_summary_region!C585</f>
        <v>2023</v>
      </c>
      <c r="D585">
        <f>[5]trip_summary_region!D585</f>
        <v>5</v>
      </c>
      <c r="E585">
        <f>[5]trip_summary_region!E585</f>
        <v>19</v>
      </c>
      <c r="F585">
        <f>[5]trip_summary_region!F585</f>
        <v>0.6667682882</v>
      </c>
      <c r="G585">
        <f>[5]trip_summary_region!G585</f>
        <v>4.3969972676999998</v>
      </c>
      <c r="H585">
        <f>[5]trip_summary_region!H585</f>
        <v>0.14996344240000001</v>
      </c>
      <c r="I585" t="str">
        <f>[5]trip_summary_region!I585</f>
        <v>Motorcyclist</v>
      </c>
      <c r="J585" t="str">
        <f>[5]trip_summary_region!J585</f>
        <v>2022/23</v>
      </c>
    </row>
    <row r="586" spans="1:10" x14ac:dyDescent="0.2">
      <c r="A586" t="str">
        <f>[5]trip_summary_region!A586</f>
        <v>08 MANAWATU-WANGANUI</v>
      </c>
      <c r="B586">
        <f>[5]trip_summary_region!B586</f>
        <v>5</v>
      </c>
      <c r="C586">
        <f>[5]trip_summary_region!C586</f>
        <v>2028</v>
      </c>
      <c r="D586">
        <f>[5]trip_summary_region!D586</f>
        <v>5</v>
      </c>
      <c r="E586">
        <f>[5]trip_summary_region!E586</f>
        <v>19</v>
      </c>
      <c r="F586">
        <f>[5]trip_summary_region!F586</f>
        <v>0.58009078510000001</v>
      </c>
      <c r="G586">
        <f>[5]trip_summary_region!G586</f>
        <v>4.2585667136999996</v>
      </c>
      <c r="H586">
        <f>[5]trip_summary_region!H586</f>
        <v>0.1347986903</v>
      </c>
      <c r="I586" t="str">
        <f>[5]trip_summary_region!I586</f>
        <v>Motorcyclist</v>
      </c>
      <c r="J586" t="str">
        <f>[5]trip_summary_region!J586</f>
        <v>2027/28</v>
      </c>
    </row>
    <row r="587" spans="1:10" x14ac:dyDescent="0.2">
      <c r="A587" t="str">
        <f>[5]trip_summary_region!A587</f>
        <v>08 MANAWATU-WANGANUI</v>
      </c>
      <c r="B587">
        <f>[5]trip_summary_region!B587</f>
        <v>5</v>
      </c>
      <c r="C587">
        <f>[5]trip_summary_region!C587</f>
        <v>2033</v>
      </c>
      <c r="D587">
        <f>[5]trip_summary_region!D587</f>
        <v>5</v>
      </c>
      <c r="E587">
        <f>[5]trip_summary_region!E587</f>
        <v>19</v>
      </c>
      <c r="F587">
        <f>[5]trip_summary_region!F587</f>
        <v>0.53325662139999996</v>
      </c>
      <c r="G587">
        <f>[5]trip_summary_region!G587</f>
        <v>4.1046427563999996</v>
      </c>
      <c r="H587">
        <f>[5]trip_summary_region!H587</f>
        <v>0.12598146960000001</v>
      </c>
      <c r="I587" t="str">
        <f>[5]trip_summary_region!I587</f>
        <v>Motorcyclist</v>
      </c>
      <c r="J587" t="str">
        <f>[5]trip_summary_region!J587</f>
        <v>2032/33</v>
      </c>
    </row>
    <row r="588" spans="1:10" x14ac:dyDescent="0.2">
      <c r="A588" t="str">
        <f>[5]trip_summary_region!A588</f>
        <v>08 MANAWATU-WANGANUI</v>
      </c>
      <c r="B588">
        <f>[5]trip_summary_region!B588</f>
        <v>5</v>
      </c>
      <c r="C588">
        <f>[5]trip_summary_region!C588</f>
        <v>2038</v>
      </c>
      <c r="D588">
        <f>[5]trip_summary_region!D588</f>
        <v>5</v>
      </c>
      <c r="E588">
        <f>[5]trip_summary_region!E588</f>
        <v>19</v>
      </c>
      <c r="F588">
        <f>[5]trip_summary_region!F588</f>
        <v>0.51785307859999996</v>
      </c>
      <c r="G588">
        <f>[5]trip_summary_region!G588</f>
        <v>4.0563195208999998</v>
      </c>
      <c r="H588">
        <f>[5]trip_summary_region!H588</f>
        <v>0.1233227044</v>
      </c>
      <c r="I588" t="str">
        <f>[5]trip_summary_region!I588</f>
        <v>Motorcyclist</v>
      </c>
      <c r="J588" t="str">
        <f>[5]trip_summary_region!J588</f>
        <v>2037/38</v>
      </c>
    </row>
    <row r="589" spans="1:10" x14ac:dyDescent="0.2">
      <c r="A589" t="str">
        <f>[5]trip_summary_region!A589</f>
        <v>08 MANAWATU-WANGANUI</v>
      </c>
      <c r="B589">
        <f>[5]trip_summary_region!B589</f>
        <v>5</v>
      </c>
      <c r="C589">
        <f>[5]trip_summary_region!C589</f>
        <v>2043</v>
      </c>
      <c r="D589">
        <f>[5]trip_summary_region!D589</f>
        <v>5</v>
      </c>
      <c r="E589">
        <f>[5]trip_summary_region!E589</f>
        <v>19</v>
      </c>
      <c r="F589">
        <f>[5]trip_summary_region!F589</f>
        <v>0.4950732799</v>
      </c>
      <c r="G589">
        <f>[5]trip_summary_region!G589</f>
        <v>3.9798361119000001</v>
      </c>
      <c r="H589">
        <f>[5]trip_summary_region!H589</f>
        <v>0.11917660319999999</v>
      </c>
      <c r="I589" t="str">
        <f>[5]trip_summary_region!I589</f>
        <v>Motorcyclist</v>
      </c>
      <c r="J589" t="str">
        <f>[5]trip_summary_region!J589</f>
        <v>2042/43</v>
      </c>
    </row>
    <row r="590" spans="1:10" x14ac:dyDescent="0.2">
      <c r="A590" t="str">
        <f>[5]trip_summary_region!A590</f>
        <v>08 MANAWATU-WANGANUI</v>
      </c>
      <c r="B590">
        <f>[5]trip_summary_region!B590</f>
        <v>7</v>
      </c>
      <c r="C590">
        <f>[5]trip_summary_region!C590</f>
        <v>2013</v>
      </c>
      <c r="D590">
        <f>[5]trip_summary_region!D590</f>
        <v>41</v>
      </c>
      <c r="E590">
        <f>[5]trip_summary_region!E590</f>
        <v>90</v>
      </c>
      <c r="F590">
        <f>[5]trip_summary_region!F590</f>
        <v>5.2110099151</v>
      </c>
      <c r="G590">
        <f>[5]trip_summary_region!G590</f>
        <v>39.768452936000003</v>
      </c>
      <c r="H590">
        <f>[5]trip_summary_region!H590</f>
        <v>1.7349616699999999</v>
      </c>
      <c r="I590" t="str">
        <f>[5]trip_summary_region!I590</f>
        <v>Local Bus</v>
      </c>
      <c r="J590" t="str">
        <f>[5]trip_summary_region!J590</f>
        <v>2012/13</v>
      </c>
    </row>
    <row r="591" spans="1:10" x14ac:dyDescent="0.2">
      <c r="A591" t="str">
        <f>[5]trip_summary_region!A591</f>
        <v>08 MANAWATU-WANGANUI</v>
      </c>
      <c r="B591">
        <f>[5]trip_summary_region!B591</f>
        <v>7</v>
      </c>
      <c r="C591">
        <f>[5]trip_summary_region!C591</f>
        <v>2018</v>
      </c>
      <c r="D591">
        <f>[5]trip_summary_region!D591</f>
        <v>41</v>
      </c>
      <c r="E591">
        <f>[5]trip_summary_region!E591</f>
        <v>90</v>
      </c>
      <c r="F591">
        <f>[5]trip_summary_region!F591</f>
        <v>4.7739474266000004</v>
      </c>
      <c r="G591">
        <f>[5]trip_summary_region!G591</f>
        <v>35.234082682999997</v>
      </c>
      <c r="H591">
        <f>[5]trip_summary_region!H591</f>
        <v>1.5835990363000001</v>
      </c>
      <c r="I591" t="str">
        <f>[5]trip_summary_region!I591</f>
        <v>Local Bus</v>
      </c>
      <c r="J591" t="str">
        <f>[5]trip_summary_region!J591</f>
        <v>2017/18</v>
      </c>
    </row>
    <row r="592" spans="1:10" x14ac:dyDescent="0.2">
      <c r="A592" t="str">
        <f>[5]trip_summary_region!A592</f>
        <v>08 MANAWATU-WANGANUI</v>
      </c>
      <c r="B592">
        <f>[5]trip_summary_region!B592</f>
        <v>7</v>
      </c>
      <c r="C592">
        <f>[5]trip_summary_region!C592</f>
        <v>2023</v>
      </c>
      <c r="D592">
        <f>[5]trip_summary_region!D592</f>
        <v>41</v>
      </c>
      <c r="E592">
        <f>[5]trip_summary_region!E592</f>
        <v>90</v>
      </c>
      <c r="F592">
        <f>[5]trip_summary_region!F592</f>
        <v>4.4287568471999998</v>
      </c>
      <c r="G592">
        <f>[5]trip_summary_region!G592</f>
        <v>31.898156853</v>
      </c>
      <c r="H592">
        <f>[5]trip_summary_region!H592</f>
        <v>1.4561177073</v>
      </c>
      <c r="I592" t="str">
        <f>[5]trip_summary_region!I592</f>
        <v>Local Bus</v>
      </c>
      <c r="J592" t="str">
        <f>[5]trip_summary_region!J592</f>
        <v>2022/23</v>
      </c>
    </row>
    <row r="593" spans="1:10" x14ac:dyDescent="0.2">
      <c r="A593" t="str">
        <f>[5]trip_summary_region!A593</f>
        <v>08 MANAWATU-WANGANUI</v>
      </c>
      <c r="B593">
        <f>[5]trip_summary_region!B593</f>
        <v>7</v>
      </c>
      <c r="C593">
        <f>[5]trip_summary_region!C593</f>
        <v>2028</v>
      </c>
      <c r="D593">
        <f>[5]trip_summary_region!D593</f>
        <v>41</v>
      </c>
      <c r="E593">
        <f>[5]trip_summary_region!E593</f>
        <v>90</v>
      </c>
      <c r="F593">
        <f>[5]trip_summary_region!F593</f>
        <v>4.2398654522000001</v>
      </c>
      <c r="G593">
        <f>[5]trip_summary_region!G593</f>
        <v>29.490945885999999</v>
      </c>
      <c r="H593">
        <f>[5]trip_summary_region!H593</f>
        <v>1.3691870958000001</v>
      </c>
      <c r="I593" t="str">
        <f>[5]trip_summary_region!I593</f>
        <v>Local Bus</v>
      </c>
      <c r="J593" t="str">
        <f>[5]trip_summary_region!J593</f>
        <v>2027/28</v>
      </c>
    </row>
    <row r="594" spans="1:10" x14ac:dyDescent="0.2">
      <c r="A594" t="str">
        <f>[5]trip_summary_region!A594</f>
        <v>08 MANAWATU-WANGANUI</v>
      </c>
      <c r="B594">
        <f>[5]trip_summary_region!B594</f>
        <v>7</v>
      </c>
      <c r="C594">
        <f>[5]trip_summary_region!C594</f>
        <v>2033</v>
      </c>
      <c r="D594">
        <f>[5]trip_summary_region!D594</f>
        <v>41</v>
      </c>
      <c r="E594">
        <f>[5]trip_summary_region!E594</f>
        <v>90</v>
      </c>
      <c r="F594">
        <f>[5]trip_summary_region!F594</f>
        <v>4.0807161754000001</v>
      </c>
      <c r="G594">
        <f>[5]trip_summary_region!G594</f>
        <v>27.18549161</v>
      </c>
      <c r="H594">
        <f>[5]trip_summary_region!H594</f>
        <v>1.2990372483999999</v>
      </c>
      <c r="I594" t="str">
        <f>[5]trip_summary_region!I594</f>
        <v>Local Bus</v>
      </c>
      <c r="J594" t="str">
        <f>[5]trip_summary_region!J594</f>
        <v>2032/33</v>
      </c>
    </row>
    <row r="595" spans="1:10" x14ac:dyDescent="0.2">
      <c r="A595" t="str">
        <f>[5]trip_summary_region!A595</f>
        <v>08 MANAWATU-WANGANUI</v>
      </c>
      <c r="B595">
        <f>[5]trip_summary_region!B595</f>
        <v>7</v>
      </c>
      <c r="C595">
        <f>[5]trip_summary_region!C595</f>
        <v>2038</v>
      </c>
      <c r="D595">
        <f>[5]trip_summary_region!D595</f>
        <v>41</v>
      </c>
      <c r="E595">
        <f>[5]trip_summary_region!E595</f>
        <v>90</v>
      </c>
      <c r="F595">
        <f>[5]trip_summary_region!F595</f>
        <v>3.9708109778999998</v>
      </c>
      <c r="G595">
        <f>[5]trip_summary_region!G595</f>
        <v>25.286290874999999</v>
      </c>
      <c r="H595">
        <f>[5]trip_summary_region!H595</f>
        <v>1.2330758687000001</v>
      </c>
      <c r="I595" t="str">
        <f>[5]trip_summary_region!I595</f>
        <v>Local Bus</v>
      </c>
      <c r="J595" t="str">
        <f>[5]trip_summary_region!J595</f>
        <v>2037/38</v>
      </c>
    </row>
    <row r="596" spans="1:10" x14ac:dyDescent="0.2">
      <c r="A596" t="str">
        <f>[5]trip_summary_region!A596</f>
        <v>08 MANAWATU-WANGANUI</v>
      </c>
      <c r="B596">
        <f>[5]trip_summary_region!B596</f>
        <v>7</v>
      </c>
      <c r="C596">
        <f>[5]trip_summary_region!C596</f>
        <v>2043</v>
      </c>
      <c r="D596">
        <f>[5]trip_summary_region!D596</f>
        <v>41</v>
      </c>
      <c r="E596">
        <f>[5]trip_summary_region!E596</f>
        <v>90</v>
      </c>
      <c r="F596">
        <f>[5]trip_summary_region!F596</f>
        <v>3.8413456586999999</v>
      </c>
      <c r="G596">
        <f>[5]trip_summary_region!G596</f>
        <v>23.364764091000001</v>
      </c>
      <c r="H596">
        <f>[5]trip_summary_region!H596</f>
        <v>1.163084252</v>
      </c>
      <c r="I596" t="str">
        <f>[5]trip_summary_region!I596</f>
        <v>Local Bus</v>
      </c>
      <c r="J596" t="str">
        <f>[5]trip_summary_region!J596</f>
        <v>2042/43</v>
      </c>
    </row>
    <row r="597" spans="1:10" x14ac:dyDescent="0.2">
      <c r="A597" t="str">
        <f>[5]trip_summary_region!A597</f>
        <v>08 MANAWATU-WANGANUI</v>
      </c>
      <c r="B597">
        <f>[5]trip_summary_region!B597</f>
        <v>8</v>
      </c>
      <c r="C597">
        <f>[5]trip_summary_region!C597</f>
        <v>2013</v>
      </c>
      <c r="D597">
        <f>[5]trip_summary_region!D597</f>
        <v>2</v>
      </c>
      <c r="E597">
        <f>[5]trip_summary_region!E597</f>
        <v>4</v>
      </c>
      <c r="F597">
        <f>[5]trip_summary_region!F597</f>
        <v>0.1068619116</v>
      </c>
      <c r="G597">
        <f>[5]trip_summary_region!G597</f>
        <v>0</v>
      </c>
      <c r="H597">
        <f>[5]trip_summary_region!H597</f>
        <v>1.3357739E-2</v>
      </c>
      <c r="I597" t="str">
        <f>[5]trip_summary_region!I597</f>
        <v>Local Ferry</v>
      </c>
      <c r="J597" t="str">
        <f>[5]trip_summary_region!J597</f>
        <v>2012/13</v>
      </c>
    </row>
    <row r="598" spans="1:10" x14ac:dyDescent="0.2">
      <c r="A598" t="str">
        <f>[5]trip_summary_region!A598</f>
        <v>08 MANAWATU-WANGANUI</v>
      </c>
      <c r="B598">
        <f>[5]trip_summary_region!B598</f>
        <v>8</v>
      </c>
      <c r="C598">
        <f>[5]trip_summary_region!C598</f>
        <v>2018</v>
      </c>
      <c r="D598">
        <f>[5]trip_summary_region!D598</f>
        <v>2</v>
      </c>
      <c r="E598">
        <f>[5]trip_summary_region!E598</f>
        <v>4</v>
      </c>
      <c r="F598">
        <f>[5]trip_summary_region!F598</f>
        <v>0.1189573463</v>
      </c>
      <c r="G598">
        <f>[5]trip_summary_region!G598</f>
        <v>0</v>
      </c>
      <c r="H598">
        <f>[5]trip_summary_region!H598</f>
        <v>1.48696683E-2</v>
      </c>
      <c r="I598" t="str">
        <f>[5]trip_summary_region!I598</f>
        <v>Local Ferry</v>
      </c>
      <c r="J598" t="str">
        <f>[5]trip_summary_region!J598</f>
        <v>2017/18</v>
      </c>
    </row>
    <row r="599" spans="1:10" x14ac:dyDescent="0.2">
      <c r="A599" t="str">
        <f>[5]trip_summary_region!A599</f>
        <v>08 MANAWATU-WANGANUI</v>
      </c>
      <c r="B599">
        <f>[5]trip_summary_region!B599</f>
        <v>8</v>
      </c>
      <c r="C599">
        <f>[5]trip_summary_region!C599</f>
        <v>2023</v>
      </c>
      <c r="D599">
        <f>[5]trip_summary_region!D599</f>
        <v>2</v>
      </c>
      <c r="E599">
        <f>[5]trip_summary_region!E599</f>
        <v>4</v>
      </c>
      <c r="F599">
        <f>[5]trip_summary_region!F599</f>
        <v>0.1273773996</v>
      </c>
      <c r="G599">
        <f>[5]trip_summary_region!G599</f>
        <v>0</v>
      </c>
      <c r="H599">
        <f>[5]trip_summary_region!H599</f>
        <v>1.5922174899999999E-2</v>
      </c>
      <c r="I599" t="str">
        <f>[5]trip_summary_region!I599</f>
        <v>Local Ferry</v>
      </c>
      <c r="J599" t="str">
        <f>[5]trip_summary_region!J599</f>
        <v>2022/23</v>
      </c>
    </row>
    <row r="600" spans="1:10" x14ac:dyDescent="0.2">
      <c r="A600" t="str">
        <f>[5]trip_summary_region!A600</f>
        <v>08 MANAWATU-WANGANUI</v>
      </c>
      <c r="B600">
        <f>[5]trip_summary_region!B600</f>
        <v>8</v>
      </c>
      <c r="C600">
        <f>[5]trip_summary_region!C600</f>
        <v>2028</v>
      </c>
      <c r="D600">
        <f>[5]trip_summary_region!D600</f>
        <v>2</v>
      </c>
      <c r="E600">
        <f>[5]trip_summary_region!E600</f>
        <v>4</v>
      </c>
      <c r="F600">
        <f>[5]trip_summary_region!F600</f>
        <v>0.13635575059999999</v>
      </c>
      <c r="G600">
        <f>[5]trip_summary_region!G600</f>
        <v>0</v>
      </c>
      <c r="H600">
        <f>[5]trip_summary_region!H600</f>
        <v>1.70444688E-2</v>
      </c>
      <c r="I600" t="str">
        <f>[5]trip_summary_region!I600</f>
        <v>Local Ferry</v>
      </c>
      <c r="J600" t="str">
        <f>[5]trip_summary_region!J600</f>
        <v>2027/28</v>
      </c>
    </row>
    <row r="601" spans="1:10" x14ac:dyDescent="0.2">
      <c r="A601" t="str">
        <f>[5]trip_summary_region!A601</f>
        <v>08 MANAWATU-WANGANUI</v>
      </c>
      <c r="B601">
        <f>[5]trip_summary_region!B601</f>
        <v>8</v>
      </c>
      <c r="C601">
        <f>[5]trip_summary_region!C601</f>
        <v>2033</v>
      </c>
      <c r="D601">
        <f>[5]trip_summary_region!D601</f>
        <v>2</v>
      </c>
      <c r="E601">
        <f>[5]trip_summary_region!E601</f>
        <v>4</v>
      </c>
      <c r="F601">
        <f>[5]trip_summary_region!F601</f>
        <v>0.1353941471</v>
      </c>
      <c r="G601">
        <f>[5]trip_summary_region!G601</f>
        <v>0</v>
      </c>
      <c r="H601">
        <f>[5]trip_summary_region!H601</f>
        <v>1.6924268400000001E-2</v>
      </c>
      <c r="I601" t="str">
        <f>[5]trip_summary_region!I601</f>
        <v>Local Ferry</v>
      </c>
      <c r="J601" t="str">
        <f>[5]trip_summary_region!J601</f>
        <v>2032/33</v>
      </c>
    </row>
    <row r="602" spans="1:10" x14ac:dyDescent="0.2">
      <c r="A602" t="str">
        <f>[5]trip_summary_region!A602</f>
        <v>08 MANAWATU-WANGANUI</v>
      </c>
      <c r="B602">
        <f>[5]trip_summary_region!B602</f>
        <v>8</v>
      </c>
      <c r="C602">
        <f>[5]trip_summary_region!C602</f>
        <v>2038</v>
      </c>
      <c r="D602">
        <f>[5]trip_summary_region!D602</f>
        <v>2</v>
      </c>
      <c r="E602">
        <f>[5]trip_summary_region!E602</f>
        <v>4</v>
      </c>
      <c r="F602">
        <f>[5]trip_summary_region!F602</f>
        <v>0.12848109129999999</v>
      </c>
      <c r="G602">
        <f>[5]trip_summary_region!G602</f>
        <v>0</v>
      </c>
      <c r="H602">
        <f>[5]trip_summary_region!H602</f>
        <v>1.6060136400000001E-2</v>
      </c>
      <c r="I602" t="str">
        <f>[5]trip_summary_region!I602</f>
        <v>Local Ferry</v>
      </c>
      <c r="J602" t="str">
        <f>[5]trip_summary_region!J602</f>
        <v>2037/38</v>
      </c>
    </row>
    <row r="603" spans="1:10" x14ac:dyDescent="0.2">
      <c r="A603" t="str">
        <f>[5]trip_summary_region!A603</f>
        <v>08 MANAWATU-WANGANUI</v>
      </c>
      <c r="B603">
        <f>[5]trip_summary_region!B603</f>
        <v>8</v>
      </c>
      <c r="C603">
        <f>[5]trip_summary_region!C603</f>
        <v>2043</v>
      </c>
      <c r="D603">
        <f>[5]trip_summary_region!D603</f>
        <v>2</v>
      </c>
      <c r="E603">
        <f>[5]trip_summary_region!E603</f>
        <v>4</v>
      </c>
      <c r="F603">
        <f>[5]trip_summary_region!F603</f>
        <v>0.1208823715</v>
      </c>
      <c r="G603">
        <f>[5]trip_summary_region!G603</f>
        <v>0</v>
      </c>
      <c r="H603">
        <f>[5]trip_summary_region!H603</f>
        <v>1.5110296400000001E-2</v>
      </c>
      <c r="I603" t="str">
        <f>[5]trip_summary_region!I603</f>
        <v>Local Ferry</v>
      </c>
      <c r="J603" t="str">
        <f>[5]trip_summary_region!J603</f>
        <v>2042/43</v>
      </c>
    </row>
    <row r="604" spans="1:10" x14ac:dyDescent="0.2">
      <c r="A604" t="str">
        <f>[5]trip_summary_region!A604</f>
        <v>08 MANAWATU-WANGANUI</v>
      </c>
      <c r="B604">
        <f>[5]trip_summary_region!B604</f>
        <v>9</v>
      </c>
      <c r="C604">
        <f>[5]trip_summary_region!C604</f>
        <v>2013</v>
      </c>
      <c r="D604">
        <f>[5]trip_summary_region!D604</f>
        <v>2</v>
      </c>
      <c r="E604">
        <f>[5]trip_summary_region!E604</f>
        <v>5</v>
      </c>
      <c r="F604">
        <f>[5]trip_summary_region!F604</f>
        <v>0.24513607779999999</v>
      </c>
      <c r="G604">
        <f>[5]trip_summary_region!G604</f>
        <v>0</v>
      </c>
      <c r="H604">
        <f>[5]trip_summary_region!H604</f>
        <v>3.9735238899999997E-2</v>
      </c>
      <c r="I604" t="str">
        <f>[5]trip_summary_region!I604</f>
        <v>Other Household Travel</v>
      </c>
      <c r="J604" t="str">
        <f>[5]trip_summary_region!J604</f>
        <v>2012/13</v>
      </c>
    </row>
    <row r="605" spans="1:10" x14ac:dyDescent="0.2">
      <c r="A605" t="str">
        <f>[5]trip_summary_region!A605</f>
        <v>08 MANAWATU-WANGANUI</v>
      </c>
      <c r="B605">
        <f>[5]trip_summary_region!B605</f>
        <v>9</v>
      </c>
      <c r="C605">
        <f>[5]trip_summary_region!C605</f>
        <v>2018</v>
      </c>
      <c r="D605">
        <f>[5]trip_summary_region!D605</f>
        <v>2</v>
      </c>
      <c r="E605">
        <f>[5]trip_summary_region!E605</f>
        <v>5</v>
      </c>
      <c r="F605">
        <f>[5]trip_summary_region!F605</f>
        <v>0.2320282907</v>
      </c>
      <c r="G605">
        <f>[5]trip_summary_region!G605</f>
        <v>0</v>
      </c>
      <c r="H605">
        <f>[5]trip_summary_region!H605</f>
        <v>3.7986567899999997E-2</v>
      </c>
      <c r="I605" t="str">
        <f>[5]trip_summary_region!I605</f>
        <v>Other Household Travel</v>
      </c>
      <c r="J605" t="str">
        <f>[5]trip_summary_region!J605</f>
        <v>2017/18</v>
      </c>
    </row>
    <row r="606" spans="1:10" x14ac:dyDescent="0.2">
      <c r="A606" t="str">
        <f>[5]trip_summary_region!A606</f>
        <v>08 MANAWATU-WANGANUI</v>
      </c>
      <c r="B606">
        <f>[5]trip_summary_region!B606</f>
        <v>9</v>
      </c>
      <c r="C606">
        <f>[5]trip_summary_region!C606</f>
        <v>2023</v>
      </c>
      <c r="D606">
        <f>[5]trip_summary_region!D606</f>
        <v>2</v>
      </c>
      <c r="E606">
        <f>[5]trip_summary_region!E606</f>
        <v>5</v>
      </c>
      <c r="F606">
        <f>[5]trip_summary_region!F606</f>
        <v>0.21108542899999999</v>
      </c>
      <c r="G606">
        <f>[5]trip_summary_region!G606</f>
        <v>0</v>
      </c>
      <c r="H606">
        <f>[5]trip_summary_region!H606</f>
        <v>3.4506506800000003E-2</v>
      </c>
      <c r="I606" t="str">
        <f>[5]trip_summary_region!I606</f>
        <v>Other Household Travel</v>
      </c>
      <c r="J606" t="str">
        <f>[5]trip_summary_region!J606</f>
        <v>2022/23</v>
      </c>
    </row>
    <row r="607" spans="1:10" x14ac:dyDescent="0.2">
      <c r="A607" t="str">
        <f>[5]trip_summary_region!A607</f>
        <v>08 MANAWATU-WANGANUI</v>
      </c>
      <c r="B607">
        <f>[5]trip_summary_region!B607</f>
        <v>9</v>
      </c>
      <c r="C607">
        <f>[5]trip_summary_region!C607</f>
        <v>2028</v>
      </c>
      <c r="D607">
        <f>[5]trip_summary_region!D607</f>
        <v>2</v>
      </c>
      <c r="E607">
        <f>[5]trip_summary_region!E607</f>
        <v>5</v>
      </c>
      <c r="F607">
        <f>[5]trip_summary_region!F607</f>
        <v>0.18051617110000001</v>
      </c>
      <c r="G607">
        <f>[5]trip_summary_region!G607</f>
        <v>0</v>
      </c>
      <c r="H607">
        <f>[5]trip_summary_region!H607</f>
        <v>2.8876597399999999E-2</v>
      </c>
      <c r="I607" t="str">
        <f>[5]trip_summary_region!I607</f>
        <v>Other Household Travel</v>
      </c>
      <c r="J607" t="str">
        <f>[5]trip_summary_region!J607</f>
        <v>2027/28</v>
      </c>
    </row>
    <row r="608" spans="1:10" x14ac:dyDescent="0.2">
      <c r="A608" t="str">
        <f>[5]trip_summary_region!A608</f>
        <v>08 MANAWATU-WANGANUI</v>
      </c>
      <c r="B608">
        <f>[5]trip_summary_region!B608</f>
        <v>9</v>
      </c>
      <c r="C608">
        <f>[5]trip_summary_region!C608</f>
        <v>2033</v>
      </c>
      <c r="D608">
        <f>[5]trip_summary_region!D608</f>
        <v>2</v>
      </c>
      <c r="E608">
        <f>[5]trip_summary_region!E608</f>
        <v>5</v>
      </c>
      <c r="F608">
        <f>[5]trip_summary_region!F608</f>
        <v>0.16179723600000001</v>
      </c>
      <c r="G608">
        <f>[5]trip_summary_region!G608</f>
        <v>0</v>
      </c>
      <c r="H608">
        <f>[5]trip_summary_region!H608</f>
        <v>2.5273315000000001E-2</v>
      </c>
      <c r="I608" t="str">
        <f>[5]trip_summary_region!I608</f>
        <v>Other Household Travel</v>
      </c>
      <c r="J608" t="str">
        <f>[5]trip_summary_region!J608</f>
        <v>2032/33</v>
      </c>
    </row>
    <row r="609" spans="1:10" x14ac:dyDescent="0.2">
      <c r="A609" t="str">
        <f>[5]trip_summary_region!A609</f>
        <v>08 MANAWATU-WANGANUI</v>
      </c>
      <c r="B609">
        <f>[5]trip_summary_region!B609</f>
        <v>9</v>
      </c>
      <c r="C609">
        <f>[5]trip_summary_region!C609</f>
        <v>2038</v>
      </c>
      <c r="D609">
        <f>[5]trip_summary_region!D609</f>
        <v>2</v>
      </c>
      <c r="E609">
        <f>[5]trip_summary_region!E609</f>
        <v>5</v>
      </c>
      <c r="F609">
        <f>[5]trip_summary_region!F609</f>
        <v>0.1440297556</v>
      </c>
      <c r="G609">
        <f>[5]trip_summary_region!G609</f>
        <v>0</v>
      </c>
      <c r="H609">
        <f>[5]trip_summary_region!H609</f>
        <v>2.2216921899999999E-2</v>
      </c>
      <c r="I609" t="str">
        <f>[5]trip_summary_region!I609</f>
        <v>Other Household Travel</v>
      </c>
      <c r="J609" t="str">
        <f>[5]trip_summary_region!J609</f>
        <v>2037/38</v>
      </c>
    </row>
    <row r="610" spans="1:10" x14ac:dyDescent="0.2">
      <c r="A610" t="str">
        <f>[5]trip_summary_region!A610</f>
        <v>08 MANAWATU-WANGANUI</v>
      </c>
      <c r="B610">
        <f>[5]trip_summary_region!B610</f>
        <v>9</v>
      </c>
      <c r="C610">
        <f>[5]trip_summary_region!C610</f>
        <v>2043</v>
      </c>
      <c r="D610">
        <f>[5]trip_summary_region!D610</f>
        <v>2</v>
      </c>
      <c r="E610">
        <f>[5]trip_summary_region!E610</f>
        <v>5</v>
      </c>
      <c r="F610">
        <f>[5]trip_summary_region!F610</f>
        <v>0.12634801330000001</v>
      </c>
      <c r="G610">
        <f>[5]trip_summary_region!G610</f>
        <v>0</v>
      </c>
      <c r="H610">
        <f>[5]trip_summary_region!H610</f>
        <v>1.9206237399999999E-2</v>
      </c>
      <c r="I610" t="str">
        <f>[5]trip_summary_region!I610</f>
        <v>Other Household Travel</v>
      </c>
      <c r="J610" t="str">
        <f>[5]trip_summary_region!J610</f>
        <v>2042/43</v>
      </c>
    </row>
    <row r="611" spans="1:10" x14ac:dyDescent="0.2">
      <c r="A611" t="str">
        <f>[5]trip_summary_region!A611</f>
        <v>08 MANAWATU-WANGANUI</v>
      </c>
      <c r="B611">
        <f>[5]trip_summary_region!B611</f>
        <v>10</v>
      </c>
      <c r="C611">
        <f>[5]trip_summary_region!C611</f>
        <v>2013</v>
      </c>
      <c r="D611">
        <f>[5]trip_summary_region!D611</f>
        <v>7</v>
      </c>
      <c r="E611">
        <f>[5]trip_summary_region!E611</f>
        <v>9</v>
      </c>
      <c r="F611">
        <f>[5]trip_summary_region!F611</f>
        <v>0.39226351739999998</v>
      </c>
      <c r="G611">
        <f>[5]trip_summary_region!G611</f>
        <v>21.972430028000002</v>
      </c>
      <c r="H611">
        <f>[5]trip_summary_region!H611</f>
        <v>0.73590853769999998</v>
      </c>
      <c r="I611" t="str">
        <f>[5]trip_summary_region!I611</f>
        <v>Air/Non-Local PT</v>
      </c>
      <c r="J611" t="str">
        <f>[5]trip_summary_region!J611</f>
        <v>2012/13</v>
      </c>
    </row>
    <row r="612" spans="1:10" x14ac:dyDescent="0.2">
      <c r="A612" t="str">
        <f>[5]trip_summary_region!A612</f>
        <v>08 MANAWATU-WANGANUI</v>
      </c>
      <c r="B612">
        <f>[5]trip_summary_region!B612</f>
        <v>10</v>
      </c>
      <c r="C612">
        <f>[5]trip_summary_region!C612</f>
        <v>2018</v>
      </c>
      <c r="D612">
        <f>[5]trip_summary_region!D612</f>
        <v>7</v>
      </c>
      <c r="E612">
        <f>[5]trip_summary_region!E612</f>
        <v>9</v>
      </c>
      <c r="F612">
        <f>[5]trip_summary_region!F612</f>
        <v>0.46737332279999999</v>
      </c>
      <c r="G612">
        <f>[5]trip_summary_region!G612</f>
        <v>23.895876309999998</v>
      </c>
      <c r="H612">
        <f>[5]trip_summary_region!H612</f>
        <v>0.84055858319999999</v>
      </c>
      <c r="I612" t="str">
        <f>[5]trip_summary_region!I612</f>
        <v>Air/Non-Local PT</v>
      </c>
      <c r="J612" t="str">
        <f>[5]trip_summary_region!J612</f>
        <v>2017/18</v>
      </c>
    </row>
    <row r="613" spans="1:10" x14ac:dyDescent="0.2">
      <c r="A613" t="str">
        <f>[5]trip_summary_region!A613</f>
        <v>08 MANAWATU-WANGANUI</v>
      </c>
      <c r="B613">
        <f>[5]trip_summary_region!B613</f>
        <v>10</v>
      </c>
      <c r="C613">
        <f>[5]trip_summary_region!C613</f>
        <v>2023</v>
      </c>
      <c r="D613">
        <f>[5]trip_summary_region!D613</f>
        <v>7</v>
      </c>
      <c r="E613">
        <f>[5]trip_summary_region!E613</f>
        <v>9</v>
      </c>
      <c r="F613">
        <f>[5]trip_summary_region!F613</f>
        <v>0.53458344199999996</v>
      </c>
      <c r="G613">
        <f>[5]trip_summary_region!G613</f>
        <v>26.120301912999999</v>
      </c>
      <c r="H613">
        <f>[5]trip_summary_region!H613</f>
        <v>0.94907879989999999</v>
      </c>
      <c r="I613" t="str">
        <f>[5]trip_summary_region!I613</f>
        <v>Air/Non-Local PT</v>
      </c>
      <c r="J613" t="str">
        <f>[5]trip_summary_region!J613</f>
        <v>2022/23</v>
      </c>
    </row>
    <row r="614" spans="1:10" x14ac:dyDescent="0.2">
      <c r="A614" t="str">
        <f>[5]trip_summary_region!A614</f>
        <v>08 MANAWATU-WANGANUI</v>
      </c>
      <c r="B614">
        <f>[5]trip_summary_region!B614</f>
        <v>10</v>
      </c>
      <c r="C614">
        <f>[5]trip_summary_region!C614</f>
        <v>2028</v>
      </c>
      <c r="D614">
        <f>[5]trip_summary_region!D614</f>
        <v>7</v>
      </c>
      <c r="E614">
        <f>[5]trip_summary_region!E614</f>
        <v>9</v>
      </c>
      <c r="F614">
        <f>[5]trip_summary_region!F614</f>
        <v>0.59070714349999998</v>
      </c>
      <c r="G614">
        <f>[5]trip_summary_region!G614</f>
        <v>29.305214829000001</v>
      </c>
      <c r="H614">
        <f>[5]trip_summary_region!H614</f>
        <v>1.06817574</v>
      </c>
      <c r="I614" t="str">
        <f>[5]trip_summary_region!I614</f>
        <v>Air/Non-Local PT</v>
      </c>
      <c r="J614" t="str">
        <f>[5]trip_summary_region!J614</f>
        <v>2027/28</v>
      </c>
    </row>
    <row r="615" spans="1:10" x14ac:dyDescent="0.2">
      <c r="A615" t="str">
        <f>[5]trip_summary_region!A615</f>
        <v>08 MANAWATU-WANGANUI</v>
      </c>
      <c r="B615">
        <f>[5]trip_summary_region!B615</f>
        <v>10</v>
      </c>
      <c r="C615">
        <f>[5]trip_summary_region!C615</f>
        <v>2033</v>
      </c>
      <c r="D615">
        <f>[5]trip_summary_region!D615</f>
        <v>7</v>
      </c>
      <c r="E615">
        <f>[5]trip_summary_region!E615</f>
        <v>9</v>
      </c>
      <c r="F615">
        <f>[5]trip_summary_region!F615</f>
        <v>0.63327165990000001</v>
      </c>
      <c r="G615">
        <f>[5]trip_summary_region!G615</f>
        <v>30.707861578999999</v>
      </c>
      <c r="H615">
        <f>[5]trip_summary_region!H615</f>
        <v>1.1505015577</v>
      </c>
      <c r="I615" t="str">
        <f>[5]trip_summary_region!I615</f>
        <v>Air/Non-Local PT</v>
      </c>
      <c r="J615" t="str">
        <f>[5]trip_summary_region!J615</f>
        <v>2032/33</v>
      </c>
    </row>
    <row r="616" spans="1:10" x14ac:dyDescent="0.2">
      <c r="A616" t="str">
        <f>[5]trip_summary_region!A616</f>
        <v>08 MANAWATU-WANGANUI</v>
      </c>
      <c r="B616">
        <f>[5]trip_summary_region!B616</f>
        <v>10</v>
      </c>
      <c r="C616">
        <f>[5]trip_summary_region!C616</f>
        <v>2038</v>
      </c>
      <c r="D616">
        <f>[5]trip_summary_region!D616</f>
        <v>7</v>
      </c>
      <c r="E616">
        <f>[5]trip_summary_region!E616</f>
        <v>9</v>
      </c>
      <c r="F616">
        <f>[5]trip_summary_region!F616</f>
        <v>0.65873817509999999</v>
      </c>
      <c r="G616">
        <f>[5]trip_summary_region!G616</f>
        <v>29.454950674999999</v>
      </c>
      <c r="H616">
        <f>[5]trip_summary_region!H616</f>
        <v>1.1653781237</v>
      </c>
      <c r="I616" t="str">
        <f>[5]trip_summary_region!I616</f>
        <v>Air/Non-Local PT</v>
      </c>
      <c r="J616" t="str">
        <f>[5]trip_summary_region!J616</f>
        <v>2037/38</v>
      </c>
    </row>
    <row r="617" spans="1:10" x14ac:dyDescent="0.2">
      <c r="A617" t="str">
        <f>[5]trip_summary_region!A617</f>
        <v>08 MANAWATU-WANGANUI</v>
      </c>
      <c r="B617">
        <f>[5]trip_summary_region!B617</f>
        <v>10</v>
      </c>
      <c r="C617">
        <f>[5]trip_summary_region!C617</f>
        <v>2043</v>
      </c>
      <c r="D617">
        <f>[5]trip_summary_region!D617</f>
        <v>7</v>
      </c>
      <c r="E617">
        <f>[5]trip_summary_region!E617</f>
        <v>9</v>
      </c>
      <c r="F617">
        <f>[5]trip_summary_region!F617</f>
        <v>0.68290503739999997</v>
      </c>
      <c r="G617">
        <f>[5]trip_summary_region!G617</f>
        <v>27.963068224000001</v>
      </c>
      <c r="H617">
        <f>[5]trip_summary_region!H617</f>
        <v>1.1740709421</v>
      </c>
      <c r="I617" t="str">
        <f>[5]trip_summary_region!I617</f>
        <v>Air/Non-Local PT</v>
      </c>
      <c r="J617" t="str">
        <f>[5]trip_summary_region!J617</f>
        <v>2042/43</v>
      </c>
    </row>
    <row r="618" spans="1:10" x14ac:dyDescent="0.2">
      <c r="A618" t="str">
        <f>[5]trip_summary_region!A618</f>
        <v>08 MANAWATU-WANGANUI</v>
      </c>
      <c r="B618">
        <f>[5]trip_summary_region!B618</f>
        <v>11</v>
      </c>
      <c r="C618">
        <f>[5]trip_summary_region!C618</f>
        <v>2013</v>
      </c>
      <c r="D618">
        <f>[5]trip_summary_region!D618</f>
        <v>12</v>
      </c>
      <c r="E618">
        <f>[5]trip_summary_region!E618</f>
        <v>37</v>
      </c>
      <c r="F618">
        <f>[5]trip_summary_region!F618</f>
        <v>1.6982787315000001</v>
      </c>
      <c r="G618">
        <f>[5]trip_summary_region!G618</f>
        <v>38.826541556000002</v>
      </c>
      <c r="H618">
        <f>[5]trip_summary_region!H618</f>
        <v>0.76899050189999996</v>
      </c>
      <c r="I618" t="str">
        <f>[5]trip_summary_region!I618</f>
        <v>Non-Household Travel</v>
      </c>
      <c r="J618" t="str">
        <f>[5]trip_summary_region!J618</f>
        <v>2012/13</v>
      </c>
    </row>
    <row r="619" spans="1:10" x14ac:dyDescent="0.2">
      <c r="A619" t="str">
        <f>[5]trip_summary_region!A619</f>
        <v>08 MANAWATU-WANGANUI</v>
      </c>
      <c r="B619">
        <f>[5]trip_summary_region!B619</f>
        <v>11</v>
      </c>
      <c r="C619">
        <f>[5]trip_summary_region!C619</f>
        <v>2018</v>
      </c>
      <c r="D619">
        <f>[5]trip_summary_region!D619</f>
        <v>12</v>
      </c>
      <c r="E619">
        <f>[5]trip_summary_region!E619</f>
        <v>37</v>
      </c>
      <c r="F619">
        <f>[5]trip_summary_region!F619</f>
        <v>1.7100380187999999</v>
      </c>
      <c r="G619">
        <f>[5]trip_summary_region!G619</f>
        <v>38.317939297000002</v>
      </c>
      <c r="H619">
        <f>[5]trip_summary_region!H619</f>
        <v>0.77409499520000002</v>
      </c>
      <c r="I619" t="str">
        <f>[5]trip_summary_region!I619</f>
        <v>Non-Household Travel</v>
      </c>
      <c r="J619" t="str">
        <f>[5]trip_summary_region!J619</f>
        <v>2017/18</v>
      </c>
    </row>
    <row r="620" spans="1:10" x14ac:dyDescent="0.2">
      <c r="A620" t="str">
        <f>[5]trip_summary_region!A620</f>
        <v>08 MANAWATU-WANGANUI</v>
      </c>
      <c r="B620">
        <f>[5]trip_summary_region!B620</f>
        <v>11</v>
      </c>
      <c r="C620">
        <f>[5]trip_summary_region!C620</f>
        <v>2023</v>
      </c>
      <c r="D620">
        <f>[5]trip_summary_region!D620</f>
        <v>12</v>
      </c>
      <c r="E620">
        <f>[5]trip_summary_region!E620</f>
        <v>37</v>
      </c>
      <c r="F620">
        <f>[5]trip_summary_region!F620</f>
        <v>1.7410704418</v>
      </c>
      <c r="G620">
        <f>[5]trip_summary_region!G620</f>
        <v>38.847172538999999</v>
      </c>
      <c r="H620">
        <f>[5]trip_summary_region!H620</f>
        <v>0.79229801030000002</v>
      </c>
      <c r="I620" t="str">
        <f>[5]trip_summary_region!I620</f>
        <v>Non-Household Travel</v>
      </c>
      <c r="J620" t="str">
        <f>[5]trip_summary_region!J620</f>
        <v>2022/23</v>
      </c>
    </row>
    <row r="621" spans="1:10" x14ac:dyDescent="0.2">
      <c r="A621" t="str">
        <f>[5]trip_summary_region!A621</f>
        <v>08 MANAWATU-WANGANUI</v>
      </c>
      <c r="B621">
        <f>[5]trip_summary_region!B621</f>
        <v>11</v>
      </c>
      <c r="C621">
        <f>[5]trip_summary_region!C621</f>
        <v>2028</v>
      </c>
      <c r="D621">
        <f>[5]trip_summary_region!D621</f>
        <v>12</v>
      </c>
      <c r="E621">
        <f>[5]trip_summary_region!E621</f>
        <v>37</v>
      </c>
      <c r="F621">
        <f>[5]trip_summary_region!F621</f>
        <v>1.745574011</v>
      </c>
      <c r="G621">
        <f>[5]trip_summary_region!G621</f>
        <v>39.685924512</v>
      </c>
      <c r="H621">
        <f>[5]trip_summary_region!H621</f>
        <v>0.80731223289999998</v>
      </c>
      <c r="I621" t="str">
        <f>[5]trip_summary_region!I621</f>
        <v>Non-Household Travel</v>
      </c>
      <c r="J621" t="str">
        <f>[5]trip_summary_region!J621</f>
        <v>2027/28</v>
      </c>
    </row>
    <row r="622" spans="1:10" x14ac:dyDescent="0.2">
      <c r="A622" t="str">
        <f>[5]trip_summary_region!A622</f>
        <v>08 MANAWATU-WANGANUI</v>
      </c>
      <c r="B622">
        <f>[5]trip_summary_region!B622</f>
        <v>11</v>
      </c>
      <c r="C622">
        <f>[5]trip_summary_region!C622</f>
        <v>2033</v>
      </c>
      <c r="D622">
        <f>[5]trip_summary_region!D622</f>
        <v>12</v>
      </c>
      <c r="E622">
        <f>[5]trip_summary_region!E622</f>
        <v>37</v>
      </c>
      <c r="F622">
        <f>[5]trip_summary_region!F622</f>
        <v>1.7025709908</v>
      </c>
      <c r="G622">
        <f>[5]trip_summary_region!G622</f>
        <v>40.475270266000003</v>
      </c>
      <c r="H622">
        <f>[5]trip_summary_region!H622</f>
        <v>0.81263067739999995</v>
      </c>
      <c r="I622" t="str">
        <f>[5]trip_summary_region!I622</f>
        <v>Non-Household Travel</v>
      </c>
      <c r="J622" t="str">
        <f>[5]trip_summary_region!J622</f>
        <v>2032/33</v>
      </c>
    </row>
    <row r="623" spans="1:10" x14ac:dyDescent="0.2">
      <c r="A623" t="str">
        <f>[5]trip_summary_region!A623</f>
        <v>08 MANAWATU-WANGANUI</v>
      </c>
      <c r="B623">
        <f>[5]trip_summary_region!B623</f>
        <v>11</v>
      </c>
      <c r="C623">
        <f>[5]trip_summary_region!C623</f>
        <v>2038</v>
      </c>
      <c r="D623">
        <f>[5]trip_summary_region!D623</f>
        <v>12</v>
      </c>
      <c r="E623">
        <f>[5]trip_summary_region!E623</f>
        <v>37</v>
      </c>
      <c r="F623">
        <f>[5]trip_summary_region!F623</f>
        <v>1.6250692285999999</v>
      </c>
      <c r="G623">
        <f>[5]trip_summary_region!G623</f>
        <v>39.844816631999997</v>
      </c>
      <c r="H623">
        <f>[5]trip_summary_region!H623</f>
        <v>0.79333652249999997</v>
      </c>
      <c r="I623" t="str">
        <f>[5]trip_summary_region!I623</f>
        <v>Non-Household Travel</v>
      </c>
      <c r="J623" t="str">
        <f>[5]trip_summary_region!J623</f>
        <v>2037/38</v>
      </c>
    </row>
    <row r="624" spans="1:10" x14ac:dyDescent="0.2">
      <c r="A624" t="str">
        <f>[5]trip_summary_region!A624</f>
        <v>08 MANAWATU-WANGANUI</v>
      </c>
      <c r="B624">
        <f>[5]trip_summary_region!B624</f>
        <v>11</v>
      </c>
      <c r="C624">
        <f>[5]trip_summary_region!C624</f>
        <v>2043</v>
      </c>
      <c r="D624">
        <f>[5]trip_summary_region!D624</f>
        <v>12</v>
      </c>
      <c r="E624">
        <f>[5]trip_summary_region!E624</f>
        <v>37</v>
      </c>
      <c r="F624">
        <f>[5]trip_summary_region!F624</f>
        <v>1.5393803465</v>
      </c>
      <c r="G624">
        <f>[5]trip_summary_region!G624</f>
        <v>39.059377109000003</v>
      </c>
      <c r="H624">
        <f>[5]trip_summary_region!H624</f>
        <v>0.77069699110000001</v>
      </c>
      <c r="I624" t="str">
        <f>[5]trip_summary_region!I624</f>
        <v>Non-Household Travel</v>
      </c>
      <c r="J624" t="str">
        <f>[5]trip_summary_region!J624</f>
        <v>2042/43</v>
      </c>
    </row>
    <row r="625" spans="1:10" x14ac:dyDescent="0.2">
      <c r="A625" t="str">
        <f>[5]trip_summary_region!A625</f>
        <v>09 WELLINGTON</v>
      </c>
      <c r="B625">
        <f>[5]trip_summary_region!B625</f>
        <v>0</v>
      </c>
      <c r="C625">
        <f>[5]trip_summary_region!C625</f>
        <v>2013</v>
      </c>
      <c r="D625">
        <f>[5]trip_summary_region!D625</f>
        <v>941</v>
      </c>
      <c r="E625">
        <f>[5]trip_summary_region!E625</f>
        <v>4221</v>
      </c>
      <c r="F625">
        <f>[5]trip_summary_region!F625</f>
        <v>182.29561206</v>
      </c>
      <c r="G625">
        <f>[5]trip_summary_region!G625</f>
        <v>126.13499251</v>
      </c>
      <c r="H625">
        <f>[5]trip_summary_region!H625</f>
        <v>32.985647405999998</v>
      </c>
      <c r="I625" t="str">
        <f>[5]trip_summary_region!I625</f>
        <v>Pedestrian</v>
      </c>
      <c r="J625" t="str">
        <f>[5]trip_summary_region!J625</f>
        <v>2012/13</v>
      </c>
    </row>
    <row r="626" spans="1:10" x14ac:dyDescent="0.2">
      <c r="A626" t="str">
        <f>[5]trip_summary_region!A626</f>
        <v>09 WELLINGTON</v>
      </c>
      <c r="B626">
        <f>[5]trip_summary_region!B626</f>
        <v>0</v>
      </c>
      <c r="C626">
        <f>[5]trip_summary_region!C626</f>
        <v>2018</v>
      </c>
      <c r="D626">
        <f>[5]trip_summary_region!D626</f>
        <v>941</v>
      </c>
      <c r="E626">
        <f>[5]trip_summary_region!E626</f>
        <v>4221</v>
      </c>
      <c r="F626">
        <f>[5]trip_summary_region!F626</f>
        <v>192.43410817</v>
      </c>
      <c r="G626">
        <f>[5]trip_summary_region!G626</f>
        <v>133.83003762999999</v>
      </c>
      <c r="H626">
        <f>[5]trip_summary_region!H626</f>
        <v>34.981312981000002</v>
      </c>
      <c r="I626" t="str">
        <f>[5]trip_summary_region!I626</f>
        <v>Pedestrian</v>
      </c>
      <c r="J626" t="str">
        <f>[5]trip_summary_region!J626</f>
        <v>2017/18</v>
      </c>
    </row>
    <row r="627" spans="1:10" x14ac:dyDescent="0.2">
      <c r="A627" t="str">
        <f>[5]trip_summary_region!A627</f>
        <v>09 WELLINGTON</v>
      </c>
      <c r="B627">
        <f>[5]trip_summary_region!B627</f>
        <v>0</v>
      </c>
      <c r="C627">
        <f>[5]trip_summary_region!C627</f>
        <v>2023</v>
      </c>
      <c r="D627">
        <f>[5]trip_summary_region!D627</f>
        <v>941</v>
      </c>
      <c r="E627">
        <f>[5]trip_summary_region!E627</f>
        <v>4221</v>
      </c>
      <c r="F627">
        <f>[5]trip_summary_region!F627</f>
        <v>197.99484332</v>
      </c>
      <c r="G627">
        <f>[5]trip_summary_region!G627</f>
        <v>137.97801552000001</v>
      </c>
      <c r="H627">
        <f>[5]trip_summary_region!H627</f>
        <v>36.025419456000002</v>
      </c>
      <c r="I627" t="str">
        <f>[5]trip_summary_region!I627</f>
        <v>Pedestrian</v>
      </c>
      <c r="J627" t="str">
        <f>[5]trip_summary_region!J627</f>
        <v>2022/23</v>
      </c>
    </row>
    <row r="628" spans="1:10" x14ac:dyDescent="0.2">
      <c r="A628" t="str">
        <f>[5]trip_summary_region!A628</f>
        <v>09 WELLINGTON</v>
      </c>
      <c r="B628">
        <f>[5]trip_summary_region!B628</f>
        <v>0</v>
      </c>
      <c r="C628">
        <f>[5]trip_summary_region!C628</f>
        <v>2028</v>
      </c>
      <c r="D628">
        <f>[5]trip_summary_region!D628</f>
        <v>941</v>
      </c>
      <c r="E628">
        <f>[5]trip_summary_region!E628</f>
        <v>4221</v>
      </c>
      <c r="F628">
        <f>[5]trip_summary_region!F628</f>
        <v>201.98673004</v>
      </c>
      <c r="G628">
        <f>[5]trip_summary_region!G628</f>
        <v>141.28098703000001</v>
      </c>
      <c r="H628">
        <f>[5]trip_summary_region!H628</f>
        <v>36.861184223000002</v>
      </c>
      <c r="I628" t="str">
        <f>[5]trip_summary_region!I628</f>
        <v>Pedestrian</v>
      </c>
      <c r="J628" t="str">
        <f>[5]trip_summary_region!J628</f>
        <v>2027/28</v>
      </c>
    </row>
    <row r="629" spans="1:10" x14ac:dyDescent="0.2">
      <c r="A629" t="str">
        <f>[5]trip_summary_region!A629</f>
        <v>09 WELLINGTON</v>
      </c>
      <c r="B629">
        <f>[5]trip_summary_region!B629</f>
        <v>0</v>
      </c>
      <c r="C629">
        <f>[5]trip_summary_region!C629</f>
        <v>2033</v>
      </c>
      <c r="D629">
        <f>[5]trip_summary_region!D629</f>
        <v>941</v>
      </c>
      <c r="E629">
        <f>[5]trip_summary_region!E629</f>
        <v>4221</v>
      </c>
      <c r="F629">
        <f>[5]trip_summary_region!F629</f>
        <v>204.87334146000001</v>
      </c>
      <c r="G629">
        <f>[5]trip_summary_region!G629</f>
        <v>143.92966451000001</v>
      </c>
      <c r="H629">
        <f>[5]trip_summary_region!H629</f>
        <v>37.455850380000001</v>
      </c>
      <c r="I629" t="str">
        <f>[5]trip_summary_region!I629</f>
        <v>Pedestrian</v>
      </c>
      <c r="J629" t="str">
        <f>[5]trip_summary_region!J629</f>
        <v>2032/33</v>
      </c>
    </row>
    <row r="630" spans="1:10" x14ac:dyDescent="0.2">
      <c r="A630" t="str">
        <f>[5]trip_summary_region!A630</f>
        <v>09 WELLINGTON</v>
      </c>
      <c r="B630">
        <f>[5]trip_summary_region!B630</f>
        <v>0</v>
      </c>
      <c r="C630">
        <f>[5]trip_summary_region!C630</f>
        <v>2038</v>
      </c>
      <c r="D630">
        <f>[5]trip_summary_region!D630</f>
        <v>941</v>
      </c>
      <c r="E630">
        <f>[5]trip_summary_region!E630</f>
        <v>4221</v>
      </c>
      <c r="F630">
        <f>[5]trip_summary_region!F630</f>
        <v>207.79767039000001</v>
      </c>
      <c r="G630">
        <f>[5]trip_summary_region!G630</f>
        <v>147.08846663</v>
      </c>
      <c r="H630">
        <f>[5]trip_summary_region!H630</f>
        <v>38.047694481999997</v>
      </c>
      <c r="I630" t="str">
        <f>[5]trip_summary_region!I630</f>
        <v>Pedestrian</v>
      </c>
      <c r="J630" t="str">
        <f>[5]trip_summary_region!J630</f>
        <v>2037/38</v>
      </c>
    </row>
    <row r="631" spans="1:10" x14ac:dyDescent="0.2">
      <c r="A631" t="str">
        <f>[5]trip_summary_region!A631</f>
        <v>09 WELLINGTON</v>
      </c>
      <c r="B631">
        <f>[5]trip_summary_region!B631</f>
        <v>0</v>
      </c>
      <c r="C631">
        <f>[5]trip_summary_region!C631</f>
        <v>2043</v>
      </c>
      <c r="D631">
        <f>[5]trip_summary_region!D631</f>
        <v>941</v>
      </c>
      <c r="E631">
        <f>[5]trip_summary_region!E631</f>
        <v>4221</v>
      </c>
      <c r="F631">
        <f>[5]trip_summary_region!F631</f>
        <v>210.04155366000001</v>
      </c>
      <c r="G631">
        <f>[5]trip_summary_region!G631</f>
        <v>149.91478167</v>
      </c>
      <c r="H631">
        <f>[5]trip_summary_region!H631</f>
        <v>38.543518427999999</v>
      </c>
      <c r="I631" t="str">
        <f>[5]trip_summary_region!I631</f>
        <v>Pedestrian</v>
      </c>
      <c r="J631" t="str">
        <f>[5]trip_summary_region!J631</f>
        <v>2042/43</v>
      </c>
    </row>
    <row r="632" spans="1:10" x14ac:dyDescent="0.2">
      <c r="A632" t="str">
        <f>[5]trip_summary_region!A632</f>
        <v>09 WELLINGTON</v>
      </c>
      <c r="B632">
        <f>[5]trip_summary_region!B632</f>
        <v>1</v>
      </c>
      <c r="C632">
        <f>[5]trip_summary_region!C632</f>
        <v>2013</v>
      </c>
      <c r="D632">
        <f>[5]trip_summary_region!D632</f>
        <v>54</v>
      </c>
      <c r="E632">
        <f>[5]trip_summary_region!E632</f>
        <v>164</v>
      </c>
      <c r="F632">
        <f>[5]trip_summary_region!F632</f>
        <v>8.1327913301999999</v>
      </c>
      <c r="G632">
        <f>[5]trip_summary_region!G632</f>
        <v>52.092312808000003</v>
      </c>
      <c r="H632">
        <f>[5]trip_summary_region!H632</f>
        <v>3.6978261002999999</v>
      </c>
      <c r="I632" t="str">
        <f>[5]trip_summary_region!I632</f>
        <v>Cyclist</v>
      </c>
      <c r="J632" t="str">
        <f>[5]trip_summary_region!J632</f>
        <v>2012/13</v>
      </c>
    </row>
    <row r="633" spans="1:10" x14ac:dyDescent="0.2">
      <c r="A633" t="str">
        <f>[5]trip_summary_region!A633</f>
        <v>09 WELLINGTON</v>
      </c>
      <c r="B633">
        <f>[5]trip_summary_region!B633</f>
        <v>1</v>
      </c>
      <c r="C633">
        <f>[5]trip_summary_region!C633</f>
        <v>2018</v>
      </c>
      <c r="D633">
        <f>[5]trip_summary_region!D633</f>
        <v>54</v>
      </c>
      <c r="E633">
        <f>[5]trip_summary_region!E633</f>
        <v>164</v>
      </c>
      <c r="F633">
        <f>[5]trip_summary_region!F633</f>
        <v>8.2883092386000001</v>
      </c>
      <c r="G633">
        <f>[5]trip_summary_region!G633</f>
        <v>55.193920392000003</v>
      </c>
      <c r="H633">
        <f>[5]trip_summary_region!H633</f>
        <v>3.9096174661999998</v>
      </c>
      <c r="I633" t="str">
        <f>[5]trip_summary_region!I633</f>
        <v>Cyclist</v>
      </c>
      <c r="J633" t="str">
        <f>[5]trip_summary_region!J633</f>
        <v>2017/18</v>
      </c>
    </row>
    <row r="634" spans="1:10" x14ac:dyDescent="0.2">
      <c r="A634" t="str">
        <f>[5]trip_summary_region!A634</f>
        <v>09 WELLINGTON</v>
      </c>
      <c r="B634">
        <f>[5]trip_summary_region!B634</f>
        <v>1</v>
      </c>
      <c r="C634">
        <f>[5]trip_summary_region!C634</f>
        <v>2023</v>
      </c>
      <c r="D634">
        <f>[5]trip_summary_region!D634</f>
        <v>54</v>
      </c>
      <c r="E634">
        <f>[5]trip_summary_region!E634</f>
        <v>164</v>
      </c>
      <c r="F634">
        <f>[5]trip_summary_region!F634</f>
        <v>8.2917630324000005</v>
      </c>
      <c r="G634">
        <f>[5]trip_summary_region!G634</f>
        <v>56.672170543999997</v>
      </c>
      <c r="H634">
        <f>[5]trip_summary_region!H634</f>
        <v>4.0013970351000001</v>
      </c>
      <c r="I634" t="str">
        <f>[5]trip_summary_region!I634</f>
        <v>Cyclist</v>
      </c>
      <c r="J634" t="str">
        <f>[5]trip_summary_region!J634</f>
        <v>2022/23</v>
      </c>
    </row>
    <row r="635" spans="1:10" x14ac:dyDescent="0.2">
      <c r="A635" t="str">
        <f>[5]trip_summary_region!A635</f>
        <v>09 WELLINGTON</v>
      </c>
      <c r="B635">
        <f>[5]trip_summary_region!B635</f>
        <v>1</v>
      </c>
      <c r="C635">
        <f>[5]trip_summary_region!C635</f>
        <v>2028</v>
      </c>
      <c r="D635">
        <f>[5]trip_summary_region!D635</f>
        <v>54</v>
      </c>
      <c r="E635">
        <f>[5]trip_summary_region!E635</f>
        <v>164</v>
      </c>
      <c r="F635">
        <f>[5]trip_summary_region!F635</f>
        <v>8.2119591862999997</v>
      </c>
      <c r="G635">
        <f>[5]trip_summary_region!G635</f>
        <v>57.670971889</v>
      </c>
      <c r="H635">
        <f>[5]trip_summary_region!H635</f>
        <v>4.0522416650000004</v>
      </c>
      <c r="I635" t="str">
        <f>[5]trip_summary_region!I635</f>
        <v>Cyclist</v>
      </c>
      <c r="J635" t="str">
        <f>[5]trip_summary_region!J635</f>
        <v>2027/28</v>
      </c>
    </row>
    <row r="636" spans="1:10" x14ac:dyDescent="0.2">
      <c r="A636" t="str">
        <f>[5]trip_summary_region!A636</f>
        <v>09 WELLINGTON</v>
      </c>
      <c r="B636">
        <f>[5]trip_summary_region!B636</f>
        <v>1</v>
      </c>
      <c r="C636">
        <f>[5]trip_summary_region!C636</f>
        <v>2033</v>
      </c>
      <c r="D636">
        <f>[5]trip_summary_region!D636</f>
        <v>54</v>
      </c>
      <c r="E636">
        <f>[5]trip_summary_region!E636</f>
        <v>164</v>
      </c>
      <c r="F636">
        <f>[5]trip_summary_region!F636</f>
        <v>8.2309131369999999</v>
      </c>
      <c r="G636">
        <f>[5]trip_summary_region!G636</f>
        <v>60.974773286999998</v>
      </c>
      <c r="H636">
        <f>[5]trip_summary_region!H636</f>
        <v>4.2443589782000002</v>
      </c>
      <c r="I636" t="str">
        <f>[5]trip_summary_region!I636</f>
        <v>Cyclist</v>
      </c>
      <c r="J636" t="str">
        <f>[5]trip_summary_region!J636</f>
        <v>2032/33</v>
      </c>
    </row>
    <row r="637" spans="1:10" x14ac:dyDescent="0.2">
      <c r="A637" t="str">
        <f>[5]trip_summary_region!A637</f>
        <v>09 WELLINGTON</v>
      </c>
      <c r="B637">
        <f>[5]trip_summary_region!B637</f>
        <v>1</v>
      </c>
      <c r="C637">
        <f>[5]trip_summary_region!C637</f>
        <v>2038</v>
      </c>
      <c r="D637">
        <f>[5]trip_summary_region!D637</f>
        <v>54</v>
      </c>
      <c r="E637">
        <f>[5]trip_summary_region!E637</f>
        <v>164</v>
      </c>
      <c r="F637">
        <f>[5]trip_summary_region!F637</f>
        <v>8.3901853035999991</v>
      </c>
      <c r="G637">
        <f>[5]trip_summary_region!G637</f>
        <v>65.907009590000001</v>
      </c>
      <c r="H637">
        <f>[5]trip_summary_region!H637</f>
        <v>4.5493868989999999</v>
      </c>
      <c r="I637" t="str">
        <f>[5]trip_summary_region!I637</f>
        <v>Cyclist</v>
      </c>
      <c r="J637" t="str">
        <f>[5]trip_summary_region!J637</f>
        <v>2037/38</v>
      </c>
    </row>
    <row r="638" spans="1:10" x14ac:dyDescent="0.2">
      <c r="A638" t="str">
        <f>[5]trip_summary_region!A638</f>
        <v>09 WELLINGTON</v>
      </c>
      <c r="B638">
        <f>[5]trip_summary_region!B638</f>
        <v>1</v>
      </c>
      <c r="C638">
        <f>[5]trip_summary_region!C638</f>
        <v>2043</v>
      </c>
      <c r="D638">
        <f>[5]trip_summary_region!D638</f>
        <v>54</v>
      </c>
      <c r="E638">
        <f>[5]trip_summary_region!E638</f>
        <v>164</v>
      </c>
      <c r="F638">
        <f>[5]trip_summary_region!F638</f>
        <v>8.5378098106000007</v>
      </c>
      <c r="G638">
        <f>[5]trip_summary_region!G638</f>
        <v>70.809958576</v>
      </c>
      <c r="H638">
        <f>[5]trip_summary_region!H638</f>
        <v>4.8517259715999996</v>
      </c>
      <c r="I638" t="str">
        <f>[5]trip_summary_region!I638</f>
        <v>Cyclist</v>
      </c>
      <c r="J638" t="str">
        <f>[5]trip_summary_region!J638</f>
        <v>2042/43</v>
      </c>
    </row>
    <row r="639" spans="1:10" x14ac:dyDescent="0.2">
      <c r="A639" t="str">
        <f>[5]trip_summary_region!A639</f>
        <v>09 WELLINGTON</v>
      </c>
      <c r="B639">
        <f>[5]trip_summary_region!B639</f>
        <v>2</v>
      </c>
      <c r="C639">
        <f>[5]trip_summary_region!C639</f>
        <v>2013</v>
      </c>
      <c r="D639">
        <f>[5]trip_summary_region!D639</f>
        <v>1130</v>
      </c>
      <c r="E639">
        <f>[5]trip_summary_region!E639</f>
        <v>8488</v>
      </c>
      <c r="F639">
        <f>[5]trip_summary_region!F639</f>
        <v>377.93589692</v>
      </c>
      <c r="G639">
        <f>[5]trip_summary_region!G639</f>
        <v>3481.4296611999998</v>
      </c>
      <c r="H639">
        <f>[5]trip_summary_region!H639</f>
        <v>92.129697210000003</v>
      </c>
      <c r="I639" t="str">
        <f>[5]trip_summary_region!I639</f>
        <v>Light Vehicle Driver</v>
      </c>
      <c r="J639" t="str">
        <f>[5]trip_summary_region!J639</f>
        <v>2012/13</v>
      </c>
    </row>
    <row r="640" spans="1:10" x14ac:dyDescent="0.2">
      <c r="A640" t="str">
        <f>[5]trip_summary_region!A640</f>
        <v>09 WELLINGTON</v>
      </c>
      <c r="B640">
        <f>[5]trip_summary_region!B640</f>
        <v>2</v>
      </c>
      <c r="C640">
        <f>[5]trip_summary_region!C640</f>
        <v>2018</v>
      </c>
      <c r="D640">
        <f>[5]trip_summary_region!D640</f>
        <v>1130</v>
      </c>
      <c r="E640">
        <f>[5]trip_summary_region!E640</f>
        <v>8488</v>
      </c>
      <c r="F640">
        <f>[5]trip_summary_region!F640</f>
        <v>397.86137673000002</v>
      </c>
      <c r="G640">
        <f>[5]trip_summary_region!G640</f>
        <v>3683.0713480999998</v>
      </c>
      <c r="H640">
        <f>[5]trip_summary_region!H640</f>
        <v>97.505941156999995</v>
      </c>
      <c r="I640" t="str">
        <f>[5]trip_summary_region!I640</f>
        <v>Light Vehicle Driver</v>
      </c>
      <c r="J640" t="str">
        <f>[5]trip_summary_region!J640</f>
        <v>2017/18</v>
      </c>
    </row>
    <row r="641" spans="1:10" x14ac:dyDescent="0.2">
      <c r="A641" t="str">
        <f>[5]trip_summary_region!A641</f>
        <v>09 WELLINGTON</v>
      </c>
      <c r="B641">
        <f>[5]trip_summary_region!B641</f>
        <v>2</v>
      </c>
      <c r="C641">
        <f>[5]trip_summary_region!C641</f>
        <v>2023</v>
      </c>
      <c r="D641">
        <f>[5]trip_summary_region!D641</f>
        <v>1130</v>
      </c>
      <c r="E641">
        <f>[5]trip_summary_region!E641</f>
        <v>8488</v>
      </c>
      <c r="F641">
        <f>[5]trip_summary_region!F641</f>
        <v>411.53846742000002</v>
      </c>
      <c r="G641">
        <f>[5]trip_summary_region!G641</f>
        <v>3817.6447951</v>
      </c>
      <c r="H641">
        <f>[5]trip_summary_region!H641</f>
        <v>101.17330484</v>
      </c>
      <c r="I641" t="str">
        <f>[5]trip_summary_region!I641</f>
        <v>Light Vehicle Driver</v>
      </c>
      <c r="J641" t="str">
        <f>[5]trip_summary_region!J641</f>
        <v>2022/23</v>
      </c>
    </row>
    <row r="642" spans="1:10" x14ac:dyDescent="0.2">
      <c r="A642" t="str">
        <f>[5]trip_summary_region!A642</f>
        <v>09 WELLINGTON</v>
      </c>
      <c r="B642">
        <f>[5]trip_summary_region!B642</f>
        <v>2</v>
      </c>
      <c r="C642">
        <f>[5]trip_summary_region!C642</f>
        <v>2028</v>
      </c>
      <c r="D642">
        <f>[5]trip_summary_region!D642</f>
        <v>1130</v>
      </c>
      <c r="E642">
        <f>[5]trip_summary_region!E642</f>
        <v>8488</v>
      </c>
      <c r="F642">
        <f>[5]trip_summary_region!F642</f>
        <v>421.59419184000001</v>
      </c>
      <c r="G642">
        <f>[5]trip_summary_region!G642</f>
        <v>3915.2399673999998</v>
      </c>
      <c r="H642">
        <f>[5]trip_summary_region!H642</f>
        <v>103.76791298000001</v>
      </c>
      <c r="I642" t="str">
        <f>[5]trip_summary_region!I642</f>
        <v>Light Vehicle Driver</v>
      </c>
      <c r="J642" t="str">
        <f>[5]trip_summary_region!J642</f>
        <v>2027/28</v>
      </c>
    </row>
    <row r="643" spans="1:10" x14ac:dyDescent="0.2">
      <c r="A643" t="str">
        <f>[5]trip_summary_region!A643</f>
        <v>09 WELLINGTON</v>
      </c>
      <c r="B643">
        <f>[5]trip_summary_region!B643</f>
        <v>2</v>
      </c>
      <c r="C643">
        <f>[5]trip_summary_region!C643</f>
        <v>2033</v>
      </c>
      <c r="D643">
        <f>[5]trip_summary_region!D643</f>
        <v>1130</v>
      </c>
      <c r="E643">
        <f>[5]trip_summary_region!E643</f>
        <v>8488</v>
      </c>
      <c r="F643">
        <f>[5]trip_summary_region!F643</f>
        <v>429.40100139999998</v>
      </c>
      <c r="G643">
        <f>[5]trip_summary_region!G643</f>
        <v>4010.0146537999999</v>
      </c>
      <c r="H643">
        <f>[5]trip_summary_region!H643</f>
        <v>106.00385025999999</v>
      </c>
      <c r="I643" t="str">
        <f>[5]trip_summary_region!I643</f>
        <v>Light Vehicle Driver</v>
      </c>
      <c r="J643" t="str">
        <f>[5]trip_summary_region!J643</f>
        <v>2032/33</v>
      </c>
    </row>
    <row r="644" spans="1:10" x14ac:dyDescent="0.2">
      <c r="A644" t="str">
        <f>[5]trip_summary_region!A644</f>
        <v>09 WELLINGTON</v>
      </c>
      <c r="B644">
        <f>[5]trip_summary_region!B644</f>
        <v>2</v>
      </c>
      <c r="C644">
        <f>[5]trip_summary_region!C644</f>
        <v>2038</v>
      </c>
      <c r="D644">
        <f>[5]trip_summary_region!D644</f>
        <v>1130</v>
      </c>
      <c r="E644">
        <f>[5]trip_summary_region!E644</f>
        <v>8488</v>
      </c>
      <c r="F644">
        <f>[5]trip_summary_region!F644</f>
        <v>433.9361902</v>
      </c>
      <c r="G644">
        <f>[5]trip_summary_region!G644</f>
        <v>4075.1895859000001</v>
      </c>
      <c r="H644">
        <f>[5]trip_summary_region!H644</f>
        <v>107.5404362</v>
      </c>
      <c r="I644" t="str">
        <f>[5]trip_summary_region!I644</f>
        <v>Light Vehicle Driver</v>
      </c>
      <c r="J644" t="str">
        <f>[5]trip_summary_region!J644</f>
        <v>2037/38</v>
      </c>
    </row>
    <row r="645" spans="1:10" x14ac:dyDescent="0.2">
      <c r="A645" t="str">
        <f>[5]trip_summary_region!A645</f>
        <v>09 WELLINGTON</v>
      </c>
      <c r="B645">
        <f>[5]trip_summary_region!B645</f>
        <v>2</v>
      </c>
      <c r="C645">
        <f>[5]trip_summary_region!C645</f>
        <v>2043</v>
      </c>
      <c r="D645">
        <f>[5]trip_summary_region!D645</f>
        <v>1130</v>
      </c>
      <c r="E645">
        <f>[5]trip_summary_region!E645</f>
        <v>8488</v>
      </c>
      <c r="F645">
        <f>[5]trip_summary_region!F645</f>
        <v>436.91000087999998</v>
      </c>
      <c r="G645">
        <f>[5]trip_summary_region!G645</f>
        <v>4128.0291792999997</v>
      </c>
      <c r="H645">
        <f>[5]trip_summary_region!H645</f>
        <v>108.74587572</v>
      </c>
      <c r="I645" t="str">
        <f>[5]trip_summary_region!I645</f>
        <v>Light Vehicle Driver</v>
      </c>
      <c r="J645" t="str">
        <f>[5]trip_summary_region!J645</f>
        <v>2042/43</v>
      </c>
    </row>
    <row r="646" spans="1:10" x14ac:dyDescent="0.2">
      <c r="A646" t="str">
        <f>[5]trip_summary_region!A646</f>
        <v>09 WELLINGTON</v>
      </c>
      <c r="B646">
        <f>[5]trip_summary_region!B646</f>
        <v>3</v>
      </c>
      <c r="C646">
        <f>[5]trip_summary_region!C646</f>
        <v>2013</v>
      </c>
      <c r="D646">
        <f>[5]trip_summary_region!D646</f>
        <v>936</v>
      </c>
      <c r="E646">
        <f>[5]trip_summary_region!E646</f>
        <v>4461</v>
      </c>
      <c r="F646">
        <f>[5]trip_summary_region!F646</f>
        <v>183.55442563</v>
      </c>
      <c r="G646">
        <f>[5]trip_summary_region!G646</f>
        <v>2005.8850408000001</v>
      </c>
      <c r="H646">
        <f>[5]trip_summary_region!H646</f>
        <v>48.966354531</v>
      </c>
      <c r="I646" t="str">
        <f>[5]trip_summary_region!I646</f>
        <v>Light Vehicle Passenger</v>
      </c>
      <c r="J646" t="str">
        <f>[5]trip_summary_region!J646</f>
        <v>2012/13</v>
      </c>
    </row>
    <row r="647" spans="1:10" x14ac:dyDescent="0.2">
      <c r="A647" t="str">
        <f>[5]trip_summary_region!A647</f>
        <v>09 WELLINGTON</v>
      </c>
      <c r="B647">
        <f>[5]trip_summary_region!B647</f>
        <v>3</v>
      </c>
      <c r="C647">
        <f>[5]trip_summary_region!C647</f>
        <v>2018</v>
      </c>
      <c r="D647">
        <f>[5]trip_summary_region!D647</f>
        <v>936</v>
      </c>
      <c r="E647">
        <f>[5]trip_summary_region!E647</f>
        <v>4461</v>
      </c>
      <c r="F647">
        <f>[5]trip_summary_region!F647</f>
        <v>186.81886415</v>
      </c>
      <c r="G647">
        <f>[5]trip_summary_region!G647</f>
        <v>2017.4024456</v>
      </c>
      <c r="H647">
        <f>[5]trip_summary_region!H647</f>
        <v>49.615628262999998</v>
      </c>
      <c r="I647" t="str">
        <f>[5]trip_summary_region!I647</f>
        <v>Light Vehicle Passenger</v>
      </c>
      <c r="J647" t="str">
        <f>[5]trip_summary_region!J647</f>
        <v>2017/18</v>
      </c>
    </row>
    <row r="648" spans="1:10" x14ac:dyDescent="0.2">
      <c r="A648" t="str">
        <f>[5]trip_summary_region!A648</f>
        <v>09 WELLINGTON</v>
      </c>
      <c r="B648">
        <f>[5]trip_summary_region!B648</f>
        <v>3</v>
      </c>
      <c r="C648">
        <f>[5]trip_summary_region!C648</f>
        <v>2023</v>
      </c>
      <c r="D648">
        <f>[5]trip_summary_region!D648</f>
        <v>936</v>
      </c>
      <c r="E648">
        <f>[5]trip_summary_region!E648</f>
        <v>4461</v>
      </c>
      <c r="F648">
        <f>[5]trip_summary_region!F648</f>
        <v>188.20377342</v>
      </c>
      <c r="G648">
        <f>[5]trip_summary_region!G648</f>
        <v>2007.9494519</v>
      </c>
      <c r="H648">
        <f>[5]trip_summary_region!H648</f>
        <v>49.684395881999997</v>
      </c>
      <c r="I648" t="str">
        <f>[5]trip_summary_region!I648</f>
        <v>Light Vehicle Passenger</v>
      </c>
      <c r="J648" t="str">
        <f>[5]trip_summary_region!J648</f>
        <v>2022/23</v>
      </c>
    </row>
    <row r="649" spans="1:10" x14ac:dyDescent="0.2">
      <c r="A649" t="str">
        <f>[5]trip_summary_region!A649</f>
        <v>09 WELLINGTON</v>
      </c>
      <c r="B649">
        <f>[5]trip_summary_region!B649</f>
        <v>3</v>
      </c>
      <c r="C649">
        <f>[5]trip_summary_region!C649</f>
        <v>2028</v>
      </c>
      <c r="D649">
        <f>[5]trip_summary_region!D649</f>
        <v>936</v>
      </c>
      <c r="E649">
        <f>[5]trip_summary_region!E649</f>
        <v>4461</v>
      </c>
      <c r="F649">
        <f>[5]trip_summary_region!F649</f>
        <v>188.10378731</v>
      </c>
      <c r="G649">
        <f>[5]trip_summary_region!G649</f>
        <v>1987.3763220000001</v>
      </c>
      <c r="H649">
        <f>[5]trip_summary_region!H649</f>
        <v>49.460850520000001</v>
      </c>
      <c r="I649" t="str">
        <f>[5]trip_summary_region!I649</f>
        <v>Light Vehicle Passenger</v>
      </c>
      <c r="J649" t="str">
        <f>[5]trip_summary_region!J649</f>
        <v>2027/28</v>
      </c>
    </row>
    <row r="650" spans="1:10" x14ac:dyDescent="0.2">
      <c r="A650" t="str">
        <f>[5]trip_summary_region!A650</f>
        <v>09 WELLINGTON</v>
      </c>
      <c r="B650">
        <f>[5]trip_summary_region!B650</f>
        <v>3</v>
      </c>
      <c r="C650">
        <f>[5]trip_summary_region!C650</f>
        <v>2033</v>
      </c>
      <c r="D650">
        <f>[5]trip_summary_region!D650</f>
        <v>936</v>
      </c>
      <c r="E650">
        <f>[5]trip_summary_region!E650</f>
        <v>4461</v>
      </c>
      <c r="F650">
        <f>[5]trip_summary_region!F650</f>
        <v>188.55047826000001</v>
      </c>
      <c r="G650">
        <f>[5]trip_summary_region!G650</f>
        <v>1975.8178078000001</v>
      </c>
      <c r="H650">
        <f>[5]trip_summary_region!H650</f>
        <v>49.396424287999999</v>
      </c>
      <c r="I650" t="str">
        <f>[5]trip_summary_region!I650</f>
        <v>Light Vehicle Passenger</v>
      </c>
      <c r="J650" t="str">
        <f>[5]trip_summary_region!J650</f>
        <v>2032/33</v>
      </c>
    </row>
    <row r="651" spans="1:10" x14ac:dyDescent="0.2">
      <c r="A651" t="str">
        <f>[5]trip_summary_region!A651</f>
        <v>09 WELLINGTON</v>
      </c>
      <c r="B651">
        <f>[5]trip_summary_region!B651</f>
        <v>3</v>
      </c>
      <c r="C651">
        <f>[5]trip_summary_region!C651</f>
        <v>2038</v>
      </c>
      <c r="D651">
        <f>[5]trip_summary_region!D651</f>
        <v>936</v>
      </c>
      <c r="E651">
        <f>[5]trip_summary_region!E651</f>
        <v>4461</v>
      </c>
      <c r="F651">
        <f>[5]trip_summary_region!F651</f>
        <v>188.90913423000001</v>
      </c>
      <c r="G651">
        <f>[5]trip_summary_region!G651</f>
        <v>1956.0942953000001</v>
      </c>
      <c r="H651">
        <f>[5]trip_summary_region!H651</f>
        <v>49.137254294000002</v>
      </c>
      <c r="I651" t="str">
        <f>[5]trip_summary_region!I651</f>
        <v>Light Vehicle Passenger</v>
      </c>
      <c r="J651" t="str">
        <f>[5]trip_summary_region!J651</f>
        <v>2037/38</v>
      </c>
    </row>
    <row r="652" spans="1:10" x14ac:dyDescent="0.2">
      <c r="A652" t="str">
        <f>[5]trip_summary_region!A652</f>
        <v>09 WELLINGTON</v>
      </c>
      <c r="B652">
        <f>[5]trip_summary_region!B652</f>
        <v>3</v>
      </c>
      <c r="C652">
        <f>[5]trip_summary_region!C652</f>
        <v>2043</v>
      </c>
      <c r="D652">
        <f>[5]trip_summary_region!D652</f>
        <v>936</v>
      </c>
      <c r="E652">
        <f>[5]trip_summary_region!E652</f>
        <v>4461</v>
      </c>
      <c r="F652">
        <f>[5]trip_summary_region!F652</f>
        <v>188.47659497000001</v>
      </c>
      <c r="G652">
        <f>[5]trip_summary_region!G652</f>
        <v>1929.4702445</v>
      </c>
      <c r="H652">
        <f>[5]trip_summary_region!H652</f>
        <v>48.694661545000002</v>
      </c>
      <c r="I652" t="str">
        <f>[5]trip_summary_region!I652</f>
        <v>Light Vehicle Passenger</v>
      </c>
      <c r="J652" t="str">
        <f>[5]trip_summary_region!J652</f>
        <v>2042/43</v>
      </c>
    </row>
    <row r="653" spans="1:10" x14ac:dyDescent="0.2">
      <c r="A653" t="str">
        <f>[5]trip_summary_region!A653</f>
        <v>09 WELLINGTON</v>
      </c>
      <c r="B653">
        <f>[5]trip_summary_region!B653</f>
        <v>4</v>
      </c>
      <c r="C653">
        <f>[5]trip_summary_region!C653</f>
        <v>2013</v>
      </c>
      <c r="D653">
        <f>[5]trip_summary_region!D653</f>
        <v>31</v>
      </c>
      <c r="E653">
        <f>[5]trip_summary_region!E653</f>
        <v>51</v>
      </c>
      <c r="F653">
        <f>[5]trip_summary_region!F653</f>
        <v>2.3579512121000001</v>
      </c>
      <c r="G653">
        <f>[5]trip_summary_region!G653</f>
        <v>19.359252680000001</v>
      </c>
      <c r="H653">
        <f>[5]trip_summary_region!H653</f>
        <v>0.76229285280000003</v>
      </c>
      <c r="I653" t="s">
        <v>116</v>
      </c>
      <c r="J653" t="str">
        <f>[5]trip_summary_region!J653</f>
        <v>2012/13</v>
      </c>
    </row>
    <row r="654" spans="1:10" x14ac:dyDescent="0.2">
      <c r="A654" t="str">
        <f>[5]trip_summary_region!A654</f>
        <v>09 WELLINGTON</v>
      </c>
      <c r="B654">
        <f>[5]trip_summary_region!B654</f>
        <v>4</v>
      </c>
      <c r="C654">
        <f>[5]trip_summary_region!C654</f>
        <v>2018</v>
      </c>
      <c r="D654">
        <f>[5]trip_summary_region!D654</f>
        <v>31</v>
      </c>
      <c r="E654">
        <f>[5]trip_summary_region!E654</f>
        <v>51</v>
      </c>
      <c r="F654">
        <f>[5]trip_summary_region!F654</f>
        <v>2.5751050881999999</v>
      </c>
      <c r="G654">
        <f>[5]trip_summary_region!G654</f>
        <v>20.581800350000002</v>
      </c>
      <c r="H654">
        <f>[5]trip_summary_region!H654</f>
        <v>0.81842337040000002</v>
      </c>
      <c r="I654" t="s">
        <v>116</v>
      </c>
      <c r="J654" t="str">
        <f>[5]trip_summary_region!J654</f>
        <v>2017/18</v>
      </c>
    </row>
    <row r="655" spans="1:10" x14ac:dyDescent="0.2">
      <c r="A655" t="str">
        <f>[5]trip_summary_region!A655</f>
        <v>09 WELLINGTON</v>
      </c>
      <c r="B655">
        <f>[5]trip_summary_region!B655</f>
        <v>4</v>
      </c>
      <c r="C655">
        <f>[5]trip_summary_region!C655</f>
        <v>2023</v>
      </c>
      <c r="D655">
        <f>[5]trip_summary_region!D655</f>
        <v>31</v>
      </c>
      <c r="E655">
        <f>[5]trip_summary_region!E655</f>
        <v>51</v>
      </c>
      <c r="F655">
        <f>[5]trip_summary_region!F655</f>
        <v>2.7149192420000001</v>
      </c>
      <c r="G655">
        <f>[5]trip_summary_region!G655</f>
        <v>21.774824543000001</v>
      </c>
      <c r="H655">
        <f>[5]trip_summary_region!H655</f>
        <v>0.86896019079999998</v>
      </c>
      <c r="I655" t="s">
        <v>116</v>
      </c>
      <c r="J655" t="str">
        <f>[5]trip_summary_region!J655</f>
        <v>2022/23</v>
      </c>
    </row>
    <row r="656" spans="1:10" x14ac:dyDescent="0.2">
      <c r="A656" t="str">
        <f>[5]trip_summary_region!A656</f>
        <v>09 WELLINGTON</v>
      </c>
      <c r="B656">
        <f>[5]trip_summary_region!B656</f>
        <v>4</v>
      </c>
      <c r="C656">
        <f>[5]trip_summary_region!C656</f>
        <v>2028</v>
      </c>
      <c r="D656">
        <f>[5]trip_summary_region!D656</f>
        <v>31</v>
      </c>
      <c r="E656">
        <f>[5]trip_summary_region!E656</f>
        <v>51</v>
      </c>
      <c r="F656">
        <f>[5]trip_summary_region!F656</f>
        <v>2.8168358596999998</v>
      </c>
      <c r="G656">
        <f>[5]trip_summary_region!G656</f>
        <v>22.884429347000001</v>
      </c>
      <c r="H656">
        <f>[5]trip_summary_region!H656</f>
        <v>0.91442411209999996</v>
      </c>
      <c r="I656" t="s">
        <v>116</v>
      </c>
      <c r="J656" t="str">
        <f>[5]trip_summary_region!J656</f>
        <v>2027/28</v>
      </c>
    </row>
    <row r="657" spans="1:10" x14ac:dyDescent="0.2">
      <c r="A657" t="str">
        <f>[5]trip_summary_region!A657</f>
        <v>09 WELLINGTON</v>
      </c>
      <c r="B657">
        <f>[5]trip_summary_region!B657</f>
        <v>4</v>
      </c>
      <c r="C657">
        <f>[5]trip_summary_region!C657</f>
        <v>2033</v>
      </c>
      <c r="D657">
        <f>[5]trip_summary_region!D657</f>
        <v>31</v>
      </c>
      <c r="E657">
        <f>[5]trip_summary_region!E657</f>
        <v>51</v>
      </c>
      <c r="F657">
        <f>[5]trip_summary_region!F657</f>
        <v>2.8982414793000002</v>
      </c>
      <c r="G657">
        <f>[5]trip_summary_region!G657</f>
        <v>23.911994052000001</v>
      </c>
      <c r="H657">
        <f>[5]trip_summary_region!H657</f>
        <v>0.94589514269999997</v>
      </c>
      <c r="I657" t="s">
        <v>116</v>
      </c>
      <c r="J657" t="str">
        <f>[5]trip_summary_region!J657</f>
        <v>2032/33</v>
      </c>
    </row>
    <row r="658" spans="1:10" x14ac:dyDescent="0.2">
      <c r="A658" t="str">
        <f>[5]trip_summary_region!A658</f>
        <v>09 WELLINGTON</v>
      </c>
      <c r="B658">
        <f>[5]trip_summary_region!B658</f>
        <v>4</v>
      </c>
      <c r="C658">
        <f>[5]trip_summary_region!C658</f>
        <v>2038</v>
      </c>
      <c r="D658">
        <f>[5]trip_summary_region!D658</f>
        <v>31</v>
      </c>
      <c r="E658">
        <f>[5]trip_summary_region!E658</f>
        <v>51</v>
      </c>
      <c r="F658">
        <f>[5]trip_summary_region!F658</f>
        <v>2.9763403998000002</v>
      </c>
      <c r="G658">
        <f>[5]trip_summary_region!G658</f>
        <v>24.628848443999999</v>
      </c>
      <c r="H658">
        <f>[5]trip_summary_region!H658</f>
        <v>0.96148437590000002</v>
      </c>
      <c r="I658" t="s">
        <v>116</v>
      </c>
      <c r="J658" t="str">
        <f>[5]trip_summary_region!J658</f>
        <v>2037/38</v>
      </c>
    </row>
    <row r="659" spans="1:10" x14ac:dyDescent="0.2">
      <c r="A659" t="str">
        <f>[5]trip_summary_region!A659</f>
        <v>09 WELLINGTON</v>
      </c>
      <c r="B659">
        <f>[5]trip_summary_region!B659</f>
        <v>4</v>
      </c>
      <c r="C659">
        <f>[5]trip_summary_region!C659</f>
        <v>2043</v>
      </c>
      <c r="D659">
        <f>[5]trip_summary_region!D659</f>
        <v>31</v>
      </c>
      <c r="E659">
        <f>[5]trip_summary_region!E659</f>
        <v>51</v>
      </c>
      <c r="F659">
        <f>[5]trip_summary_region!F659</f>
        <v>3.0484241626999999</v>
      </c>
      <c r="G659">
        <f>[5]trip_summary_region!G659</f>
        <v>25.20193269</v>
      </c>
      <c r="H659">
        <f>[5]trip_summary_region!H659</f>
        <v>0.97203616609999999</v>
      </c>
      <c r="I659" t="s">
        <v>116</v>
      </c>
      <c r="J659" t="str">
        <f>[5]trip_summary_region!J659</f>
        <v>2042/43</v>
      </c>
    </row>
    <row r="660" spans="1:10" x14ac:dyDescent="0.2">
      <c r="A660" t="str">
        <f>[5]trip_summary_region!A660</f>
        <v>09 WELLINGTON</v>
      </c>
      <c r="B660">
        <f>[5]trip_summary_region!B660</f>
        <v>5</v>
      </c>
      <c r="C660">
        <f>[5]trip_summary_region!C660</f>
        <v>2013</v>
      </c>
      <c r="D660">
        <f>[5]trip_summary_region!D660</f>
        <v>16</v>
      </c>
      <c r="E660">
        <f>[5]trip_summary_region!E660</f>
        <v>64</v>
      </c>
      <c r="F660">
        <f>[5]trip_summary_region!F660</f>
        <v>2.4968267649999998</v>
      </c>
      <c r="G660">
        <f>[5]trip_summary_region!G660</f>
        <v>24.444631151999999</v>
      </c>
      <c r="H660">
        <f>[5]trip_summary_region!H660</f>
        <v>0.71073078609999996</v>
      </c>
      <c r="I660" t="str">
        <f>[5]trip_summary_region!I660</f>
        <v>Motorcyclist</v>
      </c>
      <c r="J660" t="str">
        <f>[5]trip_summary_region!J660</f>
        <v>2012/13</v>
      </c>
    </row>
    <row r="661" spans="1:10" x14ac:dyDescent="0.2">
      <c r="A661" t="str">
        <f>[5]trip_summary_region!A661</f>
        <v>09 WELLINGTON</v>
      </c>
      <c r="B661">
        <f>[5]trip_summary_region!B661</f>
        <v>5</v>
      </c>
      <c r="C661">
        <f>[5]trip_summary_region!C661</f>
        <v>2018</v>
      </c>
      <c r="D661">
        <f>[5]trip_summary_region!D661</f>
        <v>16</v>
      </c>
      <c r="E661">
        <f>[5]trip_summary_region!E661</f>
        <v>64</v>
      </c>
      <c r="F661">
        <f>[5]trip_summary_region!F661</f>
        <v>2.6405109623</v>
      </c>
      <c r="G661">
        <f>[5]trip_summary_region!G661</f>
        <v>24.603665926000001</v>
      </c>
      <c r="H661">
        <f>[5]trip_summary_region!H661</f>
        <v>0.73118518489999995</v>
      </c>
      <c r="I661" t="str">
        <f>[5]trip_summary_region!I661</f>
        <v>Motorcyclist</v>
      </c>
      <c r="J661" t="str">
        <f>[5]trip_summary_region!J661</f>
        <v>2017/18</v>
      </c>
    </row>
    <row r="662" spans="1:10" x14ac:dyDescent="0.2">
      <c r="A662" t="str">
        <f>[5]trip_summary_region!A662</f>
        <v>09 WELLINGTON</v>
      </c>
      <c r="B662">
        <f>[5]trip_summary_region!B662</f>
        <v>5</v>
      </c>
      <c r="C662">
        <f>[5]trip_summary_region!C662</f>
        <v>2023</v>
      </c>
      <c r="D662">
        <f>[5]trip_summary_region!D662</f>
        <v>16</v>
      </c>
      <c r="E662">
        <f>[5]trip_summary_region!E662</f>
        <v>64</v>
      </c>
      <c r="F662">
        <f>[5]trip_summary_region!F662</f>
        <v>2.6944098393</v>
      </c>
      <c r="G662">
        <f>[5]trip_summary_region!G662</f>
        <v>24.372716968999999</v>
      </c>
      <c r="H662">
        <f>[5]trip_summary_region!H662</f>
        <v>0.7293037497</v>
      </c>
      <c r="I662" t="str">
        <f>[5]trip_summary_region!I662</f>
        <v>Motorcyclist</v>
      </c>
      <c r="J662" t="str">
        <f>[5]trip_summary_region!J662</f>
        <v>2022/23</v>
      </c>
    </row>
    <row r="663" spans="1:10" x14ac:dyDescent="0.2">
      <c r="A663" t="str">
        <f>[5]trip_summary_region!A663</f>
        <v>09 WELLINGTON</v>
      </c>
      <c r="B663">
        <f>[5]trip_summary_region!B663</f>
        <v>5</v>
      </c>
      <c r="C663">
        <f>[5]trip_summary_region!C663</f>
        <v>2028</v>
      </c>
      <c r="D663">
        <f>[5]trip_summary_region!D663</f>
        <v>16</v>
      </c>
      <c r="E663">
        <f>[5]trip_summary_region!E663</f>
        <v>64</v>
      </c>
      <c r="F663">
        <f>[5]trip_summary_region!F663</f>
        <v>2.7500100097</v>
      </c>
      <c r="G663">
        <f>[5]trip_summary_region!G663</f>
        <v>24.678830053999999</v>
      </c>
      <c r="H663">
        <f>[5]trip_summary_region!H663</f>
        <v>0.73550340410000004</v>
      </c>
      <c r="I663" t="str">
        <f>[5]trip_summary_region!I663</f>
        <v>Motorcyclist</v>
      </c>
      <c r="J663" t="str">
        <f>[5]trip_summary_region!J663</f>
        <v>2027/28</v>
      </c>
    </row>
    <row r="664" spans="1:10" x14ac:dyDescent="0.2">
      <c r="A664" t="str">
        <f>[5]trip_summary_region!A664</f>
        <v>09 WELLINGTON</v>
      </c>
      <c r="B664">
        <f>[5]trip_summary_region!B664</f>
        <v>5</v>
      </c>
      <c r="C664">
        <f>[5]trip_summary_region!C664</f>
        <v>2033</v>
      </c>
      <c r="D664">
        <f>[5]trip_summary_region!D664</f>
        <v>16</v>
      </c>
      <c r="E664">
        <f>[5]trip_summary_region!E664</f>
        <v>64</v>
      </c>
      <c r="F664">
        <f>[5]trip_summary_region!F664</f>
        <v>2.8133572193999998</v>
      </c>
      <c r="G664">
        <f>[5]trip_summary_region!G664</f>
        <v>25.645875901</v>
      </c>
      <c r="H664">
        <f>[5]trip_summary_region!H664</f>
        <v>0.75799804059999998</v>
      </c>
      <c r="I664" t="str">
        <f>[5]trip_summary_region!I664</f>
        <v>Motorcyclist</v>
      </c>
      <c r="J664" t="str">
        <f>[5]trip_summary_region!J664</f>
        <v>2032/33</v>
      </c>
    </row>
    <row r="665" spans="1:10" x14ac:dyDescent="0.2">
      <c r="A665" t="str">
        <f>[5]trip_summary_region!A665</f>
        <v>09 WELLINGTON</v>
      </c>
      <c r="B665">
        <f>[5]trip_summary_region!B665</f>
        <v>5</v>
      </c>
      <c r="C665">
        <f>[5]trip_summary_region!C665</f>
        <v>2038</v>
      </c>
      <c r="D665">
        <f>[5]trip_summary_region!D665</f>
        <v>16</v>
      </c>
      <c r="E665">
        <f>[5]trip_summary_region!E665</f>
        <v>64</v>
      </c>
      <c r="F665">
        <f>[5]trip_summary_region!F665</f>
        <v>2.8501696076999998</v>
      </c>
      <c r="G665">
        <f>[5]trip_summary_region!G665</f>
        <v>26.407085099</v>
      </c>
      <c r="H665">
        <f>[5]trip_summary_region!H665</f>
        <v>0.77810409469999997</v>
      </c>
      <c r="I665" t="str">
        <f>[5]trip_summary_region!I665</f>
        <v>Motorcyclist</v>
      </c>
      <c r="J665" t="str">
        <f>[5]trip_summary_region!J665</f>
        <v>2037/38</v>
      </c>
    </row>
    <row r="666" spans="1:10" x14ac:dyDescent="0.2">
      <c r="A666" t="str">
        <f>[5]trip_summary_region!A666</f>
        <v>09 WELLINGTON</v>
      </c>
      <c r="B666">
        <f>[5]trip_summary_region!B666</f>
        <v>5</v>
      </c>
      <c r="C666">
        <f>[5]trip_summary_region!C666</f>
        <v>2043</v>
      </c>
      <c r="D666">
        <f>[5]trip_summary_region!D666</f>
        <v>16</v>
      </c>
      <c r="E666">
        <f>[5]trip_summary_region!E666</f>
        <v>64</v>
      </c>
      <c r="F666">
        <f>[5]trip_summary_region!F666</f>
        <v>2.8513140264999999</v>
      </c>
      <c r="G666">
        <f>[5]trip_summary_region!G666</f>
        <v>26.80446555</v>
      </c>
      <c r="H666">
        <f>[5]trip_summary_region!H666</f>
        <v>0.78718188219999996</v>
      </c>
      <c r="I666" t="str">
        <f>[5]trip_summary_region!I666</f>
        <v>Motorcyclist</v>
      </c>
      <c r="J666" t="str">
        <f>[5]trip_summary_region!J666</f>
        <v>2042/43</v>
      </c>
    </row>
    <row r="667" spans="1:10" x14ac:dyDescent="0.2">
      <c r="A667" t="str">
        <f>[5]trip_summary_region!A667</f>
        <v>09 WELLINGTON</v>
      </c>
      <c r="B667">
        <f>[5]trip_summary_region!B667</f>
        <v>6</v>
      </c>
      <c r="C667">
        <f>[5]trip_summary_region!C667</f>
        <v>2013</v>
      </c>
      <c r="D667">
        <f>[5]trip_summary_region!D667</f>
        <v>94</v>
      </c>
      <c r="E667">
        <f>[5]trip_summary_region!E667</f>
        <v>228</v>
      </c>
      <c r="F667">
        <f>[5]trip_summary_region!F667</f>
        <v>10.165258230999999</v>
      </c>
      <c r="G667">
        <f>[5]trip_summary_region!G667</f>
        <v>251.12727889999999</v>
      </c>
      <c r="H667">
        <f>[5]trip_summary_region!H667</f>
        <v>5.5268751299999996</v>
      </c>
      <c r="I667" t="str">
        <f>[5]trip_summary_region!I667</f>
        <v>Local Train</v>
      </c>
      <c r="J667" t="str">
        <f>[5]trip_summary_region!J667</f>
        <v>2012/13</v>
      </c>
    </row>
    <row r="668" spans="1:10" x14ac:dyDescent="0.2">
      <c r="A668" t="str">
        <f>[5]trip_summary_region!A668</f>
        <v>09 WELLINGTON</v>
      </c>
      <c r="B668">
        <f>[5]trip_summary_region!B668</f>
        <v>6</v>
      </c>
      <c r="C668">
        <f>[5]trip_summary_region!C668</f>
        <v>2018</v>
      </c>
      <c r="D668">
        <f>[5]trip_summary_region!D668</f>
        <v>94</v>
      </c>
      <c r="E668">
        <f>[5]trip_summary_region!E668</f>
        <v>228</v>
      </c>
      <c r="F668">
        <f>[5]trip_summary_region!F668</f>
        <v>10.9389138</v>
      </c>
      <c r="G668">
        <f>[5]trip_summary_region!G668</f>
        <v>268.37680104999998</v>
      </c>
      <c r="H668">
        <f>[5]trip_summary_region!H668</f>
        <v>5.8865517441000001</v>
      </c>
      <c r="I668" t="str">
        <f>[5]trip_summary_region!I668</f>
        <v>Local Train</v>
      </c>
      <c r="J668" t="str">
        <f>[5]trip_summary_region!J668</f>
        <v>2017/18</v>
      </c>
    </row>
    <row r="669" spans="1:10" x14ac:dyDescent="0.2">
      <c r="A669" t="str">
        <f>[5]trip_summary_region!A669</f>
        <v>09 WELLINGTON</v>
      </c>
      <c r="B669">
        <f>[5]trip_summary_region!B669</f>
        <v>6</v>
      </c>
      <c r="C669">
        <f>[5]trip_summary_region!C669</f>
        <v>2023</v>
      </c>
      <c r="D669">
        <f>[5]trip_summary_region!D669</f>
        <v>94</v>
      </c>
      <c r="E669">
        <f>[5]trip_summary_region!E669</f>
        <v>228</v>
      </c>
      <c r="F669">
        <f>[5]trip_summary_region!F669</f>
        <v>11.465730113999999</v>
      </c>
      <c r="G669">
        <f>[5]trip_summary_region!G669</f>
        <v>281.69209850999999</v>
      </c>
      <c r="H669">
        <f>[5]trip_summary_region!H669</f>
        <v>6.1624226999999996</v>
      </c>
      <c r="I669" t="str">
        <f>[5]trip_summary_region!I669</f>
        <v>Local Train</v>
      </c>
      <c r="J669" t="str">
        <f>[5]trip_summary_region!J669</f>
        <v>2022/23</v>
      </c>
    </row>
    <row r="670" spans="1:10" x14ac:dyDescent="0.2">
      <c r="A670" t="str">
        <f>[5]trip_summary_region!A670</f>
        <v>09 WELLINGTON</v>
      </c>
      <c r="B670">
        <f>[5]trip_summary_region!B670</f>
        <v>6</v>
      </c>
      <c r="C670">
        <f>[5]trip_summary_region!C670</f>
        <v>2028</v>
      </c>
      <c r="D670">
        <f>[5]trip_summary_region!D670</f>
        <v>94</v>
      </c>
      <c r="E670">
        <f>[5]trip_summary_region!E670</f>
        <v>228</v>
      </c>
      <c r="F670">
        <f>[5]trip_summary_region!F670</f>
        <v>11.868558672000001</v>
      </c>
      <c r="G670">
        <f>[5]trip_summary_region!G670</f>
        <v>293.63243101</v>
      </c>
      <c r="H670">
        <f>[5]trip_summary_region!H670</f>
        <v>6.4069879139000001</v>
      </c>
      <c r="I670" t="str">
        <f>[5]trip_summary_region!I670</f>
        <v>Local Train</v>
      </c>
      <c r="J670" t="str">
        <f>[5]trip_summary_region!J670</f>
        <v>2027/28</v>
      </c>
    </row>
    <row r="671" spans="1:10" x14ac:dyDescent="0.2">
      <c r="A671" t="str">
        <f>[5]trip_summary_region!A671</f>
        <v>09 WELLINGTON</v>
      </c>
      <c r="B671">
        <f>[5]trip_summary_region!B671</f>
        <v>6</v>
      </c>
      <c r="C671">
        <f>[5]trip_summary_region!C671</f>
        <v>2033</v>
      </c>
      <c r="D671">
        <f>[5]trip_summary_region!D671</f>
        <v>94</v>
      </c>
      <c r="E671">
        <f>[5]trip_summary_region!E671</f>
        <v>228</v>
      </c>
      <c r="F671">
        <f>[5]trip_summary_region!F671</f>
        <v>12.166184658000001</v>
      </c>
      <c r="G671">
        <f>[5]trip_summary_region!G671</f>
        <v>299.69443267000003</v>
      </c>
      <c r="H671">
        <f>[5]trip_summary_region!H671</f>
        <v>6.5445722437000002</v>
      </c>
      <c r="I671" t="str">
        <f>[5]trip_summary_region!I671</f>
        <v>Local Train</v>
      </c>
      <c r="J671" t="str">
        <f>[5]trip_summary_region!J671</f>
        <v>2032/33</v>
      </c>
    </row>
    <row r="672" spans="1:10" x14ac:dyDescent="0.2">
      <c r="A672" t="str">
        <f>[5]trip_summary_region!A672</f>
        <v>09 WELLINGTON</v>
      </c>
      <c r="B672">
        <f>[5]trip_summary_region!B672</f>
        <v>6</v>
      </c>
      <c r="C672">
        <f>[5]trip_summary_region!C672</f>
        <v>2038</v>
      </c>
      <c r="D672">
        <f>[5]trip_summary_region!D672</f>
        <v>94</v>
      </c>
      <c r="E672">
        <f>[5]trip_summary_region!E672</f>
        <v>228</v>
      </c>
      <c r="F672">
        <f>[5]trip_summary_region!F672</f>
        <v>12.519927922000001</v>
      </c>
      <c r="G672">
        <f>[5]trip_summary_region!G672</f>
        <v>306.32187286999999</v>
      </c>
      <c r="H672">
        <f>[5]trip_summary_region!H672</f>
        <v>6.6871263547000002</v>
      </c>
      <c r="I672" t="str">
        <f>[5]trip_summary_region!I672</f>
        <v>Local Train</v>
      </c>
      <c r="J672" t="str">
        <f>[5]trip_summary_region!J672</f>
        <v>2037/38</v>
      </c>
    </row>
    <row r="673" spans="1:10" x14ac:dyDescent="0.2">
      <c r="A673" t="str">
        <f>[5]trip_summary_region!A673</f>
        <v>09 WELLINGTON</v>
      </c>
      <c r="B673">
        <f>[5]trip_summary_region!B673</f>
        <v>6</v>
      </c>
      <c r="C673">
        <f>[5]trip_summary_region!C673</f>
        <v>2043</v>
      </c>
      <c r="D673">
        <f>[5]trip_summary_region!D673</f>
        <v>94</v>
      </c>
      <c r="E673">
        <f>[5]trip_summary_region!E673</f>
        <v>228</v>
      </c>
      <c r="F673">
        <f>[5]trip_summary_region!F673</f>
        <v>12.830146576000001</v>
      </c>
      <c r="G673">
        <f>[5]trip_summary_region!G673</f>
        <v>311.45008668999998</v>
      </c>
      <c r="H673">
        <f>[5]trip_summary_region!H673</f>
        <v>6.7983723147999999</v>
      </c>
      <c r="I673" t="str">
        <f>[5]trip_summary_region!I673</f>
        <v>Local Train</v>
      </c>
      <c r="J673" t="str">
        <f>[5]trip_summary_region!J673</f>
        <v>2042/43</v>
      </c>
    </row>
    <row r="674" spans="1:10" x14ac:dyDescent="0.2">
      <c r="A674" t="str">
        <f>[5]trip_summary_region!A674</f>
        <v>09 WELLINGTON</v>
      </c>
      <c r="B674">
        <f>[5]trip_summary_region!B674</f>
        <v>7</v>
      </c>
      <c r="C674">
        <f>[5]trip_summary_region!C674</f>
        <v>2013</v>
      </c>
      <c r="D674">
        <f>[5]trip_summary_region!D674</f>
        <v>211</v>
      </c>
      <c r="E674">
        <f>[5]trip_summary_region!E674</f>
        <v>552</v>
      </c>
      <c r="F674">
        <f>[5]trip_summary_region!F674</f>
        <v>24.821335829999999</v>
      </c>
      <c r="G674">
        <f>[5]trip_summary_region!G674</f>
        <v>187.412398</v>
      </c>
      <c r="H674">
        <f>[5]trip_summary_region!H674</f>
        <v>9.3956469076999998</v>
      </c>
      <c r="I674" t="str">
        <f>[5]trip_summary_region!I674</f>
        <v>Local Bus</v>
      </c>
      <c r="J674" t="str">
        <f>[5]trip_summary_region!J674</f>
        <v>2012/13</v>
      </c>
    </row>
    <row r="675" spans="1:10" x14ac:dyDescent="0.2">
      <c r="A675" t="str">
        <f>[5]trip_summary_region!A675</f>
        <v>09 WELLINGTON</v>
      </c>
      <c r="B675">
        <f>[5]trip_summary_region!B675</f>
        <v>7</v>
      </c>
      <c r="C675">
        <f>[5]trip_summary_region!C675</f>
        <v>2018</v>
      </c>
      <c r="D675">
        <f>[5]trip_summary_region!D675</f>
        <v>211</v>
      </c>
      <c r="E675">
        <f>[5]trip_summary_region!E675</f>
        <v>552</v>
      </c>
      <c r="F675">
        <f>[5]trip_summary_region!F675</f>
        <v>25.763393008000001</v>
      </c>
      <c r="G675">
        <f>[5]trip_summary_region!G675</f>
        <v>196.28837895999999</v>
      </c>
      <c r="H675">
        <f>[5]trip_summary_region!H675</f>
        <v>9.7994744618999992</v>
      </c>
      <c r="I675" t="str">
        <f>[5]trip_summary_region!I675</f>
        <v>Local Bus</v>
      </c>
      <c r="J675" t="str">
        <f>[5]trip_summary_region!J675</f>
        <v>2017/18</v>
      </c>
    </row>
    <row r="676" spans="1:10" x14ac:dyDescent="0.2">
      <c r="A676" t="str">
        <f>[5]trip_summary_region!A676</f>
        <v>09 WELLINGTON</v>
      </c>
      <c r="B676">
        <f>[5]trip_summary_region!B676</f>
        <v>7</v>
      </c>
      <c r="C676">
        <f>[5]trip_summary_region!C676</f>
        <v>2023</v>
      </c>
      <c r="D676">
        <f>[5]trip_summary_region!D676</f>
        <v>211</v>
      </c>
      <c r="E676">
        <f>[5]trip_summary_region!E676</f>
        <v>552</v>
      </c>
      <c r="F676">
        <f>[5]trip_summary_region!F676</f>
        <v>26.140608413999999</v>
      </c>
      <c r="G676">
        <f>[5]trip_summary_region!G676</f>
        <v>200.10319190000001</v>
      </c>
      <c r="H676">
        <f>[5]trip_summary_region!H676</f>
        <v>9.9875361711000004</v>
      </c>
      <c r="I676" t="str">
        <f>[5]trip_summary_region!I676</f>
        <v>Local Bus</v>
      </c>
      <c r="J676" t="str">
        <f>[5]trip_summary_region!J676</f>
        <v>2022/23</v>
      </c>
    </row>
    <row r="677" spans="1:10" x14ac:dyDescent="0.2">
      <c r="A677" t="str">
        <f>[5]trip_summary_region!A677</f>
        <v>09 WELLINGTON</v>
      </c>
      <c r="B677">
        <f>[5]trip_summary_region!B677</f>
        <v>7</v>
      </c>
      <c r="C677">
        <f>[5]trip_summary_region!C677</f>
        <v>2028</v>
      </c>
      <c r="D677">
        <f>[5]trip_summary_region!D677</f>
        <v>211</v>
      </c>
      <c r="E677">
        <f>[5]trip_summary_region!E677</f>
        <v>552</v>
      </c>
      <c r="F677">
        <f>[5]trip_summary_region!F677</f>
        <v>26.492151513</v>
      </c>
      <c r="G677">
        <f>[5]trip_summary_region!G677</f>
        <v>203.08920596999999</v>
      </c>
      <c r="H677">
        <f>[5]trip_summary_region!H677</f>
        <v>10.157220906999999</v>
      </c>
      <c r="I677" t="str">
        <f>[5]trip_summary_region!I677</f>
        <v>Local Bus</v>
      </c>
      <c r="J677" t="str">
        <f>[5]trip_summary_region!J677</f>
        <v>2027/28</v>
      </c>
    </row>
    <row r="678" spans="1:10" x14ac:dyDescent="0.2">
      <c r="A678" t="str">
        <f>[5]trip_summary_region!A678</f>
        <v>09 WELLINGTON</v>
      </c>
      <c r="B678">
        <f>[5]trip_summary_region!B678</f>
        <v>7</v>
      </c>
      <c r="C678">
        <f>[5]trip_summary_region!C678</f>
        <v>2033</v>
      </c>
      <c r="D678">
        <f>[5]trip_summary_region!D678</f>
        <v>211</v>
      </c>
      <c r="E678">
        <f>[5]trip_summary_region!E678</f>
        <v>552</v>
      </c>
      <c r="F678">
        <f>[5]trip_summary_region!F678</f>
        <v>26.498180754</v>
      </c>
      <c r="G678">
        <f>[5]trip_summary_region!G678</f>
        <v>204.15487131</v>
      </c>
      <c r="H678">
        <f>[5]trip_summary_region!H678</f>
        <v>10.204773556999999</v>
      </c>
      <c r="I678" t="str">
        <f>[5]trip_summary_region!I678</f>
        <v>Local Bus</v>
      </c>
      <c r="J678" t="str">
        <f>[5]trip_summary_region!J678</f>
        <v>2032/33</v>
      </c>
    </row>
    <row r="679" spans="1:10" x14ac:dyDescent="0.2">
      <c r="A679" t="str">
        <f>[5]trip_summary_region!A679</f>
        <v>09 WELLINGTON</v>
      </c>
      <c r="B679">
        <f>[5]trip_summary_region!B679</f>
        <v>7</v>
      </c>
      <c r="C679">
        <f>[5]trip_summary_region!C679</f>
        <v>2038</v>
      </c>
      <c r="D679">
        <f>[5]trip_summary_region!D679</f>
        <v>211</v>
      </c>
      <c r="E679">
        <f>[5]trip_summary_region!E679</f>
        <v>552</v>
      </c>
      <c r="F679">
        <f>[5]trip_summary_region!F679</f>
        <v>26.334150153</v>
      </c>
      <c r="G679">
        <f>[5]trip_summary_region!G679</f>
        <v>204.32570204000001</v>
      </c>
      <c r="H679">
        <f>[5]trip_summary_region!H679</f>
        <v>10.200671012000001</v>
      </c>
      <c r="I679" t="str">
        <f>[5]trip_summary_region!I679</f>
        <v>Local Bus</v>
      </c>
      <c r="J679" t="str">
        <f>[5]trip_summary_region!J679</f>
        <v>2037/38</v>
      </c>
    </row>
    <row r="680" spans="1:10" x14ac:dyDescent="0.2">
      <c r="A680" t="str">
        <f>[5]trip_summary_region!A680</f>
        <v>09 WELLINGTON</v>
      </c>
      <c r="B680">
        <f>[5]trip_summary_region!B680</f>
        <v>7</v>
      </c>
      <c r="C680">
        <f>[5]trip_summary_region!C680</f>
        <v>2043</v>
      </c>
      <c r="D680">
        <f>[5]trip_summary_region!D680</f>
        <v>211</v>
      </c>
      <c r="E680">
        <f>[5]trip_summary_region!E680</f>
        <v>552</v>
      </c>
      <c r="F680">
        <f>[5]trip_summary_region!F680</f>
        <v>26.043893530999998</v>
      </c>
      <c r="G680">
        <f>[5]trip_summary_region!G680</f>
        <v>203.4099812</v>
      </c>
      <c r="H680">
        <f>[5]trip_summary_region!H680</f>
        <v>10.143988118999999</v>
      </c>
      <c r="I680" t="str">
        <f>[5]trip_summary_region!I680</f>
        <v>Local Bus</v>
      </c>
      <c r="J680" t="str">
        <f>[5]trip_summary_region!J680</f>
        <v>2042/43</v>
      </c>
    </row>
    <row r="681" spans="1:10" x14ac:dyDescent="0.2">
      <c r="A681" t="str">
        <f>[5]trip_summary_region!A681</f>
        <v>09 WELLINGTON</v>
      </c>
      <c r="B681">
        <f>[5]trip_summary_region!B681</f>
        <v>8</v>
      </c>
      <c r="C681">
        <f>[5]trip_summary_region!C681</f>
        <v>2013</v>
      </c>
      <c r="D681">
        <f>[5]trip_summary_region!D681</f>
        <v>2</v>
      </c>
      <c r="E681">
        <f>[5]trip_summary_region!E681</f>
        <v>4</v>
      </c>
      <c r="F681">
        <f>[5]trip_summary_region!F681</f>
        <v>0.22615005399999999</v>
      </c>
      <c r="G681">
        <f>[5]trip_summary_region!G681</f>
        <v>0</v>
      </c>
      <c r="H681">
        <f>[5]trip_summary_region!H681</f>
        <v>5.6537513499999997E-2</v>
      </c>
      <c r="I681" t="str">
        <f>[5]trip_summary_region!I681</f>
        <v>Local Ferry</v>
      </c>
      <c r="J681" t="str">
        <f>[5]trip_summary_region!J681</f>
        <v>2012/13</v>
      </c>
    </row>
    <row r="682" spans="1:10" x14ac:dyDescent="0.2">
      <c r="A682" t="str">
        <f>[5]trip_summary_region!A682</f>
        <v>09 WELLINGTON</v>
      </c>
      <c r="B682">
        <f>[5]trip_summary_region!B682</f>
        <v>8</v>
      </c>
      <c r="C682">
        <f>[5]trip_summary_region!C682</f>
        <v>2018</v>
      </c>
      <c r="D682">
        <f>[5]trip_summary_region!D682</f>
        <v>2</v>
      </c>
      <c r="E682">
        <f>[5]trip_summary_region!E682</f>
        <v>4</v>
      </c>
      <c r="F682">
        <f>[5]trip_summary_region!F682</f>
        <v>0.26644856049999999</v>
      </c>
      <c r="G682">
        <f>[5]trip_summary_region!G682</f>
        <v>0</v>
      </c>
      <c r="H682">
        <f>[5]trip_summary_region!H682</f>
        <v>6.6612140099999995E-2</v>
      </c>
      <c r="I682" t="str">
        <f>[5]trip_summary_region!I682</f>
        <v>Local Ferry</v>
      </c>
      <c r="J682" t="str">
        <f>[5]trip_summary_region!J682</f>
        <v>2017/18</v>
      </c>
    </row>
    <row r="683" spans="1:10" x14ac:dyDescent="0.2">
      <c r="A683" t="str">
        <f>[5]trip_summary_region!A683</f>
        <v>09 WELLINGTON</v>
      </c>
      <c r="B683">
        <f>[5]trip_summary_region!B683</f>
        <v>8</v>
      </c>
      <c r="C683">
        <f>[5]trip_summary_region!C683</f>
        <v>2023</v>
      </c>
      <c r="D683">
        <f>[5]trip_summary_region!D683</f>
        <v>2</v>
      </c>
      <c r="E683">
        <f>[5]trip_summary_region!E683</f>
        <v>4</v>
      </c>
      <c r="F683">
        <f>[5]trip_summary_region!F683</f>
        <v>0.29356523960000003</v>
      </c>
      <c r="G683">
        <f>[5]trip_summary_region!G683</f>
        <v>0</v>
      </c>
      <c r="H683">
        <f>[5]trip_summary_region!H683</f>
        <v>7.3391309900000007E-2</v>
      </c>
      <c r="I683" t="str">
        <f>[5]trip_summary_region!I683</f>
        <v>Local Ferry</v>
      </c>
      <c r="J683" t="str">
        <f>[5]trip_summary_region!J683</f>
        <v>2022/23</v>
      </c>
    </row>
    <row r="684" spans="1:10" x14ac:dyDescent="0.2">
      <c r="A684" t="str">
        <f>[5]trip_summary_region!A684</f>
        <v>09 WELLINGTON</v>
      </c>
      <c r="B684">
        <f>[5]trip_summary_region!B684</f>
        <v>8</v>
      </c>
      <c r="C684">
        <f>[5]trip_summary_region!C684</f>
        <v>2028</v>
      </c>
      <c r="D684">
        <f>[5]trip_summary_region!D684</f>
        <v>2</v>
      </c>
      <c r="E684">
        <f>[5]trip_summary_region!E684</f>
        <v>4</v>
      </c>
      <c r="F684">
        <f>[5]trip_summary_region!F684</f>
        <v>0.30321469020000003</v>
      </c>
      <c r="G684">
        <f>[5]trip_summary_region!G684</f>
        <v>0</v>
      </c>
      <c r="H684">
        <f>[5]trip_summary_region!H684</f>
        <v>7.5803672500000002E-2</v>
      </c>
      <c r="I684" t="str">
        <f>[5]trip_summary_region!I684</f>
        <v>Local Ferry</v>
      </c>
      <c r="J684" t="str">
        <f>[5]trip_summary_region!J684</f>
        <v>2027/28</v>
      </c>
    </row>
    <row r="685" spans="1:10" x14ac:dyDescent="0.2">
      <c r="A685" t="str">
        <f>[5]trip_summary_region!A685</f>
        <v>09 WELLINGTON</v>
      </c>
      <c r="B685">
        <f>[5]trip_summary_region!B685</f>
        <v>8</v>
      </c>
      <c r="C685">
        <f>[5]trip_summary_region!C685</f>
        <v>2033</v>
      </c>
      <c r="D685">
        <f>[5]trip_summary_region!D685</f>
        <v>2</v>
      </c>
      <c r="E685">
        <f>[5]trip_summary_region!E685</f>
        <v>4</v>
      </c>
      <c r="F685">
        <f>[5]trip_summary_region!F685</f>
        <v>0.31348181790000001</v>
      </c>
      <c r="G685">
        <f>[5]trip_summary_region!G685</f>
        <v>0</v>
      </c>
      <c r="H685">
        <f>[5]trip_summary_region!H685</f>
        <v>7.8370454500000006E-2</v>
      </c>
      <c r="I685" t="str">
        <f>[5]trip_summary_region!I685</f>
        <v>Local Ferry</v>
      </c>
      <c r="J685" t="str">
        <f>[5]trip_summary_region!J685</f>
        <v>2032/33</v>
      </c>
    </row>
    <row r="686" spans="1:10" x14ac:dyDescent="0.2">
      <c r="A686" t="str">
        <f>[5]trip_summary_region!A686</f>
        <v>09 WELLINGTON</v>
      </c>
      <c r="B686">
        <f>[5]trip_summary_region!B686</f>
        <v>8</v>
      </c>
      <c r="C686">
        <f>[5]trip_summary_region!C686</f>
        <v>2038</v>
      </c>
      <c r="D686">
        <f>[5]trip_summary_region!D686</f>
        <v>2</v>
      </c>
      <c r="E686">
        <f>[5]trip_summary_region!E686</f>
        <v>4</v>
      </c>
      <c r="F686">
        <f>[5]trip_summary_region!F686</f>
        <v>0.33066703419999999</v>
      </c>
      <c r="G686">
        <f>[5]trip_summary_region!G686</f>
        <v>0</v>
      </c>
      <c r="H686">
        <f>[5]trip_summary_region!H686</f>
        <v>8.2666758500000007E-2</v>
      </c>
      <c r="I686" t="str">
        <f>[5]trip_summary_region!I686</f>
        <v>Local Ferry</v>
      </c>
      <c r="J686" t="str">
        <f>[5]trip_summary_region!J686</f>
        <v>2037/38</v>
      </c>
    </row>
    <row r="687" spans="1:10" x14ac:dyDescent="0.2">
      <c r="A687" t="str">
        <f>[5]trip_summary_region!A687</f>
        <v>09 WELLINGTON</v>
      </c>
      <c r="B687">
        <f>[5]trip_summary_region!B687</f>
        <v>8</v>
      </c>
      <c r="C687">
        <f>[5]trip_summary_region!C687</f>
        <v>2043</v>
      </c>
      <c r="D687">
        <f>[5]trip_summary_region!D687</f>
        <v>2</v>
      </c>
      <c r="E687">
        <f>[5]trip_summary_region!E687</f>
        <v>4</v>
      </c>
      <c r="F687">
        <f>[5]trip_summary_region!F687</f>
        <v>0.34850375700000003</v>
      </c>
      <c r="G687">
        <f>[5]trip_summary_region!G687</f>
        <v>0</v>
      </c>
      <c r="H687">
        <f>[5]trip_summary_region!H687</f>
        <v>8.7125939299999997E-2</v>
      </c>
      <c r="I687" t="str">
        <f>[5]trip_summary_region!I687</f>
        <v>Local Ferry</v>
      </c>
      <c r="J687" t="str">
        <f>[5]trip_summary_region!J687</f>
        <v>2042/43</v>
      </c>
    </row>
    <row r="688" spans="1:10" x14ac:dyDescent="0.2">
      <c r="A688" t="str">
        <f>[5]trip_summary_region!A688</f>
        <v>09 WELLINGTON</v>
      </c>
      <c r="B688">
        <f>[5]trip_summary_region!B688</f>
        <v>9</v>
      </c>
      <c r="C688">
        <f>[5]trip_summary_region!C688</f>
        <v>2013</v>
      </c>
      <c r="D688">
        <f>[5]trip_summary_region!D688</f>
        <v>7</v>
      </c>
      <c r="E688">
        <f>[5]trip_summary_region!E688</f>
        <v>10</v>
      </c>
      <c r="F688">
        <f>[5]trip_summary_region!F688</f>
        <v>0.33422365529999998</v>
      </c>
      <c r="G688">
        <f>[5]trip_summary_region!G688</f>
        <v>0</v>
      </c>
      <c r="H688">
        <f>[5]trip_summary_region!H688</f>
        <v>0.36538599710000003</v>
      </c>
      <c r="I688" t="str">
        <f>[5]trip_summary_region!I688</f>
        <v>Other Household Travel</v>
      </c>
      <c r="J688" t="str">
        <f>[5]trip_summary_region!J688</f>
        <v>2012/13</v>
      </c>
    </row>
    <row r="689" spans="1:10" x14ac:dyDescent="0.2">
      <c r="A689" t="str">
        <f>[5]trip_summary_region!A689</f>
        <v>09 WELLINGTON</v>
      </c>
      <c r="B689">
        <f>[5]trip_summary_region!B689</f>
        <v>9</v>
      </c>
      <c r="C689">
        <f>[5]trip_summary_region!C689</f>
        <v>2018</v>
      </c>
      <c r="D689">
        <f>[5]trip_summary_region!D689</f>
        <v>7</v>
      </c>
      <c r="E689">
        <f>[5]trip_summary_region!E689</f>
        <v>10</v>
      </c>
      <c r="F689">
        <f>[5]trip_summary_region!F689</f>
        <v>0.33821973280000001</v>
      </c>
      <c r="G689">
        <f>[5]trip_summary_region!G689</f>
        <v>0</v>
      </c>
      <c r="H689">
        <f>[5]trip_summary_region!H689</f>
        <v>0.34275426180000002</v>
      </c>
      <c r="I689" t="str">
        <f>[5]trip_summary_region!I689</f>
        <v>Other Household Travel</v>
      </c>
      <c r="J689" t="str">
        <f>[5]trip_summary_region!J689</f>
        <v>2017/18</v>
      </c>
    </row>
    <row r="690" spans="1:10" x14ac:dyDescent="0.2">
      <c r="A690" t="str">
        <f>[5]trip_summary_region!A690</f>
        <v>09 WELLINGTON</v>
      </c>
      <c r="B690">
        <f>[5]trip_summary_region!B690</f>
        <v>9</v>
      </c>
      <c r="C690">
        <f>[5]trip_summary_region!C690</f>
        <v>2023</v>
      </c>
      <c r="D690">
        <f>[5]trip_summary_region!D690</f>
        <v>7</v>
      </c>
      <c r="E690">
        <f>[5]trip_summary_region!E690</f>
        <v>10</v>
      </c>
      <c r="F690">
        <f>[5]trip_summary_region!F690</f>
        <v>0.34520845900000002</v>
      </c>
      <c r="G690">
        <f>[5]trip_summary_region!G690</f>
        <v>0</v>
      </c>
      <c r="H690">
        <f>[5]trip_summary_region!H690</f>
        <v>0.35627908400000002</v>
      </c>
      <c r="I690" t="str">
        <f>[5]trip_summary_region!I690</f>
        <v>Other Household Travel</v>
      </c>
      <c r="J690" t="str">
        <f>[5]trip_summary_region!J690</f>
        <v>2022/23</v>
      </c>
    </row>
    <row r="691" spans="1:10" x14ac:dyDescent="0.2">
      <c r="A691" t="str">
        <f>[5]trip_summary_region!A691</f>
        <v>09 WELLINGTON</v>
      </c>
      <c r="B691">
        <f>[5]trip_summary_region!B691</f>
        <v>9</v>
      </c>
      <c r="C691">
        <f>[5]trip_summary_region!C691</f>
        <v>2028</v>
      </c>
      <c r="D691">
        <f>[5]trip_summary_region!D691</f>
        <v>7</v>
      </c>
      <c r="E691">
        <f>[5]trip_summary_region!E691</f>
        <v>10</v>
      </c>
      <c r="F691">
        <f>[5]trip_summary_region!F691</f>
        <v>0.34928014969999999</v>
      </c>
      <c r="G691">
        <f>[5]trip_summary_region!G691</f>
        <v>0</v>
      </c>
      <c r="H691">
        <f>[5]trip_summary_region!H691</f>
        <v>0.39793267139999999</v>
      </c>
      <c r="I691" t="str">
        <f>[5]trip_summary_region!I691</f>
        <v>Other Household Travel</v>
      </c>
      <c r="J691" t="str">
        <f>[5]trip_summary_region!J691</f>
        <v>2027/28</v>
      </c>
    </row>
    <row r="692" spans="1:10" x14ac:dyDescent="0.2">
      <c r="A692" t="str">
        <f>[5]trip_summary_region!A692</f>
        <v>09 WELLINGTON</v>
      </c>
      <c r="B692">
        <f>[5]trip_summary_region!B692</f>
        <v>9</v>
      </c>
      <c r="C692">
        <f>[5]trip_summary_region!C692</f>
        <v>2033</v>
      </c>
      <c r="D692">
        <f>[5]trip_summary_region!D692</f>
        <v>7</v>
      </c>
      <c r="E692">
        <f>[5]trip_summary_region!E692</f>
        <v>10</v>
      </c>
      <c r="F692">
        <f>[5]trip_summary_region!F692</f>
        <v>0.34266250520000002</v>
      </c>
      <c r="G692">
        <f>[5]trip_summary_region!G692</f>
        <v>0</v>
      </c>
      <c r="H692">
        <f>[5]trip_summary_region!H692</f>
        <v>0.42318565250000001</v>
      </c>
      <c r="I692" t="str">
        <f>[5]trip_summary_region!I692</f>
        <v>Other Household Travel</v>
      </c>
      <c r="J692" t="str">
        <f>[5]trip_summary_region!J692</f>
        <v>2032/33</v>
      </c>
    </row>
    <row r="693" spans="1:10" x14ac:dyDescent="0.2">
      <c r="A693" t="str">
        <f>[5]trip_summary_region!A693</f>
        <v>09 WELLINGTON</v>
      </c>
      <c r="B693">
        <f>[5]trip_summary_region!B693</f>
        <v>9</v>
      </c>
      <c r="C693">
        <f>[5]trip_summary_region!C693</f>
        <v>2038</v>
      </c>
      <c r="D693">
        <f>[5]trip_summary_region!D693</f>
        <v>7</v>
      </c>
      <c r="E693">
        <f>[5]trip_summary_region!E693</f>
        <v>10</v>
      </c>
      <c r="F693">
        <f>[5]trip_summary_region!F693</f>
        <v>0.34017447550000002</v>
      </c>
      <c r="G693">
        <f>[5]trip_summary_region!G693</f>
        <v>0</v>
      </c>
      <c r="H693">
        <f>[5]trip_summary_region!H693</f>
        <v>0.41536302619999999</v>
      </c>
      <c r="I693" t="str">
        <f>[5]trip_summary_region!I693</f>
        <v>Other Household Travel</v>
      </c>
      <c r="J693" t="str">
        <f>[5]trip_summary_region!J693</f>
        <v>2037/38</v>
      </c>
    </row>
    <row r="694" spans="1:10" x14ac:dyDescent="0.2">
      <c r="A694" t="str">
        <f>[5]trip_summary_region!A694</f>
        <v>09 WELLINGTON</v>
      </c>
      <c r="B694">
        <f>[5]trip_summary_region!B694</f>
        <v>9</v>
      </c>
      <c r="C694">
        <f>[5]trip_summary_region!C694</f>
        <v>2043</v>
      </c>
      <c r="D694">
        <f>[5]trip_summary_region!D694</f>
        <v>7</v>
      </c>
      <c r="E694">
        <f>[5]trip_summary_region!E694</f>
        <v>10</v>
      </c>
      <c r="F694">
        <f>[5]trip_summary_region!F694</f>
        <v>0.33545960260000002</v>
      </c>
      <c r="G694">
        <f>[5]trip_summary_region!G694</f>
        <v>0</v>
      </c>
      <c r="H694">
        <f>[5]trip_summary_region!H694</f>
        <v>0.40481265640000003</v>
      </c>
      <c r="I694" t="str">
        <f>[5]trip_summary_region!I694</f>
        <v>Other Household Travel</v>
      </c>
      <c r="J694" t="str">
        <f>[5]trip_summary_region!J694</f>
        <v>2042/43</v>
      </c>
    </row>
    <row r="695" spans="1:10" x14ac:dyDescent="0.2">
      <c r="A695" t="str">
        <f>[5]trip_summary_region!A695</f>
        <v>09 WELLINGTON</v>
      </c>
      <c r="B695">
        <f>[5]trip_summary_region!B695</f>
        <v>10</v>
      </c>
      <c r="C695">
        <f>[5]trip_summary_region!C695</f>
        <v>2013</v>
      </c>
      <c r="D695">
        <f>[5]trip_summary_region!D695</f>
        <v>44</v>
      </c>
      <c r="E695">
        <f>[5]trip_summary_region!E695</f>
        <v>59</v>
      </c>
      <c r="F695">
        <f>[5]trip_summary_region!F695</f>
        <v>2.6590020702000001</v>
      </c>
      <c r="G695">
        <f>[5]trip_summary_region!G695</f>
        <v>67.715118274999995</v>
      </c>
      <c r="H695">
        <f>[5]trip_summary_region!H695</f>
        <v>5.4178011538000002</v>
      </c>
      <c r="I695" t="str">
        <f>[5]trip_summary_region!I695</f>
        <v>Air/Non-Local PT</v>
      </c>
      <c r="J695" t="str">
        <f>[5]trip_summary_region!J695</f>
        <v>2012/13</v>
      </c>
    </row>
    <row r="696" spans="1:10" x14ac:dyDescent="0.2">
      <c r="A696" t="str">
        <f>[5]trip_summary_region!A696</f>
        <v>09 WELLINGTON</v>
      </c>
      <c r="B696">
        <f>[5]trip_summary_region!B696</f>
        <v>10</v>
      </c>
      <c r="C696">
        <f>[5]trip_summary_region!C696</f>
        <v>2018</v>
      </c>
      <c r="D696">
        <f>[5]trip_summary_region!D696</f>
        <v>44</v>
      </c>
      <c r="E696">
        <f>[5]trip_summary_region!E696</f>
        <v>59</v>
      </c>
      <c r="F696">
        <f>[5]trip_summary_region!F696</f>
        <v>2.8710897917999998</v>
      </c>
      <c r="G696">
        <f>[5]trip_summary_region!G696</f>
        <v>79.116258962000003</v>
      </c>
      <c r="H696">
        <f>[5]trip_summary_region!H696</f>
        <v>5.9343550265999996</v>
      </c>
      <c r="I696" t="str">
        <f>[5]trip_summary_region!I696</f>
        <v>Air/Non-Local PT</v>
      </c>
      <c r="J696" t="str">
        <f>[5]trip_summary_region!J696</f>
        <v>2017/18</v>
      </c>
    </row>
    <row r="697" spans="1:10" x14ac:dyDescent="0.2">
      <c r="A697" t="str">
        <f>[5]trip_summary_region!A697</f>
        <v>09 WELLINGTON</v>
      </c>
      <c r="B697">
        <f>[5]trip_summary_region!B697</f>
        <v>10</v>
      </c>
      <c r="C697">
        <f>[5]trip_summary_region!C697</f>
        <v>2023</v>
      </c>
      <c r="D697">
        <f>[5]trip_summary_region!D697</f>
        <v>44</v>
      </c>
      <c r="E697">
        <f>[5]trip_summary_region!E697</f>
        <v>59</v>
      </c>
      <c r="F697">
        <f>[5]trip_summary_region!F697</f>
        <v>3.0765514006000001</v>
      </c>
      <c r="G697">
        <f>[5]trip_summary_region!G697</f>
        <v>87.939174520999998</v>
      </c>
      <c r="H697">
        <f>[5]trip_summary_region!H697</f>
        <v>6.4863082568000001</v>
      </c>
      <c r="I697" t="str">
        <f>[5]trip_summary_region!I697</f>
        <v>Air/Non-Local PT</v>
      </c>
      <c r="J697" t="str">
        <f>[5]trip_summary_region!J697</f>
        <v>2022/23</v>
      </c>
    </row>
    <row r="698" spans="1:10" x14ac:dyDescent="0.2">
      <c r="A698" t="str">
        <f>[5]trip_summary_region!A698</f>
        <v>09 WELLINGTON</v>
      </c>
      <c r="B698">
        <f>[5]trip_summary_region!B698</f>
        <v>10</v>
      </c>
      <c r="C698">
        <f>[5]trip_summary_region!C698</f>
        <v>2028</v>
      </c>
      <c r="D698">
        <f>[5]trip_summary_region!D698</f>
        <v>44</v>
      </c>
      <c r="E698">
        <f>[5]trip_summary_region!E698</f>
        <v>59</v>
      </c>
      <c r="F698">
        <f>[5]trip_summary_region!F698</f>
        <v>3.2618609505</v>
      </c>
      <c r="G698">
        <f>[5]trip_summary_region!G698</f>
        <v>94.576790231000004</v>
      </c>
      <c r="H698">
        <f>[5]trip_summary_region!H698</f>
        <v>7.0153096822999998</v>
      </c>
      <c r="I698" t="str">
        <f>[5]trip_summary_region!I698</f>
        <v>Air/Non-Local PT</v>
      </c>
      <c r="J698" t="str">
        <f>[5]trip_summary_region!J698</f>
        <v>2027/28</v>
      </c>
    </row>
    <row r="699" spans="1:10" x14ac:dyDescent="0.2">
      <c r="A699" t="str">
        <f>[5]trip_summary_region!A699</f>
        <v>09 WELLINGTON</v>
      </c>
      <c r="B699">
        <f>[5]trip_summary_region!B699</f>
        <v>10</v>
      </c>
      <c r="C699">
        <f>[5]trip_summary_region!C699</f>
        <v>2033</v>
      </c>
      <c r="D699">
        <f>[5]trip_summary_region!D699</f>
        <v>44</v>
      </c>
      <c r="E699">
        <f>[5]trip_summary_region!E699</f>
        <v>59</v>
      </c>
      <c r="F699">
        <f>[5]trip_summary_region!F699</f>
        <v>3.3784949540000002</v>
      </c>
      <c r="G699">
        <f>[5]trip_summary_region!G699</f>
        <v>98.380459169000005</v>
      </c>
      <c r="H699">
        <f>[5]trip_summary_region!H699</f>
        <v>7.3381316915000001</v>
      </c>
      <c r="I699" t="str">
        <f>[5]trip_summary_region!I699</f>
        <v>Air/Non-Local PT</v>
      </c>
      <c r="J699" t="str">
        <f>[5]trip_summary_region!J699</f>
        <v>2032/33</v>
      </c>
    </row>
    <row r="700" spans="1:10" x14ac:dyDescent="0.2">
      <c r="A700" t="str">
        <f>[5]trip_summary_region!A700</f>
        <v>09 WELLINGTON</v>
      </c>
      <c r="B700">
        <f>[5]trip_summary_region!B700</f>
        <v>10</v>
      </c>
      <c r="C700">
        <f>[5]trip_summary_region!C700</f>
        <v>2038</v>
      </c>
      <c r="D700">
        <f>[5]trip_summary_region!D700</f>
        <v>44</v>
      </c>
      <c r="E700">
        <f>[5]trip_summary_region!E700</f>
        <v>59</v>
      </c>
      <c r="F700">
        <f>[5]trip_summary_region!F700</f>
        <v>3.4129784623999999</v>
      </c>
      <c r="G700">
        <f>[5]trip_summary_region!G700</f>
        <v>100.55529558000001</v>
      </c>
      <c r="H700">
        <f>[5]trip_summary_region!H700</f>
        <v>7.4156492580000002</v>
      </c>
      <c r="I700" t="str">
        <f>[5]trip_summary_region!I700</f>
        <v>Air/Non-Local PT</v>
      </c>
      <c r="J700" t="str">
        <f>[5]trip_summary_region!J700</f>
        <v>2037/38</v>
      </c>
    </row>
    <row r="701" spans="1:10" x14ac:dyDescent="0.2">
      <c r="A701" t="str">
        <f>[5]trip_summary_region!A701</f>
        <v>09 WELLINGTON</v>
      </c>
      <c r="B701">
        <f>[5]trip_summary_region!B701</f>
        <v>10</v>
      </c>
      <c r="C701">
        <f>[5]trip_summary_region!C701</f>
        <v>2043</v>
      </c>
      <c r="D701">
        <f>[5]trip_summary_region!D701</f>
        <v>44</v>
      </c>
      <c r="E701">
        <f>[5]trip_summary_region!E701</f>
        <v>59</v>
      </c>
      <c r="F701">
        <f>[5]trip_summary_region!F701</f>
        <v>3.4300480227999999</v>
      </c>
      <c r="G701">
        <f>[5]trip_summary_region!G701</f>
        <v>102.44185210000001</v>
      </c>
      <c r="H701">
        <f>[5]trip_summary_region!H701</f>
        <v>7.4554295731</v>
      </c>
      <c r="I701" t="str">
        <f>[5]trip_summary_region!I701</f>
        <v>Air/Non-Local PT</v>
      </c>
      <c r="J701" t="str">
        <f>[5]trip_summary_region!J701</f>
        <v>2042/43</v>
      </c>
    </row>
    <row r="702" spans="1:10" x14ac:dyDescent="0.2">
      <c r="A702" t="str">
        <f>[5]trip_summary_region!A702</f>
        <v>09 WELLINGTON</v>
      </c>
      <c r="B702">
        <f>[5]trip_summary_region!B702</f>
        <v>11</v>
      </c>
      <c r="C702">
        <f>[5]trip_summary_region!C702</f>
        <v>2013</v>
      </c>
      <c r="D702">
        <f>[5]trip_summary_region!D702</f>
        <v>22</v>
      </c>
      <c r="E702">
        <f>[5]trip_summary_region!E702</f>
        <v>115</v>
      </c>
      <c r="F702">
        <f>[5]trip_summary_region!F702</f>
        <v>5.4599503292999998</v>
      </c>
      <c r="G702">
        <f>[5]trip_summary_region!G702</f>
        <v>100.96436647</v>
      </c>
      <c r="H702">
        <f>[5]trip_summary_region!H702</f>
        <v>1.9758448391000001</v>
      </c>
      <c r="I702" t="str">
        <f>[5]trip_summary_region!I702</f>
        <v>Non-Household Travel</v>
      </c>
      <c r="J702" t="str">
        <f>[5]trip_summary_region!J702</f>
        <v>2012/13</v>
      </c>
    </row>
    <row r="703" spans="1:10" x14ac:dyDescent="0.2">
      <c r="A703" t="str">
        <f>[5]trip_summary_region!A703</f>
        <v>09 WELLINGTON</v>
      </c>
      <c r="B703">
        <f>[5]trip_summary_region!B703</f>
        <v>11</v>
      </c>
      <c r="C703">
        <f>[5]trip_summary_region!C703</f>
        <v>2018</v>
      </c>
      <c r="D703">
        <f>[5]trip_summary_region!D703</f>
        <v>22</v>
      </c>
      <c r="E703">
        <f>[5]trip_summary_region!E703</f>
        <v>115</v>
      </c>
      <c r="F703">
        <f>[5]trip_summary_region!F703</f>
        <v>5.65413985</v>
      </c>
      <c r="G703">
        <f>[5]trip_summary_region!G703</f>
        <v>114.8172015</v>
      </c>
      <c r="H703">
        <f>[5]trip_summary_region!H703</f>
        <v>2.1944772420000001</v>
      </c>
      <c r="I703" t="str">
        <f>[5]trip_summary_region!I703</f>
        <v>Non-Household Travel</v>
      </c>
      <c r="J703" t="str">
        <f>[5]trip_summary_region!J703</f>
        <v>2017/18</v>
      </c>
    </row>
    <row r="704" spans="1:10" x14ac:dyDescent="0.2">
      <c r="A704" t="str">
        <f>[5]trip_summary_region!A704</f>
        <v>09 WELLINGTON</v>
      </c>
      <c r="B704">
        <f>[5]trip_summary_region!B704</f>
        <v>11</v>
      </c>
      <c r="C704">
        <f>[5]trip_summary_region!C704</f>
        <v>2023</v>
      </c>
      <c r="D704">
        <f>[5]trip_summary_region!D704</f>
        <v>22</v>
      </c>
      <c r="E704">
        <f>[5]trip_summary_region!E704</f>
        <v>115</v>
      </c>
      <c r="F704">
        <f>[5]trip_summary_region!F704</f>
        <v>5.6992245069000003</v>
      </c>
      <c r="G704">
        <f>[5]trip_summary_region!G704</f>
        <v>122.25507487</v>
      </c>
      <c r="H704">
        <f>[5]trip_summary_region!H704</f>
        <v>2.3066151080999999</v>
      </c>
      <c r="I704" t="str">
        <f>[5]trip_summary_region!I704</f>
        <v>Non-Household Travel</v>
      </c>
      <c r="J704" t="str">
        <f>[5]trip_summary_region!J704</f>
        <v>2022/23</v>
      </c>
    </row>
    <row r="705" spans="1:10" x14ac:dyDescent="0.2">
      <c r="A705" t="str">
        <f>[5]trip_summary_region!A705</f>
        <v>09 WELLINGTON</v>
      </c>
      <c r="B705">
        <f>[5]trip_summary_region!B705</f>
        <v>11</v>
      </c>
      <c r="C705">
        <f>[5]trip_summary_region!C705</f>
        <v>2028</v>
      </c>
      <c r="D705">
        <f>[5]trip_summary_region!D705</f>
        <v>22</v>
      </c>
      <c r="E705">
        <f>[5]trip_summary_region!E705</f>
        <v>115</v>
      </c>
      <c r="F705">
        <f>[5]trip_summary_region!F705</f>
        <v>5.6763564341999997</v>
      </c>
      <c r="G705">
        <f>[5]trip_summary_region!G705</f>
        <v>124.13831163</v>
      </c>
      <c r="H705">
        <f>[5]trip_summary_region!H705</f>
        <v>2.3245727718000002</v>
      </c>
      <c r="I705" t="str">
        <f>[5]trip_summary_region!I705</f>
        <v>Non-Household Travel</v>
      </c>
      <c r="J705" t="str">
        <f>[5]trip_summary_region!J705</f>
        <v>2027/28</v>
      </c>
    </row>
    <row r="706" spans="1:10" x14ac:dyDescent="0.2">
      <c r="A706" t="str">
        <f>[5]trip_summary_region!A706</f>
        <v>09 WELLINGTON</v>
      </c>
      <c r="B706">
        <f>[5]trip_summary_region!B706</f>
        <v>11</v>
      </c>
      <c r="C706">
        <f>[5]trip_summary_region!C706</f>
        <v>2033</v>
      </c>
      <c r="D706">
        <f>[5]trip_summary_region!D706</f>
        <v>22</v>
      </c>
      <c r="E706">
        <f>[5]trip_summary_region!E706</f>
        <v>115</v>
      </c>
      <c r="F706">
        <f>[5]trip_summary_region!F706</f>
        <v>5.7491834899000001</v>
      </c>
      <c r="G706">
        <f>[5]trip_summary_region!G706</f>
        <v>124.50463849</v>
      </c>
      <c r="H706">
        <f>[5]trip_summary_region!H706</f>
        <v>2.3439009941000002</v>
      </c>
      <c r="I706" t="str">
        <f>[5]trip_summary_region!I706</f>
        <v>Non-Household Travel</v>
      </c>
      <c r="J706" t="str">
        <f>[5]trip_summary_region!J706</f>
        <v>2032/33</v>
      </c>
    </row>
    <row r="707" spans="1:10" x14ac:dyDescent="0.2">
      <c r="A707" t="str">
        <f>[5]trip_summary_region!A707</f>
        <v>09 WELLINGTON</v>
      </c>
      <c r="B707">
        <f>[5]trip_summary_region!B707</f>
        <v>11</v>
      </c>
      <c r="C707">
        <f>[5]trip_summary_region!C707</f>
        <v>2038</v>
      </c>
      <c r="D707">
        <f>[5]trip_summary_region!D707</f>
        <v>22</v>
      </c>
      <c r="E707">
        <f>[5]trip_summary_region!E707</f>
        <v>115</v>
      </c>
      <c r="F707">
        <f>[5]trip_summary_region!F707</f>
        <v>5.9159738944000004</v>
      </c>
      <c r="G707">
        <f>[5]trip_summary_region!G707</f>
        <v>126.89965497999999</v>
      </c>
      <c r="H707">
        <f>[5]trip_summary_region!H707</f>
        <v>2.4143817348000001</v>
      </c>
      <c r="I707" t="str">
        <f>[5]trip_summary_region!I707</f>
        <v>Non-Household Travel</v>
      </c>
      <c r="J707" t="str">
        <f>[5]trip_summary_region!J707</f>
        <v>2037/38</v>
      </c>
    </row>
    <row r="708" spans="1:10" x14ac:dyDescent="0.2">
      <c r="A708" t="str">
        <f>[5]trip_summary_region!A708</f>
        <v>09 WELLINGTON</v>
      </c>
      <c r="B708">
        <f>[5]trip_summary_region!B708</f>
        <v>11</v>
      </c>
      <c r="C708">
        <f>[5]trip_summary_region!C708</f>
        <v>2043</v>
      </c>
      <c r="D708">
        <f>[5]trip_summary_region!D708</f>
        <v>22</v>
      </c>
      <c r="E708">
        <f>[5]trip_summary_region!E708</f>
        <v>115</v>
      </c>
      <c r="F708">
        <f>[5]trip_summary_region!F708</f>
        <v>6.1043932312999996</v>
      </c>
      <c r="G708">
        <f>[5]trip_summary_region!G708</f>
        <v>129.52517130999999</v>
      </c>
      <c r="H708">
        <f>[5]trip_summary_region!H708</f>
        <v>2.4895480445999998</v>
      </c>
      <c r="I708" t="str">
        <f>[5]trip_summary_region!I708</f>
        <v>Non-Household Travel</v>
      </c>
      <c r="J708" t="str">
        <f>[5]trip_summary_region!J708</f>
        <v>2042/43</v>
      </c>
    </row>
    <row r="709" spans="1:10" x14ac:dyDescent="0.2">
      <c r="A709" t="str">
        <f>[5]trip_summary_region!A709</f>
        <v>10 NELS-MARLB-TAS</v>
      </c>
      <c r="B709">
        <f>[5]trip_summary_region!B709</f>
        <v>0</v>
      </c>
      <c r="C709">
        <f>[5]trip_summary_region!C709</f>
        <v>2013</v>
      </c>
      <c r="D709">
        <f>[5]trip_summary_region!D709</f>
        <v>333</v>
      </c>
      <c r="E709">
        <f>[5]trip_summary_region!E709</f>
        <v>1184</v>
      </c>
      <c r="F709">
        <f>[5]trip_summary_region!F709</f>
        <v>34.609993433</v>
      </c>
      <c r="G709">
        <f>[5]trip_summary_region!G709</f>
        <v>28.582749250999999</v>
      </c>
      <c r="H709">
        <f>[5]trip_summary_region!H709</f>
        <v>7.2640217022</v>
      </c>
      <c r="I709" t="str">
        <f>[5]trip_summary_region!I709</f>
        <v>Pedestrian</v>
      </c>
      <c r="J709" t="str">
        <f>[5]trip_summary_region!J709</f>
        <v>2012/13</v>
      </c>
    </row>
    <row r="710" spans="1:10" x14ac:dyDescent="0.2">
      <c r="A710" t="str">
        <f>[5]trip_summary_region!A710</f>
        <v>10 NELS-MARLB-TAS</v>
      </c>
      <c r="B710">
        <f>[5]trip_summary_region!B710</f>
        <v>0</v>
      </c>
      <c r="C710">
        <f>[5]trip_summary_region!C710</f>
        <v>2018</v>
      </c>
      <c r="D710">
        <f>[5]trip_summary_region!D710</f>
        <v>333</v>
      </c>
      <c r="E710">
        <f>[5]trip_summary_region!E710</f>
        <v>1184</v>
      </c>
      <c r="F710">
        <f>[5]trip_summary_region!F710</f>
        <v>35.739429977</v>
      </c>
      <c r="G710">
        <f>[5]trip_summary_region!G710</f>
        <v>29.487039233000001</v>
      </c>
      <c r="H710">
        <f>[5]trip_summary_region!H710</f>
        <v>7.4869509170999997</v>
      </c>
      <c r="I710" t="str">
        <f>[5]trip_summary_region!I710</f>
        <v>Pedestrian</v>
      </c>
      <c r="J710" t="str">
        <f>[5]trip_summary_region!J710</f>
        <v>2017/18</v>
      </c>
    </row>
    <row r="711" spans="1:10" x14ac:dyDescent="0.2">
      <c r="A711" t="str">
        <f>[5]trip_summary_region!A711</f>
        <v>10 NELS-MARLB-TAS</v>
      </c>
      <c r="B711">
        <f>[5]trip_summary_region!B711</f>
        <v>0</v>
      </c>
      <c r="C711">
        <f>[5]trip_summary_region!C711</f>
        <v>2023</v>
      </c>
      <c r="D711">
        <f>[5]trip_summary_region!D711</f>
        <v>333</v>
      </c>
      <c r="E711">
        <f>[5]trip_summary_region!E711</f>
        <v>1184</v>
      </c>
      <c r="F711">
        <f>[5]trip_summary_region!F711</f>
        <v>36.836215271999997</v>
      </c>
      <c r="G711">
        <f>[5]trip_summary_region!G711</f>
        <v>30.493250413999998</v>
      </c>
      <c r="H711">
        <f>[5]trip_summary_region!H711</f>
        <v>7.7382291097999998</v>
      </c>
      <c r="I711" t="str">
        <f>[5]trip_summary_region!I711</f>
        <v>Pedestrian</v>
      </c>
      <c r="J711" t="str">
        <f>[5]trip_summary_region!J711</f>
        <v>2022/23</v>
      </c>
    </row>
    <row r="712" spans="1:10" x14ac:dyDescent="0.2">
      <c r="A712" t="str">
        <f>[5]trip_summary_region!A712</f>
        <v>10 NELS-MARLB-TAS</v>
      </c>
      <c r="B712">
        <f>[5]trip_summary_region!B712</f>
        <v>0</v>
      </c>
      <c r="C712">
        <f>[5]trip_summary_region!C712</f>
        <v>2028</v>
      </c>
      <c r="D712">
        <f>[5]trip_summary_region!D712</f>
        <v>333</v>
      </c>
      <c r="E712">
        <f>[5]trip_summary_region!E712</f>
        <v>1184</v>
      </c>
      <c r="F712">
        <f>[5]trip_summary_region!F712</f>
        <v>37.991627766000001</v>
      </c>
      <c r="G712">
        <f>[5]trip_summary_region!G712</f>
        <v>31.764734746999999</v>
      </c>
      <c r="H712">
        <f>[5]trip_summary_region!H712</f>
        <v>8.0388537298999996</v>
      </c>
      <c r="I712" t="str">
        <f>[5]trip_summary_region!I712</f>
        <v>Pedestrian</v>
      </c>
      <c r="J712" t="str">
        <f>[5]trip_summary_region!J712</f>
        <v>2027/28</v>
      </c>
    </row>
    <row r="713" spans="1:10" x14ac:dyDescent="0.2">
      <c r="A713" t="str">
        <f>[5]trip_summary_region!A713</f>
        <v>10 NELS-MARLB-TAS</v>
      </c>
      <c r="B713">
        <f>[5]trip_summary_region!B713</f>
        <v>0</v>
      </c>
      <c r="C713">
        <f>[5]trip_summary_region!C713</f>
        <v>2033</v>
      </c>
      <c r="D713">
        <f>[5]trip_summary_region!D713</f>
        <v>333</v>
      </c>
      <c r="E713">
        <f>[5]trip_summary_region!E713</f>
        <v>1184</v>
      </c>
      <c r="F713">
        <f>[5]trip_summary_region!F713</f>
        <v>38.390554428999998</v>
      </c>
      <c r="G713">
        <f>[5]trip_summary_region!G713</f>
        <v>32.467291529000001</v>
      </c>
      <c r="H713">
        <f>[5]trip_summary_region!H713</f>
        <v>8.1712114590000002</v>
      </c>
      <c r="I713" t="str">
        <f>[5]trip_summary_region!I713</f>
        <v>Pedestrian</v>
      </c>
      <c r="J713" t="str">
        <f>[5]trip_summary_region!J713</f>
        <v>2032/33</v>
      </c>
    </row>
    <row r="714" spans="1:10" x14ac:dyDescent="0.2">
      <c r="A714" t="str">
        <f>[5]trip_summary_region!A714</f>
        <v>10 NELS-MARLB-TAS</v>
      </c>
      <c r="B714">
        <f>[5]trip_summary_region!B714</f>
        <v>0</v>
      </c>
      <c r="C714">
        <f>[5]trip_summary_region!C714</f>
        <v>2038</v>
      </c>
      <c r="D714">
        <f>[5]trip_summary_region!D714</f>
        <v>333</v>
      </c>
      <c r="E714">
        <f>[5]trip_summary_region!E714</f>
        <v>1184</v>
      </c>
      <c r="F714">
        <f>[5]trip_summary_region!F714</f>
        <v>38.361479203000002</v>
      </c>
      <c r="G714">
        <f>[5]trip_summary_region!G714</f>
        <v>32.538125057999999</v>
      </c>
      <c r="H714">
        <f>[5]trip_summary_region!H714</f>
        <v>8.1488084288000007</v>
      </c>
      <c r="I714" t="str">
        <f>[5]trip_summary_region!I714</f>
        <v>Pedestrian</v>
      </c>
      <c r="J714" t="str">
        <f>[5]trip_summary_region!J714</f>
        <v>2037/38</v>
      </c>
    </row>
    <row r="715" spans="1:10" x14ac:dyDescent="0.2">
      <c r="A715" t="str">
        <f>[5]trip_summary_region!A715</f>
        <v>10 NELS-MARLB-TAS</v>
      </c>
      <c r="B715">
        <f>[5]trip_summary_region!B715</f>
        <v>0</v>
      </c>
      <c r="C715">
        <f>[5]trip_summary_region!C715</f>
        <v>2043</v>
      </c>
      <c r="D715">
        <f>[5]trip_summary_region!D715</f>
        <v>333</v>
      </c>
      <c r="E715">
        <f>[5]trip_summary_region!E715</f>
        <v>1184</v>
      </c>
      <c r="F715">
        <f>[5]trip_summary_region!F715</f>
        <v>38.169145102000002</v>
      </c>
      <c r="G715">
        <f>[5]trip_summary_region!G715</f>
        <v>32.44515225</v>
      </c>
      <c r="H715">
        <f>[5]trip_summary_region!H715</f>
        <v>8.0772329497000008</v>
      </c>
      <c r="I715" t="str">
        <f>[5]trip_summary_region!I715</f>
        <v>Pedestrian</v>
      </c>
      <c r="J715" t="str">
        <f>[5]trip_summary_region!J715</f>
        <v>2042/43</v>
      </c>
    </row>
    <row r="716" spans="1:10" x14ac:dyDescent="0.2">
      <c r="A716" t="str">
        <f>[5]trip_summary_region!A716</f>
        <v>10 NELS-MARLB-TAS</v>
      </c>
      <c r="B716">
        <f>[5]trip_summary_region!B716</f>
        <v>1</v>
      </c>
      <c r="C716">
        <f>[5]trip_summary_region!C716</f>
        <v>2013</v>
      </c>
      <c r="D716">
        <f>[5]trip_summary_region!D716</f>
        <v>42</v>
      </c>
      <c r="E716">
        <f>[5]trip_summary_region!E716</f>
        <v>121</v>
      </c>
      <c r="F716">
        <f>[5]trip_summary_region!F716</f>
        <v>2.9519642961999999</v>
      </c>
      <c r="G716">
        <f>[5]trip_summary_region!G716</f>
        <v>10.809874027999999</v>
      </c>
      <c r="H716">
        <f>[5]trip_summary_region!H716</f>
        <v>1.0417220854</v>
      </c>
      <c r="I716" t="str">
        <f>[5]trip_summary_region!I716</f>
        <v>Cyclist</v>
      </c>
      <c r="J716" t="str">
        <f>[5]trip_summary_region!J716</f>
        <v>2012/13</v>
      </c>
    </row>
    <row r="717" spans="1:10" x14ac:dyDescent="0.2">
      <c r="A717" t="str">
        <f>[5]trip_summary_region!A717</f>
        <v>10 NELS-MARLB-TAS</v>
      </c>
      <c r="B717">
        <f>[5]trip_summary_region!B717</f>
        <v>1</v>
      </c>
      <c r="C717">
        <f>[5]trip_summary_region!C717</f>
        <v>2018</v>
      </c>
      <c r="D717">
        <f>[5]trip_summary_region!D717</f>
        <v>42</v>
      </c>
      <c r="E717">
        <f>[5]trip_summary_region!E717</f>
        <v>121</v>
      </c>
      <c r="F717">
        <f>[5]trip_summary_region!F717</f>
        <v>2.9272629232999998</v>
      </c>
      <c r="G717">
        <f>[5]trip_summary_region!G717</f>
        <v>11.025910378000001</v>
      </c>
      <c r="H717">
        <f>[5]trip_summary_region!H717</f>
        <v>1.0512672296000001</v>
      </c>
      <c r="I717" t="str">
        <f>[5]trip_summary_region!I717</f>
        <v>Cyclist</v>
      </c>
      <c r="J717" t="str">
        <f>[5]trip_summary_region!J717</f>
        <v>2017/18</v>
      </c>
    </row>
    <row r="718" spans="1:10" x14ac:dyDescent="0.2">
      <c r="A718" t="str">
        <f>[5]trip_summary_region!A718</f>
        <v>10 NELS-MARLB-TAS</v>
      </c>
      <c r="B718">
        <f>[5]trip_summary_region!B718</f>
        <v>1</v>
      </c>
      <c r="C718">
        <f>[5]trip_summary_region!C718</f>
        <v>2023</v>
      </c>
      <c r="D718">
        <f>[5]trip_summary_region!D718</f>
        <v>42</v>
      </c>
      <c r="E718">
        <f>[5]trip_summary_region!E718</f>
        <v>121</v>
      </c>
      <c r="F718">
        <f>[5]trip_summary_region!F718</f>
        <v>2.9601852376000002</v>
      </c>
      <c r="G718">
        <f>[5]trip_summary_region!G718</f>
        <v>11.263563236</v>
      </c>
      <c r="H718">
        <f>[5]trip_summary_region!H718</f>
        <v>1.0825931442000001</v>
      </c>
      <c r="I718" t="str">
        <f>[5]trip_summary_region!I718</f>
        <v>Cyclist</v>
      </c>
      <c r="J718" t="str">
        <f>[5]trip_summary_region!J718</f>
        <v>2022/23</v>
      </c>
    </row>
    <row r="719" spans="1:10" x14ac:dyDescent="0.2">
      <c r="A719" t="str">
        <f>[5]trip_summary_region!A719</f>
        <v>10 NELS-MARLB-TAS</v>
      </c>
      <c r="B719">
        <f>[5]trip_summary_region!B719</f>
        <v>1</v>
      </c>
      <c r="C719">
        <f>[5]trip_summary_region!C719</f>
        <v>2028</v>
      </c>
      <c r="D719">
        <f>[5]trip_summary_region!D719</f>
        <v>42</v>
      </c>
      <c r="E719">
        <f>[5]trip_summary_region!E719</f>
        <v>121</v>
      </c>
      <c r="F719">
        <f>[5]trip_summary_region!F719</f>
        <v>3.0514857581000001</v>
      </c>
      <c r="G719">
        <f>[5]trip_summary_region!G719</f>
        <v>11.436236825</v>
      </c>
      <c r="H719">
        <f>[5]trip_summary_region!H719</f>
        <v>1.1176479324999999</v>
      </c>
      <c r="I719" t="str">
        <f>[5]trip_summary_region!I719</f>
        <v>Cyclist</v>
      </c>
      <c r="J719" t="str">
        <f>[5]trip_summary_region!J719</f>
        <v>2027/28</v>
      </c>
    </row>
    <row r="720" spans="1:10" x14ac:dyDescent="0.2">
      <c r="A720" t="str">
        <f>[5]trip_summary_region!A720</f>
        <v>10 NELS-MARLB-TAS</v>
      </c>
      <c r="B720">
        <f>[5]trip_summary_region!B720</f>
        <v>1</v>
      </c>
      <c r="C720">
        <f>[5]trip_summary_region!C720</f>
        <v>2033</v>
      </c>
      <c r="D720">
        <f>[5]trip_summary_region!D720</f>
        <v>42</v>
      </c>
      <c r="E720">
        <f>[5]trip_summary_region!E720</f>
        <v>121</v>
      </c>
      <c r="F720">
        <f>[5]trip_summary_region!F720</f>
        <v>3.1478205416999998</v>
      </c>
      <c r="G720">
        <f>[5]trip_summary_region!G720</f>
        <v>11.750432175</v>
      </c>
      <c r="H720">
        <f>[5]trip_summary_region!H720</f>
        <v>1.1480287511</v>
      </c>
      <c r="I720" t="str">
        <f>[5]trip_summary_region!I720</f>
        <v>Cyclist</v>
      </c>
      <c r="J720" t="str">
        <f>[5]trip_summary_region!J720</f>
        <v>2032/33</v>
      </c>
    </row>
    <row r="721" spans="1:10" x14ac:dyDescent="0.2">
      <c r="A721" t="str">
        <f>[5]trip_summary_region!A721</f>
        <v>10 NELS-MARLB-TAS</v>
      </c>
      <c r="B721">
        <f>[5]trip_summary_region!B721</f>
        <v>1</v>
      </c>
      <c r="C721">
        <f>[5]trip_summary_region!C721</f>
        <v>2038</v>
      </c>
      <c r="D721">
        <f>[5]trip_summary_region!D721</f>
        <v>42</v>
      </c>
      <c r="E721">
        <f>[5]trip_summary_region!E721</f>
        <v>121</v>
      </c>
      <c r="F721">
        <f>[5]trip_summary_region!F721</f>
        <v>3.2322538525</v>
      </c>
      <c r="G721">
        <f>[5]trip_summary_region!G721</f>
        <v>12.267119198</v>
      </c>
      <c r="H721">
        <f>[5]trip_summary_region!H721</f>
        <v>1.1823073119</v>
      </c>
      <c r="I721" t="str">
        <f>[5]trip_summary_region!I721</f>
        <v>Cyclist</v>
      </c>
      <c r="J721" t="str">
        <f>[5]trip_summary_region!J721</f>
        <v>2037/38</v>
      </c>
    </row>
    <row r="722" spans="1:10" x14ac:dyDescent="0.2">
      <c r="A722" t="str">
        <f>[5]trip_summary_region!A722</f>
        <v>10 NELS-MARLB-TAS</v>
      </c>
      <c r="B722">
        <f>[5]trip_summary_region!B722</f>
        <v>1</v>
      </c>
      <c r="C722">
        <f>[5]trip_summary_region!C722</f>
        <v>2043</v>
      </c>
      <c r="D722">
        <f>[5]trip_summary_region!D722</f>
        <v>42</v>
      </c>
      <c r="E722">
        <f>[5]trip_summary_region!E722</f>
        <v>121</v>
      </c>
      <c r="F722">
        <f>[5]trip_summary_region!F722</f>
        <v>3.3078283426000001</v>
      </c>
      <c r="G722">
        <f>[5]trip_summary_region!G722</f>
        <v>12.799462023</v>
      </c>
      <c r="H722">
        <f>[5]trip_summary_region!H722</f>
        <v>1.2148336276</v>
      </c>
      <c r="I722" t="str">
        <f>[5]trip_summary_region!I722</f>
        <v>Cyclist</v>
      </c>
      <c r="J722" t="str">
        <f>[5]trip_summary_region!J722</f>
        <v>2042/43</v>
      </c>
    </row>
    <row r="723" spans="1:10" x14ac:dyDescent="0.2">
      <c r="A723" t="str">
        <f>[5]trip_summary_region!A723</f>
        <v>10 NELS-MARLB-TAS</v>
      </c>
      <c r="B723">
        <f>[5]trip_summary_region!B723</f>
        <v>2</v>
      </c>
      <c r="C723">
        <f>[5]trip_summary_region!C723</f>
        <v>2013</v>
      </c>
      <c r="D723">
        <f>[5]trip_summary_region!D723</f>
        <v>480</v>
      </c>
      <c r="E723">
        <f>[5]trip_summary_region!E723</f>
        <v>3377</v>
      </c>
      <c r="F723">
        <f>[5]trip_summary_region!F723</f>
        <v>98.206986838999995</v>
      </c>
      <c r="G723">
        <f>[5]trip_summary_region!G723</f>
        <v>1012.1329009999999</v>
      </c>
      <c r="H723">
        <f>[5]trip_summary_region!H723</f>
        <v>23.635435057999999</v>
      </c>
      <c r="I723" t="str">
        <f>[5]trip_summary_region!I723</f>
        <v>Light Vehicle Driver</v>
      </c>
      <c r="J723" t="str">
        <f>[5]trip_summary_region!J723</f>
        <v>2012/13</v>
      </c>
    </row>
    <row r="724" spans="1:10" x14ac:dyDescent="0.2">
      <c r="A724" t="str">
        <f>[5]trip_summary_region!A724</f>
        <v>10 NELS-MARLB-TAS</v>
      </c>
      <c r="B724">
        <f>[5]trip_summary_region!B724</f>
        <v>2</v>
      </c>
      <c r="C724">
        <f>[5]trip_summary_region!C724</f>
        <v>2018</v>
      </c>
      <c r="D724">
        <f>[5]trip_summary_region!D724</f>
        <v>480</v>
      </c>
      <c r="E724">
        <f>[5]trip_summary_region!E724</f>
        <v>3377</v>
      </c>
      <c r="F724">
        <f>[5]trip_summary_region!F724</f>
        <v>101.90443017</v>
      </c>
      <c r="G724">
        <f>[5]trip_summary_region!G724</f>
        <v>1039.4358823</v>
      </c>
      <c r="H724">
        <f>[5]trip_summary_region!H724</f>
        <v>24.440879338999999</v>
      </c>
      <c r="I724" t="str">
        <f>[5]trip_summary_region!I724</f>
        <v>Light Vehicle Driver</v>
      </c>
      <c r="J724" t="str">
        <f>[5]trip_summary_region!J724</f>
        <v>2017/18</v>
      </c>
    </row>
    <row r="725" spans="1:10" x14ac:dyDescent="0.2">
      <c r="A725" t="str">
        <f>[5]trip_summary_region!A725</f>
        <v>10 NELS-MARLB-TAS</v>
      </c>
      <c r="B725">
        <f>[5]trip_summary_region!B725</f>
        <v>2</v>
      </c>
      <c r="C725">
        <f>[5]trip_summary_region!C725</f>
        <v>2023</v>
      </c>
      <c r="D725">
        <f>[5]trip_summary_region!D725</f>
        <v>480</v>
      </c>
      <c r="E725">
        <f>[5]trip_summary_region!E725</f>
        <v>3377</v>
      </c>
      <c r="F725">
        <f>[5]trip_summary_region!F725</f>
        <v>104.04353268</v>
      </c>
      <c r="G725">
        <f>[5]trip_summary_region!G725</f>
        <v>1047.1023041999999</v>
      </c>
      <c r="H725">
        <f>[5]trip_summary_region!H725</f>
        <v>24.816542319</v>
      </c>
      <c r="I725" t="str">
        <f>[5]trip_summary_region!I725</f>
        <v>Light Vehicle Driver</v>
      </c>
      <c r="J725" t="str">
        <f>[5]trip_summary_region!J725</f>
        <v>2022/23</v>
      </c>
    </row>
    <row r="726" spans="1:10" x14ac:dyDescent="0.2">
      <c r="A726" t="str">
        <f>[5]trip_summary_region!A726</f>
        <v>10 NELS-MARLB-TAS</v>
      </c>
      <c r="B726">
        <f>[5]trip_summary_region!B726</f>
        <v>2</v>
      </c>
      <c r="C726">
        <f>[5]trip_summary_region!C726</f>
        <v>2028</v>
      </c>
      <c r="D726">
        <f>[5]trip_summary_region!D726</f>
        <v>480</v>
      </c>
      <c r="E726">
        <f>[5]trip_summary_region!E726</f>
        <v>3377</v>
      </c>
      <c r="F726">
        <f>[5]trip_summary_region!F726</f>
        <v>105.11237644000001</v>
      </c>
      <c r="G726">
        <f>[5]trip_summary_region!G726</f>
        <v>1038.5408978999999</v>
      </c>
      <c r="H726">
        <f>[5]trip_summary_region!H726</f>
        <v>24.826557576999999</v>
      </c>
      <c r="I726" t="str">
        <f>[5]trip_summary_region!I726</f>
        <v>Light Vehicle Driver</v>
      </c>
      <c r="J726" t="str">
        <f>[5]trip_summary_region!J726</f>
        <v>2027/28</v>
      </c>
    </row>
    <row r="727" spans="1:10" x14ac:dyDescent="0.2">
      <c r="A727" t="str">
        <f>[5]trip_summary_region!A727</f>
        <v>10 NELS-MARLB-TAS</v>
      </c>
      <c r="B727">
        <f>[5]trip_summary_region!B727</f>
        <v>2</v>
      </c>
      <c r="C727">
        <f>[5]trip_summary_region!C727</f>
        <v>2033</v>
      </c>
      <c r="D727">
        <f>[5]trip_summary_region!D727</f>
        <v>480</v>
      </c>
      <c r="E727">
        <f>[5]trip_summary_region!E727</f>
        <v>3377</v>
      </c>
      <c r="F727">
        <f>[5]trip_summary_region!F727</f>
        <v>106.04870525</v>
      </c>
      <c r="G727">
        <f>[5]trip_summary_region!G727</f>
        <v>1029.0749077999999</v>
      </c>
      <c r="H727">
        <f>[5]trip_summary_region!H727</f>
        <v>24.775649181999999</v>
      </c>
      <c r="I727" t="str">
        <f>[5]trip_summary_region!I727</f>
        <v>Light Vehicle Driver</v>
      </c>
      <c r="J727" t="str">
        <f>[5]trip_summary_region!J727</f>
        <v>2032/33</v>
      </c>
    </row>
    <row r="728" spans="1:10" x14ac:dyDescent="0.2">
      <c r="A728" t="str">
        <f>[5]trip_summary_region!A728</f>
        <v>10 NELS-MARLB-TAS</v>
      </c>
      <c r="B728">
        <f>[5]trip_summary_region!B728</f>
        <v>2</v>
      </c>
      <c r="C728">
        <f>[5]trip_summary_region!C728</f>
        <v>2038</v>
      </c>
      <c r="D728">
        <f>[5]trip_summary_region!D728</f>
        <v>480</v>
      </c>
      <c r="E728">
        <f>[5]trip_summary_region!E728</f>
        <v>3377</v>
      </c>
      <c r="F728">
        <f>[5]trip_summary_region!F728</f>
        <v>106.01700341999999</v>
      </c>
      <c r="G728">
        <f>[5]trip_summary_region!G728</f>
        <v>1012.2548518</v>
      </c>
      <c r="H728">
        <f>[5]trip_summary_region!H728</f>
        <v>24.540691998</v>
      </c>
      <c r="I728" t="str">
        <f>[5]trip_summary_region!I728</f>
        <v>Light Vehicle Driver</v>
      </c>
      <c r="J728" t="str">
        <f>[5]trip_summary_region!J728</f>
        <v>2037/38</v>
      </c>
    </row>
    <row r="729" spans="1:10" x14ac:dyDescent="0.2">
      <c r="A729" t="str">
        <f>[5]trip_summary_region!A729</f>
        <v>10 NELS-MARLB-TAS</v>
      </c>
      <c r="B729">
        <f>[5]trip_summary_region!B729</f>
        <v>2</v>
      </c>
      <c r="C729">
        <f>[5]trip_summary_region!C729</f>
        <v>2043</v>
      </c>
      <c r="D729">
        <f>[5]trip_summary_region!D729</f>
        <v>480</v>
      </c>
      <c r="E729">
        <f>[5]trip_summary_region!E729</f>
        <v>3377</v>
      </c>
      <c r="F729">
        <f>[5]trip_summary_region!F729</f>
        <v>105.69000303</v>
      </c>
      <c r="G729">
        <f>[5]trip_summary_region!G729</f>
        <v>993.79964559999996</v>
      </c>
      <c r="H729">
        <f>[5]trip_summary_region!H729</f>
        <v>24.24987733</v>
      </c>
      <c r="I729" t="str">
        <f>[5]trip_summary_region!I729</f>
        <v>Light Vehicle Driver</v>
      </c>
      <c r="J729" t="str">
        <f>[5]trip_summary_region!J729</f>
        <v>2042/43</v>
      </c>
    </row>
    <row r="730" spans="1:10" x14ac:dyDescent="0.2">
      <c r="A730" t="str">
        <f>[5]trip_summary_region!A730</f>
        <v>10 NELS-MARLB-TAS</v>
      </c>
      <c r="B730">
        <f>[5]trip_summary_region!B730</f>
        <v>3</v>
      </c>
      <c r="C730">
        <f>[5]trip_summary_region!C730</f>
        <v>2013</v>
      </c>
      <c r="D730">
        <f>[5]trip_summary_region!D730</f>
        <v>346</v>
      </c>
      <c r="E730">
        <f>[5]trip_summary_region!E730</f>
        <v>1569</v>
      </c>
      <c r="F730">
        <f>[5]trip_summary_region!F730</f>
        <v>45.895773310999999</v>
      </c>
      <c r="G730">
        <f>[5]trip_summary_region!G730</f>
        <v>528.66856442999995</v>
      </c>
      <c r="H730">
        <f>[5]trip_summary_region!H730</f>
        <v>11.910351560000001</v>
      </c>
      <c r="I730" t="str">
        <f>[5]trip_summary_region!I730</f>
        <v>Light Vehicle Passenger</v>
      </c>
      <c r="J730" t="str">
        <f>[5]trip_summary_region!J730</f>
        <v>2012/13</v>
      </c>
    </row>
    <row r="731" spans="1:10" x14ac:dyDescent="0.2">
      <c r="A731" t="str">
        <f>[5]trip_summary_region!A731</f>
        <v>10 NELS-MARLB-TAS</v>
      </c>
      <c r="B731">
        <f>[5]trip_summary_region!B731</f>
        <v>3</v>
      </c>
      <c r="C731">
        <f>[5]trip_summary_region!C731</f>
        <v>2018</v>
      </c>
      <c r="D731">
        <f>[5]trip_summary_region!D731</f>
        <v>346</v>
      </c>
      <c r="E731">
        <f>[5]trip_summary_region!E731</f>
        <v>1569</v>
      </c>
      <c r="F731">
        <f>[5]trip_summary_region!F731</f>
        <v>45.364700202999998</v>
      </c>
      <c r="G731">
        <f>[5]trip_summary_region!G731</f>
        <v>523.16512147000003</v>
      </c>
      <c r="H731">
        <f>[5]trip_summary_region!H731</f>
        <v>11.856549141</v>
      </c>
      <c r="I731" t="str">
        <f>[5]trip_summary_region!I731</f>
        <v>Light Vehicle Passenger</v>
      </c>
      <c r="J731" t="str">
        <f>[5]trip_summary_region!J731</f>
        <v>2017/18</v>
      </c>
    </row>
    <row r="732" spans="1:10" x14ac:dyDescent="0.2">
      <c r="A732" t="str">
        <f>[5]trip_summary_region!A732</f>
        <v>10 NELS-MARLB-TAS</v>
      </c>
      <c r="B732">
        <f>[5]trip_summary_region!B732</f>
        <v>3</v>
      </c>
      <c r="C732">
        <f>[5]trip_summary_region!C732</f>
        <v>2023</v>
      </c>
      <c r="D732">
        <f>[5]trip_summary_region!D732</f>
        <v>346</v>
      </c>
      <c r="E732">
        <f>[5]trip_summary_region!E732</f>
        <v>1569</v>
      </c>
      <c r="F732">
        <f>[5]trip_summary_region!F732</f>
        <v>44.728948893000002</v>
      </c>
      <c r="G732">
        <f>[5]trip_summary_region!G732</f>
        <v>514.45301027999994</v>
      </c>
      <c r="H732">
        <f>[5]trip_summary_region!H732</f>
        <v>11.753762188</v>
      </c>
      <c r="I732" t="str">
        <f>[5]trip_summary_region!I732</f>
        <v>Light Vehicle Passenger</v>
      </c>
      <c r="J732" t="str">
        <f>[5]trip_summary_region!J732</f>
        <v>2022/23</v>
      </c>
    </row>
    <row r="733" spans="1:10" x14ac:dyDescent="0.2">
      <c r="A733" t="str">
        <f>[5]trip_summary_region!A733</f>
        <v>10 NELS-MARLB-TAS</v>
      </c>
      <c r="B733">
        <f>[5]trip_summary_region!B733</f>
        <v>3</v>
      </c>
      <c r="C733">
        <f>[5]trip_summary_region!C733</f>
        <v>2028</v>
      </c>
      <c r="D733">
        <f>[5]trip_summary_region!D733</f>
        <v>346</v>
      </c>
      <c r="E733">
        <f>[5]trip_summary_region!E733</f>
        <v>1569</v>
      </c>
      <c r="F733">
        <f>[5]trip_summary_region!F733</f>
        <v>44.073514424999999</v>
      </c>
      <c r="G733">
        <f>[5]trip_summary_region!G733</f>
        <v>507.56907154999999</v>
      </c>
      <c r="H733">
        <f>[5]trip_summary_region!H733</f>
        <v>11.651296749</v>
      </c>
      <c r="I733" t="str">
        <f>[5]trip_summary_region!I733</f>
        <v>Light Vehicle Passenger</v>
      </c>
      <c r="J733" t="str">
        <f>[5]trip_summary_region!J733</f>
        <v>2027/28</v>
      </c>
    </row>
    <row r="734" spans="1:10" x14ac:dyDescent="0.2">
      <c r="A734" t="str">
        <f>[5]trip_summary_region!A734</f>
        <v>10 NELS-MARLB-TAS</v>
      </c>
      <c r="B734">
        <f>[5]trip_summary_region!B734</f>
        <v>3</v>
      </c>
      <c r="C734">
        <f>[5]trip_summary_region!C734</f>
        <v>2033</v>
      </c>
      <c r="D734">
        <f>[5]trip_summary_region!D734</f>
        <v>346</v>
      </c>
      <c r="E734">
        <f>[5]trip_summary_region!E734</f>
        <v>1569</v>
      </c>
      <c r="F734">
        <f>[5]trip_summary_region!F734</f>
        <v>42.974961794999999</v>
      </c>
      <c r="G734">
        <f>[5]trip_summary_region!G734</f>
        <v>496.85654599999998</v>
      </c>
      <c r="H734">
        <f>[5]trip_summary_region!H734</f>
        <v>11.406632253</v>
      </c>
      <c r="I734" t="str">
        <f>[5]trip_summary_region!I734</f>
        <v>Light Vehicle Passenger</v>
      </c>
      <c r="J734" t="str">
        <f>[5]trip_summary_region!J734</f>
        <v>2032/33</v>
      </c>
    </row>
    <row r="735" spans="1:10" x14ac:dyDescent="0.2">
      <c r="A735" t="str">
        <f>[5]trip_summary_region!A735</f>
        <v>10 NELS-MARLB-TAS</v>
      </c>
      <c r="B735">
        <f>[5]trip_summary_region!B735</f>
        <v>3</v>
      </c>
      <c r="C735">
        <f>[5]trip_summary_region!C735</f>
        <v>2038</v>
      </c>
      <c r="D735">
        <f>[5]trip_summary_region!D735</f>
        <v>346</v>
      </c>
      <c r="E735">
        <f>[5]trip_summary_region!E735</f>
        <v>1569</v>
      </c>
      <c r="F735">
        <f>[5]trip_summary_region!F735</f>
        <v>41.782343599999997</v>
      </c>
      <c r="G735">
        <f>[5]trip_summary_region!G735</f>
        <v>479.67705539999997</v>
      </c>
      <c r="H735">
        <f>[5]trip_summary_region!H735</f>
        <v>11.055537635</v>
      </c>
      <c r="I735" t="str">
        <f>[5]trip_summary_region!I735</f>
        <v>Light Vehicle Passenger</v>
      </c>
      <c r="J735" t="str">
        <f>[5]trip_summary_region!J735</f>
        <v>2037/38</v>
      </c>
    </row>
    <row r="736" spans="1:10" x14ac:dyDescent="0.2">
      <c r="A736" t="str">
        <f>[5]trip_summary_region!A736</f>
        <v>10 NELS-MARLB-TAS</v>
      </c>
      <c r="B736">
        <f>[5]trip_summary_region!B736</f>
        <v>3</v>
      </c>
      <c r="C736">
        <f>[5]trip_summary_region!C736</f>
        <v>2043</v>
      </c>
      <c r="D736">
        <f>[5]trip_summary_region!D736</f>
        <v>346</v>
      </c>
      <c r="E736">
        <f>[5]trip_summary_region!E736</f>
        <v>1569</v>
      </c>
      <c r="F736">
        <f>[5]trip_summary_region!F736</f>
        <v>40.470879342000003</v>
      </c>
      <c r="G736">
        <f>[5]trip_summary_region!G736</f>
        <v>461.58232865999997</v>
      </c>
      <c r="H736">
        <f>[5]trip_summary_region!H736</f>
        <v>10.676194917</v>
      </c>
      <c r="I736" t="str">
        <f>[5]trip_summary_region!I736</f>
        <v>Light Vehicle Passenger</v>
      </c>
      <c r="J736" t="str">
        <f>[5]trip_summary_region!J736</f>
        <v>2042/43</v>
      </c>
    </row>
    <row r="737" spans="1:10" x14ac:dyDescent="0.2">
      <c r="A737" t="str">
        <f>[5]trip_summary_region!A737</f>
        <v>10 NELS-MARLB-TAS</v>
      </c>
      <c r="B737">
        <f>[5]trip_summary_region!B737</f>
        <v>4</v>
      </c>
      <c r="C737">
        <f>[5]trip_summary_region!C737</f>
        <v>2013</v>
      </c>
      <c r="D737">
        <f>[5]trip_summary_region!D737</f>
        <v>9</v>
      </c>
      <c r="E737">
        <f>[5]trip_summary_region!E737</f>
        <v>16</v>
      </c>
      <c r="F737">
        <f>[5]trip_summary_region!F737</f>
        <v>0.40359339709999997</v>
      </c>
      <c r="G737">
        <f>[5]trip_summary_region!G737</f>
        <v>2.5483198348</v>
      </c>
      <c r="H737">
        <f>[5]trip_summary_region!H737</f>
        <v>8.1526233300000001E-2</v>
      </c>
      <c r="I737" t="s">
        <v>116</v>
      </c>
      <c r="J737" t="str">
        <f>[5]trip_summary_region!J737</f>
        <v>2012/13</v>
      </c>
    </row>
    <row r="738" spans="1:10" x14ac:dyDescent="0.2">
      <c r="A738" t="str">
        <f>[5]trip_summary_region!A738</f>
        <v>10 NELS-MARLB-TAS</v>
      </c>
      <c r="B738">
        <f>[5]trip_summary_region!B738</f>
        <v>4</v>
      </c>
      <c r="C738">
        <f>[5]trip_summary_region!C738</f>
        <v>2018</v>
      </c>
      <c r="D738">
        <f>[5]trip_summary_region!D738</f>
        <v>9</v>
      </c>
      <c r="E738">
        <f>[5]trip_summary_region!E738</f>
        <v>16</v>
      </c>
      <c r="F738">
        <f>[5]trip_summary_region!F738</f>
        <v>0.48413812909999998</v>
      </c>
      <c r="G738">
        <f>[5]trip_summary_region!G738</f>
        <v>2.9184411004999999</v>
      </c>
      <c r="H738">
        <f>[5]trip_summary_region!H738</f>
        <v>9.5882577699999999E-2</v>
      </c>
      <c r="I738" t="s">
        <v>116</v>
      </c>
      <c r="J738" t="str">
        <f>[5]trip_summary_region!J738</f>
        <v>2017/18</v>
      </c>
    </row>
    <row r="739" spans="1:10" x14ac:dyDescent="0.2">
      <c r="A739" t="str">
        <f>[5]trip_summary_region!A739</f>
        <v>10 NELS-MARLB-TAS</v>
      </c>
      <c r="B739">
        <f>[5]trip_summary_region!B739</f>
        <v>4</v>
      </c>
      <c r="C739">
        <f>[5]trip_summary_region!C739</f>
        <v>2023</v>
      </c>
      <c r="D739">
        <f>[5]trip_summary_region!D739</f>
        <v>9</v>
      </c>
      <c r="E739">
        <f>[5]trip_summary_region!E739</f>
        <v>16</v>
      </c>
      <c r="F739">
        <f>[5]trip_summary_region!F739</f>
        <v>0.56193139650000001</v>
      </c>
      <c r="G739">
        <f>[5]trip_summary_region!G739</f>
        <v>3.1743211404</v>
      </c>
      <c r="H739">
        <f>[5]trip_summary_region!H739</f>
        <v>0.10908681119999999</v>
      </c>
      <c r="I739" t="s">
        <v>116</v>
      </c>
      <c r="J739" t="str">
        <f>[5]trip_summary_region!J739</f>
        <v>2022/23</v>
      </c>
    </row>
    <row r="740" spans="1:10" x14ac:dyDescent="0.2">
      <c r="A740" t="str">
        <f>[5]trip_summary_region!A740</f>
        <v>10 NELS-MARLB-TAS</v>
      </c>
      <c r="B740">
        <f>[5]trip_summary_region!B740</f>
        <v>4</v>
      </c>
      <c r="C740">
        <f>[5]trip_summary_region!C740</f>
        <v>2028</v>
      </c>
      <c r="D740">
        <f>[5]trip_summary_region!D740</f>
        <v>9</v>
      </c>
      <c r="E740">
        <f>[5]trip_summary_region!E740</f>
        <v>16</v>
      </c>
      <c r="F740">
        <f>[5]trip_summary_region!F740</f>
        <v>0.62154304019999995</v>
      </c>
      <c r="G740">
        <f>[5]trip_summary_region!G740</f>
        <v>3.2982721249</v>
      </c>
      <c r="H740">
        <f>[5]trip_summary_region!H740</f>
        <v>0.1187521423</v>
      </c>
      <c r="I740" t="s">
        <v>116</v>
      </c>
      <c r="J740" t="str">
        <f>[5]trip_summary_region!J740</f>
        <v>2027/28</v>
      </c>
    </row>
    <row r="741" spans="1:10" x14ac:dyDescent="0.2">
      <c r="A741" t="str">
        <f>[5]trip_summary_region!A741</f>
        <v>10 NELS-MARLB-TAS</v>
      </c>
      <c r="B741">
        <f>[5]trip_summary_region!B741</f>
        <v>4</v>
      </c>
      <c r="C741">
        <f>[5]trip_summary_region!C741</f>
        <v>2033</v>
      </c>
      <c r="D741">
        <f>[5]trip_summary_region!D741</f>
        <v>9</v>
      </c>
      <c r="E741">
        <f>[5]trip_summary_region!E741</f>
        <v>16</v>
      </c>
      <c r="F741">
        <f>[5]trip_summary_region!F741</f>
        <v>0.66566231409999999</v>
      </c>
      <c r="G741">
        <f>[5]trip_summary_region!G741</f>
        <v>3.4050587388000002</v>
      </c>
      <c r="H741">
        <f>[5]trip_summary_region!H741</f>
        <v>0.12622076400000001</v>
      </c>
      <c r="I741" t="s">
        <v>116</v>
      </c>
      <c r="J741" t="str">
        <f>[5]trip_summary_region!J741</f>
        <v>2032/33</v>
      </c>
    </row>
    <row r="742" spans="1:10" x14ac:dyDescent="0.2">
      <c r="A742" t="str">
        <f>[5]trip_summary_region!A742</f>
        <v>10 NELS-MARLB-TAS</v>
      </c>
      <c r="B742">
        <f>[5]trip_summary_region!B742</f>
        <v>4</v>
      </c>
      <c r="C742">
        <f>[5]trip_summary_region!C742</f>
        <v>2038</v>
      </c>
      <c r="D742">
        <f>[5]trip_summary_region!D742</f>
        <v>9</v>
      </c>
      <c r="E742">
        <f>[5]trip_summary_region!E742</f>
        <v>16</v>
      </c>
      <c r="F742">
        <f>[5]trip_summary_region!F742</f>
        <v>0.68826710440000005</v>
      </c>
      <c r="G742">
        <f>[5]trip_summary_region!G742</f>
        <v>3.4104089606999999</v>
      </c>
      <c r="H742">
        <f>[5]trip_summary_region!H742</f>
        <v>0.12939914750000001</v>
      </c>
      <c r="I742" t="s">
        <v>116</v>
      </c>
      <c r="J742" t="str">
        <f>[5]trip_summary_region!J742</f>
        <v>2037/38</v>
      </c>
    </row>
    <row r="743" spans="1:10" x14ac:dyDescent="0.2">
      <c r="A743" t="str">
        <f>[5]trip_summary_region!A743</f>
        <v>10 NELS-MARLB-TAS</v>
      </c>
      <c r="B743">
        <f>[5]trip_summary_region!B743</f>
        <v>4</v>
      </c>
      <c r="C743">
        <f>[5]trip_summary_region!C743</f>
        <v>2043</v>
      </c>
      <c r="D743">
        <f>[5]trip_summary_region!D743</f>
        <v>9</v>
      </c>
      <c r="E743">
        <f>[5]trip_summary_region!E743</f>
        <v>16</v>
      </c>
      <c r="F743">
        <f>[5]trip_summary_region!F743</f>
        <v>0.70838963079999995</v>
      </c>
      <c r="G743">
        <f>[5]trip_summary_region!G743</f>
        <v>3.4105036838</v>
      </c>
      <c r="H743">
        <f>[5]trip_summary_region!H743</f>
        <v>0.13215056080000001</v>
      </c>
      <c r="I743" t="s">
        <v>116</v>
      </c>
      <c r="J743" t="str">
        <f>[5]trip_summary_region!J743</f>
        <v>2042/43</v>
      </c>
    </row>
    <row r="744" spans="1:10" x14ac:dyDescent="0.2">
      <c r="A744" t="str">
        <f>[5]trip_summary_region!A744</f>
        <v>10 NELS-MARLB-TAS</v>
      </c>
      <c r="B744">
        <f>[5]trip_summary_region!B744</f>
        <v>5</v>
      </c>
      <c r="C744">
        <f>[5]trip_summary_region!C744</f>
        <v>2013</v>
      </c>
      <c r="D744">
        <f>[5]trip_summary_region!D744</f>
        <v>14</v>
      </c>
      <c r="E744">
        <f>[5]trip_summary_region!E744</f>
        <v>52</v>
      </c>
      <c r="F744">
        <f>[5]trip_summary_region!F744</f>
        <v>1.5095151791999999</v>
      </c>
      <c r="G744">
        <f>[5]trip_summary_region!G744</f>
        <v>34.127286998000002</v>
      </c>
      <c r="H744">
        <f>[5]trip_summary_region!H744</f>
        <v>0.60769230029999999</v>
      </c>
      <c r="I744" t="str">
        <f>[5]trip_summary_region!I744</f>
        <v>Motorcyclist</v>
      </c>
      <c r="J744" t="str">
        <f>[5]trip_summary_region!J744</f>
        <v>2012/13</v>
      </c>
    </row>
    <row r="745" spans="1:10" x14ac:dyDescent="0.2">
      <c r="A745" t="str">
        <f>[5]trip_summary_region!A745</f>
        <v>10 NELS-MARLB-TAS</v>
      </c>
      <c r="B745">
        <f>[5]trip_summary_region!B745</f>
        <v>5</v>
      </c>
      <c r="C745">
        <f>[5]trip_summary_region!C745</f>
        <v>2018</v>
      </c>
      <c r="D745">
        <f>[5]trip_summary_region!D745</f>
        <v>14</v>
      </c>
      <c r="E745">
        <f>[5]trip_summary_region!E745</f>
        <v>52</v>
      </c>
      <c r="F745">
        <f>[5]trip_summary_region!F745</f>
        <v>1.5494975394999999</v>
      </c>
      <c r="G745">
        <f>[5]trip_summary_region!G745</f>
        <v>35.040064723</v>
      </c>
      <c r="H745">
        <f>[5]trip_summary_region!H745</f>
        <v>0.61994083300000002</v>
      </c>
      <c r="I745" t="str">
        <f>[5]trip_summary_region!I745</f>
        <v>Motorcyclist</v>
      </c>
      <c r="J745" t="str">
        <f>[5]trip_summary_region!J745</f>
        <v>2017/18</v>
      </c>
    </row>
    <row r="746" spans="1:10" x14ac:dyDescent="0.2">
      <c r="A746" t="str">
        <f>[5]trip_summary_region!A746</f>
        <v>10 NELS-MARLB-TAS</v>
      </c>
      <c r="B746">
        <f>[5]trip_summary_region!B746</f>
        <v>5</v>
      </c>
      <c r="C746">
        <f>[5]trip_summary_region!C746</f>
        <v>2023</v>
      </c>
      <c r="D746">
        <f>[5]trip_summary_region!D746</f>
        <v>14</v>
      </c>
      <c r="E746">
        <f>[5]trip_summary_region!E746</f>
        <v>52</v>
      </c>
      <c r="F746">
        <f>[5]trip_summary_region!F746</f>
        <v>1.5930694798</v>
      </c>
      <c r="G746">
        <f>[5]trip_summary_region!G746</f>
        <v>35.756166774</v>
      </c>
      <c r="H746">
        <f>[5]trip_summary_region!H746</f>
        <v>0.63011481609999997</v>
      </c>
      <c r="I746" t="str">
        <f>[5]trip_summary_region!I746</f>
        <v>Motorcyclist</v>
      </c>
      <c r="J746" t="str">
        <f>[5]trip_summary_region!J746</f>
        <v>2022/23</v>
      </c>
    </row>
    <row r="747" spans="1:10" x14ac:dyDescent="0.2">
      <c r="A747" t="str">
        <f>[5]trip_summary_region!A747</f>
        <v>10 NELS-MARLB-TAS</v>
      </c>
      <c r="B747">
        <f>[5]trip_summary_region!B747</f>
        <v>5</v>
      </c>
      <c r="C747">
        <f>[5]trip_summary_region!C747</f>
        <v>2028</v>
      </c>
      <c r="D747">
        <f>[5]trip_summary_region!D747</f>
        <v>14</v>
      </c>
      <c r="E747">
        <f>[5]trip_summary_region!E747</f>
        <v>52</v>
      </c>
      <c r="F747">
        <f>[5]trip_summary_region!F747</f>
        <v>1.6212081843999999</v>
      </c>
      <c r="G747">
        <f>[5]trip_summary_region!G747</f>
        <v>35.632496912000001</v>
      </c>
      <c r="H747">
        <f>[5]trip_summary_region!H747</f>
        <v>0.62676260179999999</v>
      </c>
      <c r="I747" t="str">
        <f>[5]trip_summary_region!I747</f>
        <v>Motorcyclist</v>
      </c>
      <c r="J747" t="str">
        <f>[5]trip_summary_region!J747</f>
        <v>2027/28</v>
      </c>
    </row>
    <row r="748" spans="1:10" x14ac:dyDescent="0.2">
      <c r="A748" t="str">
        <f>[5]trip_summary_region!A748</f>
        <v>10 NELS-MARLB-TAS</v>
      </c>
      <c r="B748">
        <f>[5]trip_summary_region!B748</f>
        <v>5</v>
      </c>
      <c r="C748">
        <f>[5]trip_summary_region!C748</f>
        <v>2033</v>
      </c>
      <c r="D748">
        <f>[5]trip_summary_region!D748</f>
        <v>14</v>
      </c>
      <c r="E748">
        <f>[5]trip_summary_region!E748</f>
        <v>52</v>
      </c>
      <c r="F748">
        <f>[5]trip_summary_region!F748</f>
        <v>1.6284029529999999</v>
      </c>
      <c r="G748">
        <f>[5]trip_summary_region!G748</f>
        <v>36.012328945999997</v>
      </c>
      <c r="H748">
        <f>[5]trip_summary_region!H748</f>
        <v>0.63102937160000006</v>
      </c>
      <c r="I748" t="str">
        <f>[5]trip_summary_region!I748</f>
        <v>Motorcyclist</v>
      </c>
      <c r="J748" t="str">
        <f>[5]trip_summary_region!J748</f>
        <v>2032/33</v>
      </c>
    </row>
    <row r="749" spans="1:10" x14ac:dyDescent="0.2">
      <c r="A749" t="str">
        <f>[5]trip_summary_region!A749</f>
        <v>10 NELS-MARLB-TAS</v>
      </c>
      <c r="B749">
        <f>[5]trip_summary_region!B749</f>
        <v>5</v>
      </c>
      <c r="C749">
        <f>[5]trip_summary_region!C749</f>
        <v>2038</v>
      </c>
      <c r="D749">
        <f>[5]trip_summary_region!D749</f>
        <v>14</v>
      </c>
      <c r="E749">
        <f>[5]trip_summary_region!E749</f>
        <v>52</v>
      </c>
      <c r="F749">
        <f>[5]trip_summary_region!F749</f>
        <v>1.5971082313</v>
      </c>
      <c r="G749">
        <f>[5]trip_summary_region!G749</f>
        <v>36.205974521999998</v>
      </c>
      <c r="H749">
        <f>[5]trip_summary_region!H749</f>
        <v>0.63190398530000003</v>
      </c>
      <c r="I749" t="str">
        <f>[5]trip_summary_region!I749</f>
        <v>Motorcyclist</v>
      </c>
      <c r="J749" t="str">
        <f>[5]trip_summary_region!J749</f>
        <v>2037/38</v>
      </c>
    </row>
    <row r="750" spans="1:10" x14ac:dyDescent="0.2">
      <c r="A750" t="str">
        <f>[5]trip_summary_region!A750</f>
        <v>10 NELS-MARLB-TAS</v>
      </c>
      <c r="B750">
        <f>[5]trip_summary_region!B750</f>
        <v>5</v>
      </c>
      <c r="C750">
        <f>[5]trip_summary_region!C750</f>
        <v>2043</v>
      </c>
      <c r="D750">
        <f>[5]trip_summary_region!D750</f>
        <v>14</v>
      </c>
      <c r="E750">
        <f>[5]trip_summary_region!E750</f>
        <v>52</v>
      </c>
      <c r="F750">
        <f>[5]trip_summary_region!F750</f>
        <v>1.5620769088999999</v>
      </c>
      <c r="G750">
        <f>[5]trip_summary_region!G750</f>
        <v>36.242441687000003</v>
      </c>
      <c r="H750">
        <f>[5]trip_summary_region!H750</f>
        <v>0.63024294530000002</v>
      </c>
      <c r="I750" t="str">
        <f>[5]trip_summary_region!I750</f>
        <v>Motorcyclist</v>
      </c>
      <c r="J750" t="str">
        <f>[5]trip_summary_region!J750</f>
        <v>2042/43</v>
      </c>
    </row>
    <row r="751" spans="1:10" x14ac:dyDescent="0.2">
      <c r="A751" t="str">
        <f>[5]trip_summary_region!A751</f>
        <v>10 NELS-MARLB-TAS</v>
      </c>
      <c r="B751">
        <f>[5]trip_summary_region!B751</f>
        <v>6</v>
      </c>
      <c r="C751">
        <f>[5]trip_summary_region!C751</f>
        <v>2013</v>
      </c>
      <c r="D751">
        <f>[5]trip_summary_region!D751</f>
        <v>1</v>
      </c>
      <c r="E751">
        <f>[5]trip_summary_region!E751</f>
        <v>4</v>
      </c>
      <c r="F751">
        <f>[5]trip_summary_region!F751</f>
        <v>0.1284956481</v>
      </c>
      <c r="G751">
        <f>[5]trip_summary_region!G751</f>
        <v>5.3733082988999996</v>
      </c>
      <c r="H751">
        <f>[5]trip_summary_region!H751</f>
        <v>9.9048728700000005E-2</v>
      </c>
      <c r="I751" t="str">
        <f>[5]trip_summary_region!I751</f>
        <v>Local Train</v>
      </c>
      <c r="J751" t="str">
        <f>[5]trip_summary_region!J751</f>
        <v>2012/13</v>
      </c>
    </row>
    <row r="752" spans="1:10" x14ac:dyDescent="0.2">
      <c r="A752" t="str">
        <f>[5]trip_summary_region!A752</f>
        <v>10 NELS-MARLB-TAS</v>
      </c>
      <c r="B752">
        <f>[5]trip_summary_region!B752</f>
        <v>6</v>
      </c>
      <c r="C752">
        <f>[5]trip_summary_region!C752</f>
        <v>2018</v>
      </c>
      <c r="D752">
        <f>[5]trip_summary_region!D752</f>
        <v>1</v>
      </c>
      <c r="E752">
        <f>[5]trip_summary_region!E752</f>
        <v>4</v>
      </c>
      <c r="F752">
        <f>[5]trip_summary_region!F752</f>
        <v>0.1149261832</v>
      </c>
      <c r="G752">
        <f>[5]trip_summary_region!G752</f>
        <v>4.8058733740999999</v>
      </c>
      <c r="H752">
        <f>[5]trip_summary_region!H752</f>
        <v>8.85889329E-2</v>
      </c>
      <c r="I752" t="str">
        <f>[5]trip_summary_region!I752</f>
        <v>Local Train</v>
      </c>
      <c r="J752" t="str">
        <f>[5]trip_summary_region!J752</f>
        <v>2017/18</v>
      </c>
    </row>
    <row r="753" spans="1:10" x14ac:dyDescent="0.2">
      <c r="A753" t="str">
        <f>[5]trip_summary_region!A753</f>
        <v>10 NELS-MARLB-TAS</v>
      </c>
      <c r="B753">
        <f>[5]trip_summary_region!B753</f>
        <v>6</v>
      </c>
      <c r="C753">
        <f>[5]trip_summary_region!C753</f>
        <v>2023</v>
      </c>
      <c r="D753">
        <f>[5]trip_summary_region!D753</f>
        <v>1</v>
      </c>
      <c r="E753">
        <f>[5]trip_summary_region!E753</f>
        <v>4</v>
      </c>
      <c r="F753">
        <f>[5]trip_summary_region!F753</f>
        <v>9.6525807899999996E-2</v>
      </c>
      <c r="G753">
        <f>[5]trip_summary_region!G753</f>
        <v>4.0364240529000002</v>
      </c>
      <c r="H753">
        <f>[5]trip_summary_region!H753</f>
        <v>7.4405310299999999E-2</v>
      </c>
      <c r="I753" t="str">
        <f>[5]trip_summary_region!I753</f>
        <v>Local Train</v>
      </c>
      <c r="J753" t="str">
        <f>[5]trip_summary_region!J753</f>
        <v>2022/23</v>
      </c>
    </row>
    <row r="754" spans="1:10" x14ac:dyDescent="0.2">
      <c r="A754" t="str">
        <f>[5]trip_summary_region!A754</f>
        <v>10 NELS-MARLB-TAS</v>
      </c>
      <c r="B754">
        <f>[5]trip_summary_region!B754</f>
        <v>6</v>
      </c>
      <c r="C754">
        <f>[5]trip_summary_region!C754</f>
        <v>2028</v>
      </c>
      <c r="D754">
        <f>[5]trip_summary_region!D754</f>
        <v>1</v>
      </c>
      <c r="E754">
        <f>[5]trip_summary_region!E754</f>
        <v>4</v>
      </c>
      <c r="F754">
        <f>[5]trip_summary_region!F754</f>
        <v>8.1570599999999993E-2</v>
      </c>
      <c r="G754">
        <f>[5]trip_summary_region!G754</f>
        <v>3.4110414519000001</v>
      </c>
      <c r="H754">
        <f>[5]trip_summary_region!H754</f>
        <v>6.2877337500000005E-2</v>
      </c>
      <c r="I754" t="str">
        <f>[5]trip_summary_region!I754</f>
        <v>Local Train</v>
      </c>
      <c r="J754" t="str">
        <f>[5]trip_summary_region!J754</f>
        <v>2027/28</v>
      </c>
    </row>
    <row r="755" spans="1:10" x14ac:dyDescent="0.2">
      <c r="A755" t="str">
        <f>[5]trip_summary_region!A755</f>
        <v>10 NELS-MARLB-TAS</v>
      </c>
      <c r="B755">
        <f>[5]trip_summary_region!B755</f>
        <v>6</v>
      </c>
      <c r="C755">
        <f>[5]trip_summary_region!C755</f>
        <v>2033</v>
      </c>
      <c r="D755">
        <f>[5]trip_summary_region!D755</f>
        <v>1</v>
      </c>
      <c r="E755">
        <f>[5]trip_summary_region!E755</f>
        <v>4</v>
      </c>
      <c r="F755">
        <f>[5]trip_summary_region!F755</f>
        <v>7.5910885600000005E-2</v>
      </c>
      <c r="G755">
        <f>[5]trip_summary_region!G755</f>
        <v>3.1743689171999998</v>
      </c>
      <c r="H755">
        <f>[5]trip_summary_region!H755</f>
        <v>5.8514640899999998E-2</v>
      </c>
      <c r="I755" t="str">
        <f>[5]trip_summary_region!I755</f>
        <v>Local Train</v>
      </c>
      <c r="J755" t="str">
        <f>[5]trip_summary_region!J755</f>
        <v>2032/33</v>
      </c>
    </row>
    <row r="756" spans="1:10" x14ac:dyDescent="0.2">
      <c r="A756" t="str">
        <f>[5]trip_summary_region!A756</f>
        <v>10 NELS-MARLB-TAS</v>
      </c>
      <c r="B756">
        <f>[5]trip_summary_region!B756</f>
        <v>6</v>
      </c>
      <c r="C756">
        <f>[5]trip_summary_region!C756</f>
        <v>2038</v>
      </c>
      <c r="D756">
        <f>[5]trip_summary_region!D756</f>
        <v>1</v>
      </c>
      <c r="E756">
        <f>[5]trip_summary_region!E756</f>
        <v>4</v>
      </c>
      <c r="F756">
        <f>[5]trip_summary_region!F756</f>
        <v>7.7899959599999999E-2</v>
      </c>
      <c r="G756">
        <f>[5]trip_summary_region!G756</f>
        <v>3.2575461151999998</v>
      </c>
      <c r="H756">
        <f>[5]trip_summary_region!H756</f>
        <v>6.0047885500000002E-2</v>
      </c>
      <c r="I756" t="str">
        <f>[5]trip_summary_region!I756</f>
        <v>Local Train</v>
      </c>
      <c r="J756" t="str">
        <f>[5]trip_summary_region!J756</f>
        <v>2037/38</v>
      </c>
    </row>
    <row r="757" spans="1:10" x14ac:dyDescent="0.2">
      <c r="A757" t="str">
        <f>[5]trip_summary_region!A757</f>
        <v>10 NELS-MARLB-TAS</v>
      </c>
      <c r="B757">
        <f>[5]trip_summary_region!B757</f>
        <v>6</v>
      </c>
      <c r="C757">
        <f>[5]trip_summary_region!C757</f>
        <v>2043</v>
      </c>
      <c r="D757">
        <f>[5]trip_summary_region!D757</f>
        <v>1</v>
      </c>
      <c r="E757">
        <f>[5]trip_summary_region!E757</f>
        <v>4</v>
      </c>
      <c r="F757">
        <f>[5]trip_summary_region!F757</f>
        <v>7.6936588599999994E-2</v>
      </c>
      <c r="G757">
        <f>[5]trip_summary_region!G757</f>
        <v>3.2172607883</v>
      </c>
      <c r="H757">
        <f>[5]trip_summary_region!H757</f>
        <v>5.93052871E-2</v>
      </c>
      <c r="I757" t="str">
        <f>[5]trip_summary_region!I757</f>
        <v>Local Train</v>
      </c>
      <c r="J757" t="str">
        <f>[5]trip_summary_region!J757</f>
        <v>2042/43</v>
      </c>
    </row>
    <row r="758" spans="1:10" x14ac:dyDescent="0.2">
      <c r="A758" t="str">
        <f>[5]trip_summary_region!A758</f>
        <v>10 NELS-MARLB-TAS</v>
      </c>
      <c r="B758">
        <f>[5]trip_summary_region!B758</f>
        <v>7</v>
      </c>
      <c r="C758">
        <f>[5]trip_summary_region!C758</f>
        <v>2013</v>
      </c>
      <c r="D758">
        <f>[5]trip_summary_region!D758</f>
        <v>38</v>
      </c>
      <c r="E758">
        <f>[5]trip_summary_region!E758</f>
        <v>79</v>
      </c>
      <c r="F758">
        <f>[5]trip_summary_region!F758</f>
        <v>2.0764681202999999</v>
      </c>
      <c r="G758">
        <f>[5]trip_summary_region!G758</f>
        <v>19.807462209000001</v>
      </c>
      <c r="H758">
        <f>[5]trip_summary_region!H758</f>
        <v>0.94491203199999996</v>
      </c>
      <c r="I758" t="str">
        <f>[5]trip_summary_region!I758</f>
        <v>Local Bus</v>
      </c>
      <c r="J758" t="str">
        <f>[5]trip_summary_region!J758</f>
        <v>2012/13</v>
      </c>
    </row>
    <row r="759" spans="1:10" x14ac:dyDescent="0.2">
      <c r="A759" t="str">
        <f>[5]trip_summary_region!A759</f>
        <v>10 NELS-MARLB-TAS</v>
      </c>
      <c r="B759">
        <f>[5]trip_summary_region!B759</f>
        <v>7</v>
      </c>
      <c r="C759">
        <f>[5]trip_summary_region!C759</f>
        <v>2018</v>
      </c>
      <c r="D759">
        <f>[5]trip_summary_region!D759</f>
        <v>38</v>
      </c>
      <c r="E759">
        <f>[5]trip_summary_region!E759</f>
        <v>79</v>
      </c>
      <c r="F759">
        <f>[5]trip_summary_region!F759</f>
        <v>1.9663352094</v>
      </c>
      <c r="G759">
        <f>[5]trip_summary_region!G759</f>
        <v>18.134141539000002</v>
      </c>
      <c r="H759">
        <f>[5]trip_summary_region!H759</f>
        <v>0.86609546530000003</v>
      </c>
      <c r="I759" t="str">
        <f>[5]trip_summary_region!I759</f>
        <v>Local Bus</v>
      </c>
      <c r="J759" t="str">
        <f>[5]trip_summary_region!J759</f>
        <v>2017/18</v>
      </c>
    </row>
    <row r="760" spans="1:10" x14ac:dyDescent="0.2">
      <c r="A760" t="str">
        <f>[5]trip_summary_region!A760</f>
        <v>10 NELS-MARLB-TAS</v>
      </c>
      <c r="B760">
        <f>[5]trip_summary_region!B760</f>
        <v>7</v>
      </c>
      <c r="C760">
        <f>[5]trip_summary_region!C760</f>
        <v>2023</v>
      </c>
      <c r="D760">
        <f>[5]trip_summary_region!D760</f>
        <v>38</v>
      </c>
      <c r="E760">
        <f>[5]trip_summary_region!E760</f>
        <v>79</v>
      </c>
      <c r="F760">
        <f>[5]trip_summary_region!F760</f>
        <v>1.8994059554</v>
      </c>
      <c r="G760">
        <f>[5]trip_summary_region!G760</f>
        <v>16.935144326</v>
      </c>
      <c r="H760">
        <f>[5]trip_summary_region!H760</f>
        <v>0.81117791429999997</v>
      </c>
      <c r="I760" t="str">
        <f>[5]trip_summary_region!I760</f>
        <v>Local Bus</v>
      </c>
      <c r="J760" t="str">
        <f>[5]trip_summary_region!J760</f>
        <v>2022/23</v>
      </c>
    </row>
    <row r="761" spans="1:10" x14ac:dyDescent="0.2">
      <c r="A761" t="str">
        <f>[5]trip_summary_region!A761</f>
        <v>10 NELS-MARLB-TAS</v>
      </c>
      <c r="B761">
        <f>[5]trip_summary_region!B761</f>
        <v>7</v>
      </c>
      <c r="C761">
        <f>[5]trip_summary_region!C761</f>
        <v>2028</v>
      </c>
      <c r="D761">
        <f>[5]trip_summary_region!D761</f>
        <v>38</v>
      </c>
      <c r="E761">
        <f>[5]trip_summary_region!E761</f>
        <v>79</v>
      </c>
      <c r="F761">
        <f>[5]trip_summary_region!F761</f>
        <v>1.8898351215</v>
      </c>
      <c r="G761">
        <f>[5]trip_summary_region!G761</f>
        <v>16.341535078</v>
      </c>
      <c r="H761">
        <f>[5]trip_summary_region!H761</f>
        <v>0.78636050769999999</v>
      </c>
      <c r="I761" t="str">
        <f>[5]trip_summary_region!I761</f>
        <v>Local Bus</v>
      </c>
      <c r="J761" t="str">
        <f>[5]trip_summary_region!J761</f>
        <v>2027/28</v>
      </c>
    </row>
    <row r="762" spans="1:10" x14ac:dyDescent="0.2">
      <c r="A762" t="str">
        <f>[5]trip_summary_region!A762</f>
        <v>10 NELS-MARLB-TAS</v>
      </c>
      <c r="B762">
        <f>[5]trip_summary_region!B762</f>
        <v>7</v>
      </c>
      <c r="C762">
        <f>[5]trip_summary_region!C762</f>
        <v>2033</v>
      </c>
      <c r="D762">
        <f>[5]trip_summary_region!D762</f>
        <v>38</v>
      </c>
      <c r="E762">
        <f>[5]trip_summary_region!E762</f>
        <v>79</v>
      </c>
      <c r="F762">
        <f>[5]trip_summary_region!F762</f>
        <v>1.778771439</v>
      </c>
      <c r="G762">
        <f>[5]trip_summary_region!G762</f>
        <v>15.110227087</v>
      </c>
      <c r="H762">
        <f>[5]trip_summary_region!H762</f>
        <v>0.73109088349999996</v>
      </c>
      <c r="I762" t="str">
        <f>[5]trip_summary_region!I762</f>
        <v>Local Bus</v>
      </c>
      <c r="J762" t="str">
        <f>[5]trip_summary_region!J762</f>
        <v>2032/33</v>
      </c>
    </row>
    <row r="763" spans="1:10" x14ac:dyDescent="0.2">
      <c r="A763" t="str">
        <f>[5]trip_summary_region!A763</f>
        <v>10 NELS-MARLB-TAS</v>
      </c>
      <c r="B763">
        <f>[5]trip_summary_region!B763</f>
        <v>7</v>
      </c>
      <c r="C763">
        <f>[5]trip_summary_region!C763</f>
        <v>2038</v>
      </c>
      <c r="D763">
        <f>[5]trip_summary_region!D763</f>
        <v>38</v>
      </c>
      <c r="E763">
        <f>[5]trip_summary_region!E763</f>
        <v>79</v>
      </c>
      <c r="F763">
        <f>[5]trip_summary_region!F763</f>
        <v>1.7761901705000001</v>
      </c>
      <c r="G763">
        <f>[5]trip_summary_region!G763</f>
        <v>14.719039219000001</v>
      </c>
      <c r="H763">
        <f>[5]trip_summary_region!H763</f>
        <v>0.71267597029999996</v>
      </c>
      <c r="I763" t="str">
        <f>[5]trip_summary_region!I763</f>
        <v>Local Bus</v>
      </c>
      <c r="J763" t="str">
        <f>[5]trip_summary_region!J763</f>
        <v>2037/38</v>
      </c>
    </row>
    <row r="764" spans="1:10" x14ac:dyDescent="0.2">
      <c r="A764" t="str">
        <f>[5]trip_summary_region!A764</f>
        <v>10 NELS-MARLB-TAS</v>
      </c>
      <c r="B764">
        <f>[5]trip_summary_region!B764</f>
        <v>7</v>
      </c>
      <c r="C764">
        <f>[5]trip_summary_region!C764</f>
        <v>2043</v>
      </c>
      <c r="D764">
        <f>[5]trip_summary_region!D764</f>
        <v>38</v>
      </c>
      <c r="E764">
        <f>[5]trip_summary_region!E764</f>
        <v>79</v>
      </c>
      <c r="F764">
        <f>[5]trip_summary_region!F764</f>
        <v>1.7664474362</v>
      </c>
      <c r="G764">
        <f>[5]trip_summary_region!G764</f>
        <v>14.309672047999999</v>
      </c>
      <c r="H764">
        <f>[5]trip_summary_region!H764</f>
        <v>0.69308254120000001</v>
      </c>
      <c r="I764" t="str">
        <f>[5]trip_summary_region!I764</f>
        <v>Local Bus</v>
      </c>
      <c r="J764" t="str">
        <f>[5]trip_summary_region!J764</f>
        <v>2042/43</v>
      </c>
    </row>
    <row r="765" spans="1:10" x14ac:dyDescent="0.2">
      <c r="A765" t="str">
        <f>[5]trip_summary_region!A765</f>
        <v>10 NELS-MARLB-TAS</v>
      </c>
      <c r="B765">
        <f>[5]trip_summary_region!B765</f>
        <v>9</v>
      </c>
      <c r="C765">
        <f>[5]trip_summary_region!C765</f>
        <v>2013</v>
      </c>
      <c r="D765">
        <f>[5]trip_summary_region!D765</f>
        <v>24</v>
      </c>
      <c r="E765">
        <f>[5]trip_summary_region!E765</f>
        <v>56</v>
      </c>
      <c r="F765">
        <f>[5]trip_summary_region!F765</f>
        <v>1.495105957</v>
      </c>
      <c r="G765">
        <f>[5]trip_summary_region!G765</f>
        <v>0</v>
      </c>
      <c r="H765">
        <f>[5]trip_summary_region!H765</f>
        <v>0.51346004550000002</v>
      </c>
      <c r="I765" t="str">
        <f>[5]trip_summary_region!I765</f>
        <v>Other Household Travel</v>
      </c>
      <c r="J765" t="str">
        <f>[5]trip_summary_region!J765</f>
        <v>2012/13</v>
      </c>
    </row>
    <row r="766" spans="1:10" x14ac:dyDescent="0.2">
      <c r="A766" t="str">
        <f>[5]trip_summary_region!A766</f>
        <v>10 NELS-MARLB-TAS</v>
      </c>
      <c r="B766">
        <f>[5]trip_summary_region!B766</f>
        <v>9</v>
      </c>
      <c r="C766">
        <f>[5]trip_summary_region!C766</f>
        <v>2018</v>
      </c>
      <c r="D766">
        <f>[5]trip_summary_region!D766</f>
        <v>24</v>
      </c>
      <c r="E766">
        <f>[5]trip_summary_region!E766</f>
        <v>56</v>
      </c>
      <c r="F766">
        <f>[5]trip_summary_region!F766</f>
        <v>1.4979112155000001</v>
      </c>
      <c r="G766">
        <f>[5]trip_summary_region!G766</f>
        <v>0</v>
      </c>
      <c r="H766">
        <f>[5]trip_summary_region!H766</f>
        <v>0.51017048190000003</v>
      </c>
      <c r="I766" t="str">
        <f>[5]trip_summary_region!I766</f>
        <v>Other Household Travel</v>
      </c>
      <c r="J766" t="str">
        <f>[5]trip_summary_region!J766</f>
        <v>2017/18</v>
      </c>
    </row>
    <row r="767" spans="1:10" x14ac:dyDescent="0.2">
      <c r="A767" t="str">
        <f>[5]trip_summary_region!A767</f>
        <v>10 NELS-MARLB-TAS</v>
      </c>
      <c r="B767">
        <f>[5]trip_summary_region!B767</f>
        <v>9</v>
      </c>
      <c r="C767">
        <f>[5]trip_summary_region!C767</f>
        <v>2023</v>
      </c>
      <c r="D767">
        <f>[5]trip_summary_region!D767</f>
        <v>24</v>
      </c>
      <c r="E767">
        <f>[5]trip_summary_region!E767</f>
        <v>56</v>
      </c>
      <c r="F767">
        <f>[5]trip_summary_region!F767</f>
        <v>1.5048342263000001</v>
      </c>
      <c r="G767">
        <f>[5]trip_summary_region!G767</f>
        <v>0</v>
      </c>
      <c r="H767">
        <f>[5]trip_summary_region!H767</f>
        <v>0.51148348899999996</v>
      </c>
      <c r="I767" t="str">
        <f>[5]trip_summary_region!I767</f>
        <v>Other Household Travel</v>
      </c>
      <c r="J767" t="str">
        <f>[5]trip_summary_region!J767</f>
        <v>2022/23</v>
      </c>
    </row>
    <row r="768" spans="1:10" x14ac:dyDescent="0.2">
      <c r="A768" t="str">
        <f>[5]trip_summary_region!A768</f>
        <v>10 NELS-MARLB-TAS</v>
      </c>
      <c r="B768">
        <f>[5]trip_summary_region!B768</f>
        <v>9</v>
      </c>
      <c r="C768">
        <f>[5]trip_summary_region!C768</f>
        <v>2028</v>
      </c>
      <c r="D768">
        <f>[5]trip_summary_region!D768</f>
        <v>24</v>
      </c>
      <c r="E768">
        <f>[5]trip_summary_region!E768</f>
        <v>56</v>
      </c>
      <c r="F768">
        <f>[5]trip_summary_region!F768</f>
        <v>1.5270437851000001</v>
      </c>
      <c r="G768">
        <f>[5]trip_summary_region!G768</f>
        <v>0</v>
      </c>
      <c r="H768">
        <f>[5]trip_summary_region!H768</f>
        <v>0.51551951409999996</v>
      </c>
      <c r="I768" t="str">
        <f>[5]trip_summary_region!I768</f>
        <v>Other Household Travel</v>
      </c>
      <c r="J768" t="str">
        <f>[5]trip_summary_region!J768</f>
        <v>2027/28</v>
      </c>
    </row>
    <row r="769" spans="1:10" x14ac:dyDescent="0.2">
      <c r="A769" t="str">
        <f>[5]trip_summary_region!A769</f>
        <v>10 NELS-MARLB-TAS</v>
      </c>
      <c r="B769">
        <f>[5]trip_summary_region!B769</f>
        <v>9</v>
      </c>
      <c r="C769">
        <f>[5]trip_summary_region!C769</f>
        <v>2033</v>
      </c>
      <c r="D769">
        <f>[5]trip_summary_region!D769</f>
        <v>24</v>
      </c>
      <c r="E769">
        <f>[5]trip_summary_region!E769</f>
        <v>56</v>
      </c>
      <c r="F769">
        <f>[5]trip_summary_region!F769</f>
        <v>1.5375857278</v>
      </c>
      <c r="G769">
        <f>[5]trip_summary_region!G769</f>
        <v>0</v>
      </c>
      <c r="H769">
        <f>[5]trip_summary_region!H769</f>
        <v>0.51118786189999998</v>
      </c>
      <c r="I769" t="str">
        <f>[5]trip_summary_region!I769</f>
        <v>Other Household Travel</v>
      </c>
      <c r="J769" t="str">
        <f>[5]trip_summary_region!J769</f>
        <v>2032/33</v>
      </c>
    </row>
    <row r="770" spans="1:10" x14ac:dyDescent="0.2">
      <c r="A770" t="str">
        <f>[5]trip_summary_region!A770</f>
        <v>10 NELS-MARLB-TAS</v>
      </c>
      <c r="B770">
        <f>[5]trip_summary_region!B770</f>
        <v>9</v>
      </c>
      <c r="C770">
        <f>[5]trip_summary_region!C770</f>
        <v>2038</v>
      </c>
      <c r="D770">
        <f>[5]trip_summary_region!D770</f>
        <v>24</v>
      </c>
      <c r="E770">
        <f>[5]trip_summary_region!E770</f>
        <v>56</v>
      </c>
      <c r="F770">
        <f>[5]trip_summary_region!F770</f>
        <v>1.5789573075000001</v>
      </c>
      <c r="G770">
        <f>[5]trip_summary_region!G770</f>
        <v>0</v>
      </c>
      <c r="H770">
        <f>[5]trip_summary_region!H770</f>
        <v>0.52048441249999999</v>
      </c>
      <c r="I770" t="str">
        <f>[5]trip_summary_region!I770</f>
        <v>Other Household Travel</v>
      </c>
      <c r="J770" t="str">
        <f>[5]trip_summary_region!J770</f>
        <v>2037/38</v>
      </c>
    </row>
    <row r="771" spans="1:10" x14ac:dyDescent="0.2">
      <c r="A771" t="str">
        <f>[5]trip_summary_region!A771</f>
        <v>10 NELS-MARLB-TAS</v>
      </c>
      <c r="B771">
        <f>[5]trip_summary_region!B771</f>
        <v>9</v>
      </c>
      <c r="C771">
        <f>[5]trip_summary_region!C771</f>
        <v>2043</v>
      </c>
      <c r="D771">
        <f>[5]trip_summary_region!D771</f>
        <v>24</v>
      </c>
      <c r="E771">
        <f>[5]trip_summary_region!E771</f>
        <v>56</v>
      </c>
      <c r="F771">
        <f>[5]trip_summary_region!F771</f>
        <v>1.6029930688</v>
      </c>
      <c r="G771">
        <f>[5]trip_summary_region!G771</f>
        <v>0</v>
      </c>
      <c r="H771">
        <f>[5]trip_summary_region!H771</f>
        <v>0.52499527930000001</v>
      </c>
      <c r="I771" t="str">
        <f>[5]trip_summary_region!I771</f>
        <v>Other Household Travel</v>
      </c>
      <c r="J771" t="str">
        <f>[5]trip_summary_region!J771</f>
        <v>2042/43</v>
      </c>
    </row>
    <row r="772" spans="1:10" x14ac:dyDescent="0.2">
      <c r="A772" t="str">
        <f>[5]trip_summary_region!A772</f>
        <v>10 NELS-MARLB-TAS</v>
      </c>
      <c r="B772">
        <f>[5]trip_summary_region!B772</f>
        <v>10</v>
      </c>
      <c r="C772">
        <f>[5]trip_summary_region!C772</f>
        <v>2013</v>
      </c>
      <c r="D772">
        <f>[5]trip_summary_region!D772</f>
        <v>11</v>
      </c>
      <c r="E772">
        <f>[5]trip_summary_region!E772</f>
        <v>13</v>
      </c>
      <c r="F772">
        <f>[5]trip_summary_region!F772</f>
        <v>0.38277994659999998</v>
      </c>
      <c r="G772">
        <f>[5]trip_summary_region!G772</f>
        <v>0</v>
      </c>
      <c r="H772">
        <f>[5]trip_summary_region!H772</f>
        <v>0.45211944030000001</v>
      </c>
      <c r="I772" t="str">
        <f>[5]trip_summary_region!I772</f>
        <v>Air/Non-Local PT</v>
      </c>
      <c r="J772" t="str">
        <f>[5]trip_summary_region!J772</f>
        <v>2012/13</v>
      </c>
    </row>
    <row r="773" spans="1:10" x14ac:dyDescent="0.2">
      <c r="A773" t="str">
        <f>[5]trip_summary_region!A773</f>
        <v>10 NELS-MARLB-TAS</v>
      </c>
      <c r="B773">
        <f>[5]trip_summary_region!B773</f>
        <v>10</v>
      </c>
      <c r="C773">
        <f>[5]trip_summary_region!C773</f>
        <v>2018</v>
      </c>
      <c r="D773">
        <f>[5]trip_summary_region!D773</f>
        <v>11</v>
      </c>
      <c r="E773">
        <f>[5]trip_summary_region!E773</f>
        <v>13</v>
      </c>
      <c r="F773">
        <f>[5]trip_summary_region!F773</f>
        <v>0.40264213589999998</v>
      </c>
      <c r="G773">
        <f>[5]trip_summary_region!G773</f>
        <v>0</v>
      </c>
      <c r="H773">
        <f>[5]trip_summary_region!H773</f>
        <v>0.46613795159999999</v>
      </c>
      <c r="I773" t="str">
        <f>[5]trip_summary_region!I773</f>
        <v>Air/Non-Local PT</v>
      </c>
      <c r="J773" t="str">
        <f>[5]trip_summary_region!J773</f>
        <v>2017/18</v>
      </c>
    </row>
    <row r="774" spans="1:10" x14ac:dyDescent="0.2">
      <c r="A774" t="str">
        <f>[5]trip_summary_region!A774</f>
        <v>10 NELS-MARLB-TAS</v>
      </c>
      <c r="B774">
        <f>[5]trip_summary_region!B774</f>
        <v>10</v>
      </c>
      <c r="C774">
        <f>[5]trip_summary_region!C774</f>
        <v>2023</v>
      </c>
      <c r="D774">
        <f>[5]trip_summary_region!D774</f>
        <v>11</v>
      </c>
      <c r="E774">
        <f>[5]trip_summary_region!E774</f>
        <v>13</v>
      </c>
      <c r="F774">
        <f>[5]trip_summary_region!F774</f>
        <v>0.41210854740000002</v>
      </c>
      <c r="G774">
        <f>[5]trip_summary_region!G774</f>
        <v>0</v>
      </c>
      <c r="H774">
        <f>[5]trip_summary_region!H774</f>
        <v>0.47248051590000001</v>
      </c>
      <c r="I774" t="str">
        <f>[5]trip_summary_region!I774</f>
        <v>Air/Non-Local PT</v>
      </c>
      <c r="J774" t="str">
        <f>[5]trip_summary_region!J774</f>
        <v>2022/23</v>
      </c>
    </row>
    <row r="775" spans="1:10" x14ac:dyDescent="0.2">
      <c r="A775" t="str">
        <f>[5]trip_summary_region!A775</f>
        <v>10 NELS-MARLB-TAS</v>
      </c>
      <c r="B775">
        <f>[5]trip_summary_region!B775</f>
        <v>10</v>
      </c>
      <c r="C775">
        <f>[5]trip_summary_region!C775</f>
        <v>2028</v>
      </c>
      <c r="D775">
        <f>[5]trip_summary_region!D775</f>
        <v>11</v>
      </c>
      <c r="E775">
        <f>[5]trip_summary_region!E775</f>
        <v>13</v>
      </c>
      <c r="F775">
        <f>[5]trip_summary_region!F775</f>
        <v>0.41403560560000002</v>
      </c>
      <c r="G775">
        <f>[5]trip_summary_region!G775</f>
        <v>0</v>
      </c>
      <c r="H775">
        <f>[5]trip_summary_region!H775</f>
        <v>0.46701935849999998</v>
      </c>
      <c r="I775" t="str">
        <f>[5]trip_summary_region!I775</f>
        <v>Air/Non-Local PT</v>
      </c>
      <c r="J775" t="str">
        <f>[5]trip_summary_region!J775</f>
        <v>2027/28</v>
      </c>
    </row>
    <row r="776" spans="1:10" x14ac:dyDescent="0.2">
      <c r="A776" t="str">
        <f>[5]trip_summary_region!A776</f>
        <v>10 NELS-MARLB-TAS</v>
      </c>
      <c r="B776">
        <f>[5]trip_summary_region!B776</f>
        <v>10</v>
      </c>
      <c r="C776">
        <f>[5]trip_summary_region!C776</f>
        <v>2033</v>
      </c>
      <c r="D776">
        <f>[5]trip_summary_region!D776</f>
        <v>11</v>
      </c>
      <c r="E776">
        <f>[5]trip_summary_region!E776</f>
        <v>13</v>
      </c>
      <c r="F776">
        <f>[5]trip_summary_region!F776</f>
        <v>0.41451133080000002</v>
      </c>
      <c r="G776">
        <f>[5]trip_summary_region!G776</f>
        <v>0</v>
      </c>
      <c r="H776">
        <f>[5]trip_summary_region!H776</f>
        <v>0.44462086649999999</v>
      </c>
      <c r="I776" t="str">
        <f>[5]trip_summary_region!I776</f>
        <v>Air/Non-Local PT</v>
      </c>
      <c r="J776" t="str">
        <f>[5]trip_summary_region!J776</f>
        <v>2032/33</v>
      </c>
    </row>
    <row r="777" spans="1:10" x14ac:dyDescent="0.2">
      <c r="A777" t="str">
        <f>[5]trip_summary_region!A777</f>
        <v>10 NELS-MARLB-TAS</v>
      </c>
      <c r="B777">
        <f>[5]trip_summary_region!B777</f>
        <v>10</v>
      </c>
      <c r="C777">
        <f>[5]trip_summary_region!C777</f>
        <v>2038</v>
      </c>
      <c r="D777">
        <f>[5]trip_summary_region!D777</f>
        <v>11</v>
      </c>
      <c r="E777">
        <f>[5]trip_summary_region!E777</f>
        <v>13</v>
      </c>
      <c r="F777">
        <f>[5]trip_summary_region!F777</f>
        <v>0.40777855019999998</v>
      </c>
      <c r="G777">
        <f>[5]trip_summary_region!G777</f>
        <v>0</v>
      </c>
      <c r="H777">
        <f>[5]trip_summary_region!H777</f>
        <v>0.40691504119999999</v>
      </c>
      <c r="I777" t="str">
        <f>[5]trip_summary_region!I777</f>
        <v>Air/Non-Local PT</v>
      </c>
      <c r="J777" t="str">
        <f>[5]trip_summary_region!J777</f>
        <v>2037/38</v>
      </c>
    </row>
    <row r="778" spans="1:10" x14ac:dyDescent="0.2">
      <c r="A778" t="str">
        <f>[5]trip_summary_region!A778</f>
        <v>10 NELS-MARLB-TAS</v>
      </c>
      <c r="B778">
        <f>[5]trip_summary_region!B778</f>
        <v>10</v>
      </c>
      <c r="C778">
        <f>[5]trip_summary_region!C778</f>
        <v>2043</v>
      </c>
      <c r="D778">
        <f>[5]trip_summary_region!D778</f>
        <v>11</v>
      </c>
      <c r="E778">
        <f>[5]trip_summary_region!E778</f>
        <v>13</v>
      </c>
      <c r="F778">
        <f>[5]trip_summary_region!F778</f>
        <v>0.39925086980000002</v>
      </c>
      <c r="G778">
        <f>[5]trip_summary_region!G778</f>
        <v>0</v>
      </c>
      <c r="H778">
        <f>[5]trip_summary_region!H778</f>
        <v>0.37088294579999997</v>
      </c>
      <c r="I778" t="str">
        <f>[5]trip_summary_region!I778</f>
        <v>Air/Non-Local PT</v>
      </c>
      <c r="J778" t="str">
        <f>[5]trip_summary_region!J778</f>
        <v>2042/43</v>
      </c>
    </row>
    <row r="779" spans="1:10" x14ac:dyDescent="0.2">
      <c r="A779" t="str">
        <f>[5]trip_summary_region!A779</f>
        <v>10 NELS-MARLB-TAS</v>
      </c>
      <c r="B779">
        <f>[5]trip_summary_region!B779</f>
        <v>11</v>
      </c>
      <c r="C779">
        <f>[5]trip_summary_region!C779</f>
        <v>2013</v>
      </c>
      <c r="D779">
        <f>[5]trip_summary_region!D779</f>
        <v>10</v>
      </c>
      <c r="E779">
        <f>[5]trip_summary_region!E779</f>
        <v>59</v>
      </c>
      <c r="F779">
        <f>[5]trip_summary_region!F779</f>
        <v>1.9294573958000001</v>
      </c>
      <c r="G779">
        <f>[5]trip_summary_region!G779</f>
        <v>30.128221894999999</v>
      </c>
      <c r="H779">
        <f>[5]trip_summary_region!H779</f>
        <v>0.79809006319999998</v>
      </c>
      <c r="I779" t="str">
        <f>[5]trip_summary_region!I779</f>
        <v>Non-Household Travel</v>
      </c>
      <c r="J779" t="str">
        <f>[5]trip_summary_region!J779</f>
        <v>2012/13</v>
      </c>
    </row>
    <row r="780" spans="1:10" x14ac:dyDescent="0.2">
      <c r="A780" t="str">
        <f>[5]trip_summary_region!A780</f>
        <v>10 NELS-MARLB-TAS</v>
      </c>
      <c r="B780">
        <f>[5]trip_summary_region!B780</f>
        <v>11</v>
      </c>
      <c r="C780">
        <f>[5]trip_summary_region!C780</f>
        <v>2018</v>
      </c>
      <c r="D780">
        <f>[5]trip_summary_region!D780</f>
        <v>10</v>
      </c>
      <c r="E780">
        <f>[5]trip_summary_region!E780</f>
        <v>59</v>
      </c>
      <c r="F780">
        <f>[5]trip_summary_region!F780</f>
        <v>1.7953095885999999</v>
      </c>
      <c r="G780">
        <f>[5]trip_summary_region!G780</f>
        <v>30.770294766999999</v>
      </c>
      <c r="H780">
        <f>[5]trip_summary_region!H780</f>
        <v>0.80546878879999995</v>
      </c>
      <c r="I780" t="str">
        <f>[5]trip_summary_region!I780</f>
        <v>Non-Household Travel</v>
      </c>
      <c r="J780" t="str">
        <f>[5]trip_summary_region!J780</f>
        <v>2017/18</v>
      </c>
    </row>
    <row r="781" spans="1:10" x14ac:dyDescent="0.2">
      <c r="A781" t="str">
        <f>[5]trip_summary_region!A781</f>
        <v>10 NELS-MARLB-TAS</v>
      </c>
      <c r="B781">
        <f>[5]trip_summary_region!B781</f>
        <v>11</v>
      </c>
      <c r="C781">
        <f>[5]trip_summary_region!C781</f>
        <v>2023</v>
      </c>
      <c r="D781">
        <f>[5]trip_summary_region!D781</f>
        <v>10</v>
      </c>
      <c r="E781">
        <f>[5]trip_summary_region!E781</f>
        <v>59</v>
      </c>
      <c r="F781">
        <f>[5]trip_summary_region!F781</f>
        <v>1.6252712969000001</v>
      </c>
      <c r="G781">
        <f>[5]trip_summary_region!G781</f>
        <v>30.20281211</v>
      </c>
      <c r="H781">
        <f>[5]trip_summary_region!H781</f>
        <v>0.77744629170000001</v>
      </c>
      <c r="I781" t="str">
        <f>[5]trip_summary_region!I781</f>
        <v>Non-Household Travel</v>
      </c>
      <c r="J781" t="str">
        <f>[5]trip_summary_region!J781</f>
        <v>2022/23</v>
      </c>
    </row>
    <row r="782" spans="1:10" x14ac:dyDescent="0.2">
      <c r="A782" t="str">
        <f>[5]trip_summary_region!A782</f>
        <v>10 NELS-MARLB-TAS</v>
      </c>
      <c r="B782">
        <f>[5]trip_summary_region!B782</f>
        <v>11</v>
      </c>
      <c r="C782">
        <f>[5]trip_summary_region!C782</f>
        <v>2028</v>
      </c>
      <c r="D782">
        <f>[5]trip_summary_region!D782</f>
        <v>10</v>
      </c>
      <c r="E782">
        <f>[5]trip_summary_region!E782</f>
        <v>59</v>
      </c>
      <c r="F782">
        <f>[5]trip_summary_region!F782</f>
        <v>1.482947835</v>
      </c>
      <c r="G782">
        <f>[5]trip_summary_region!G782</f>
        <v>28.286901778000001</v>
      </c>
      <c r="H782">
        <f>[5]trip_summary_region!H782</f>
        <v>0.72078453720000002</v>
      </c>
      <c r="I782" t="str">
        <f>[5]trip_summary_region!I782</f>
        <v>Non-Household Travel</v>
      </c>
      <c r="J782" t="str">
        <f>[5]trip_summary_region!J782</f>
        <v>2027/28</v>
      </c>
    </row>
    <row r="783" spans="1:10" x14ac:dyDescent="0.2">
      <c r="A783" t="str">
        <f>[5]trip_summary_region!A783</f>
        <v>10 NELS-MARLB-TAS</v>
      </c>
      <c r="B783">
        <f>[5]trip_summary_region!B783</f>
        <v>11</v>
      </c>
      <c r="C783">
        <f>[5]trip_summary_region!C783</f>
        <v>2033</v>
      </c>
      <c r="D783">
        <f>[5]trip_summary_region!D783</f>
        <v>10</v>
      </c>
      <c r="E783">
        <f>[5]trip_summary_region!E783</f>
        <v>59</v>
      </c>
      <c r="F783">
        <f>[5]trip_summary_region!F783</f>
        <v>1.4175786797000001</v>
      </c>
      <c r="G783">
        <f>[5]trip_summary_region!G783</f>
        <v>25.857582742999998</v>
      </c>
      <c r="H783">
        <f>[5]trip_summary_region!H783</f>
        <v>0.66220305010000002</v>
      </c>
      <c r="I783" t="str">
        <f>[5]trip_summary_region!I783</f>
        <v>Non-Household Travel</v>
      </c>
      <c r="J783" t="str">
        <f>[5]trip_summary_region!J783</f>
        <v>2032/33</v>
      </c>
    </row>
    <row r="784" spans="1:10" x14ac:dyDescent="0.2">
      <c r="A784" t="str">
        <f>[5]trip_summary_region!A784</f>
        <v>10 NELS-MARLB-TAS</v>
      </c>
      <c r="B784">
        <f>[5]trip_summary_region!B784</f>
        <v>11</v>
      </c>
      <c r="C784">
        <f>[5]trip_summary_region!C784</f>
        <v>2038</v>
      </c>
      <c r="D784">
        <f>[5]trip_summary_region!D784</f>
        <v>10</v>
      </c>
      <c r="E784">
        <f>[5]trip_summary_region!E784</f>
        <v>59</v>
      </c>
      <c r="F784">
        <f>[5]trip_summary_region!F784</f>
        <v>1.4374661921</v>
      </c>
      <c r="G784">
        <f>[5]trip_summary_region!G784</f>
        <v>23.396999486999999</v>
      </c>
      <c r="H784">
        <f>[5]trip_summary_region!H784</f>
        <v>0.61119138610000001</v>
      </c>
      <c r="I784" t="str">
        <f>[5]trip_summary_region!I784</f>
        <v>Non-Household Travel</v>
      </c>
      <c r="J784" t="str">
        <f>[5]trip_summary_region!J784</f>
        <v>2037/38</v>
      </c>
    </row>
    <row r="785" spans="1:10" x14ac:dyDescent="0.2">
      <c r="A785" t="str">
        <f>[5]trip_summary_region!A785</f>
        <v>10 NELS-MARLB-TAS</v>
      </c>
      <c r="B785">
        <f>[5]trip_summary_region!B785</f>
        <v>11</v>
      </c>
      <c r="C785">
        <f>[5]trip_summary_region!C785</f>
        <v>2043</v>
      </c>
      <c r="D785">
        <f>[5]trip_summary_region!D785</f>
        <v>10</v>
      </c>
      <c r="E785">
        <f>[5]trip_summary_region!E785</f>
        <v>59</v>
      </c>
      <c r="F785">
        <f>[5]trip_summary_region!F785</f>
        <v>1.4370015287</v>
      </c>
      <c r="G785">
        <f>[5]trip_summary_region!G785</f>
        <v>21.010484274</v>
      </c>
      <c r="H785">
        <f>[5]trip_summary_region!H785</f>
        <v>0.5593524406</v>
      </c>
      <c r="I785" t="str">
        <f>[5]trip_summary_region!I785</f>
        <v>Non-Household Travel</v>
      </c>
      <c r="J785" t="str">
        <f>[5]trip_summary_region!J785</f>
        <v>2042/43</v>
      </c>
    </row>
    <row r="786" spans="1:10" x14ac:dyDescent="0.2">
      <c r="A786" t="str">
        <f>[5]trip_summary_region!A786</f>
        <v>12 WEST COAST</v>
      </c>
      <c r="B786">
        <f>[5]trip_summary_region!B786</f>
        <v>0</v>
      </c>
      <c r="C786">
        <f>[5]trip_summary_region!C786</f>
        <v>2013</v>
      </c>
      <c r="D786">
        <f>[5]trip_summary_region!D786</f>
        <v>145</v>
      </c>
      <c r="E786">
        <f>[5]trip_summary_region!E786</f>
        <v>451</v>
      </c>
      <c r="F786">
        <f>[5]trip_summary_region!F786</f>
        <v>5.2699511529</v>
      </c>
      <c r="G786">
        <f>[5]trip_summary_region!G786</f>
        <v>4.6474841125999999</v>
      </c>
      <c r="H786">
        <f>[5]trip_summary_region!H786</f>
        <v>1.1518220776999999</v>
      </c>
      <c r="I786" t="str">
        <f>[5]trip_summary_region!I786</f>
        <v>Pedestrian</v>
      </c>
      <c r="J786" t="str">
        <f>[5]trip_summary_region!J786</f>
        <v>2012/13</v>
      </c>
    </row>
    <row r="787" spans="1:10" x14ac:dyDescent="0.2">
      <c r="A787" t="str">
        <f>[5]trip_summary_region!A787</f>
        <v>12 WEST COAST</v>
      </c>
      <c r="B787">
        <f>[5]trip_summary_region!B787</f>
        <v>0</v>
      </c>
      <c r="C787">
        <f>[5]trip_summary_region!C787</f>
        <v>2018</v>
      </c>
      <c r="D787">
        <f>[5]trip_summary_region!D787</f>
        <v>145</v>
      </c>
      <c r="E787">
        <f>[5]trip_summary_region!E787</f>
        <v>451</v>
      </c>
      <c r="F787">
        <f>[5]trip_summary_region!F787</f>
        <v>4.9393026970999996</v>
      </c>
      <c r="G787">
        <f>[5]trip_summary_region!G787</f>
        <v>4.4414568081999999</v>
      </c>
      <c r="H787">
        <f>[5]trip_summary_region!H787</f>
        <v>1.1138050035</v>
      </c>
      <c r="I787" t="str">
        <f>[5]trip_summary_region!I787</f>
        <v>Pedestrian</v>
      </c>
      <c r="J787" t="str">
        <f>[5]trip_summary_region!J787</f>
        <v>2017/18</v>
      </c>
    </row>
    <row r="788" spans="1:10" x14ac:dyDescent="0.2">
      <c r="A788" t="str">
        <f>[5]trip_summary_region!A788</f>
        <v>12 WEST COAST</v>
      </c>
      <c r="B788">
        <f>[5]trip_summary_region!B788</f>
        <v>0</v>
      </c>
      <c r="C788">
        <f>[5]trip_summary_region!C788</f>
        <v>2023</v>
      </c>
      <c r="D788">
        <f>[5]trip_summary_region!D788</f>
        <v>145</v>
      </c>
      <c r="E788">
        <f>[5]trip_summary_region!E788</f>
        <v>451</v>
      </c>
      <c r="F788">
        <f>[5]trip_summary_region!F788</f>
        <v>4.5050644939</v>
      </c>
      <c r="G788">
        <f>[5]trip_summary_region!G788</f>
        <v>4.084577393</v>
      </c>
      <c r="H788">
        <f>[5]trip_summary_region!H788</f>
        <v>1.0389175137</v>
      </c>
      <c r="I788" t="str">
        <f>[5]trip_summary_region!I788</f>
        <v>Pedestrian</v>
      </c>
      <c r="J788" t="str">
        <f>[5]trip_summary_region!J788</f>
        <v>2022/23</v>
      </c>
    </row>
    <row r="789" spans="1:10" x14ac:dyDescent="0.2">
      <c r="A789" t="str">
        <f>[5]trip_summary_region!A789</f>
        <v>12 WEST COAST</v>
      </c>
      <c r="B789">
        <f>[5]trip_summary_region!B789</f>
        <v>0</v>
      </c>
      <c r="C789">
        <f>[5]trip_summary_region!C789</f>
        <v>2028</v>
      </c>
      <c r="D789">
        <f>[5]trip_summary_region!D789</f>
        <v>145</v>
      </c>
      <c r="E789">
        <f>[5]trip_summary_region!E789</f>
        <v>451</v>
      </c>
      <c r="F789">
        <f>[5]trip_summary_region!F789</f>
        <v>4.2988840582999996</v>
      </c>
      <c r="G789">
        <f>[5]trip_summary_region!G789</f>
        <v>3.9346455683000001</v>
      </c>
      <c r="H789">
        <f>[5]trip_summary_region!H789</f>
        <v>1.0053988699</v>
      </c>
      <c r="I789" t="str">
        <f>[5]trip_summary_region!I789</f>
        <v>Pedestrian</v>
      </c>
      <c r="J789" t="str">
        <f>[5]trip_summary_region!J789</f>
        <v>2027/28</v>
      </c>
    </row>
    <row r="790" spans="1:10" x14ac:dyDescent="0.2">
      <c r="A790" t="str">
        <f>[5]trip_summary_region!A790</f>
        <v>12 WEST COAST</v>
      </c>
      <c r="B790">
        <f>[5]trip_summary_region!B790</f>
        <v>0</v>
      </c>
      <c r="C790">
        <f>[5]trip_summary_region!C790</f>
        <v>2033</v>
      </c>
      <c r="D790">
        <f>[5]trip_summary_region!D790</f>
        <v>145</v>
      </c>
      <c r="E790">
        <f>[5]trip_summary_region!E790</f>
        <v>451</v>
      </c>
      <c r="F790">
        <f>[5]trip_summary_region!F790</f>
        <v>4.0522791148000001</v>
      </c>
      <c r="G790">
        <f>[5]trip_summary_region!G790</f>
        <v>3.7422715271999998</v>
      </c>
      <c r="H790">
        <f>[5]trip_summary_region!H790</f>
        <v>0.95786105239999997</v>
      </c>
      <c r="I790" t="str">
        <f>[5]trip_summary_region!I790</f>
        <v>Pedestrian</v>
      </c>
      <c r="J790" t="str">
        <f>[5]trip_summary_region!J790</f>
        <v>2032/33</v>
      </c>
    </row>
    <row r="791" spans="1:10" x14ac:dyDescent="0.2">
      <c r="A791" t="str">
        <f>[5]trip_summary_region!A791</f>
        <v>12 WEST COAST</v>
      </c>
      <c r="B791">
        <f>[5]trip_summary_region!B791</f>
        <v>0</v>
      </c>
      <c r="C791">
        <f>[5]trip_summary_region!C791</f>
        <v>2038</v>
      </c>
      <c r="D791">
        <f>[5]trip_summary_region!D791</f>
        <v>145</v>
      </c>
      <c r="E791">
        <f>[5]trip_summary_region!E791</f>
        <v>451</v>
      </c>
      <c r="F791">
        <f>[5]trip_summary_region!F791</f>
        <v>3.791696704</v>
      </c>
      <c r="G791">
        <f>[5]trip_summary_region!G791</f>
        <v>3.543936236</v>
      </c>
      <c r="H791">
        <f>[5]trip_summary_region!H791</f>
        <v>0.90786938179999999</v>
      </c>
      <c r="I791" t="str">
        <f>[5]trip_summary_region!I791</f>
        <v>Pedestrian</v>
      </c>
      <c r="J791" t="str">
        <f>[5]trip_summary_region!J791</f>
        <v>2037/38</v>
      </c>
    </row>
    <row r="792" spans="1:10" x14ac:dyDescent="0.2">
      <c r="A792" t="str">
        <f>[5]trip_summary_region!A792</f>
        <v>12 WEST COAST</v>
      </c>
      <c r="B792">
        <f>[5]trip_summary_region!B792</f>
        <v>0</v>
      </c>
      <c r="C792">
        <f>[5]trip_summary_region!C792</f>
        <v>2043</v>
      </c>
      <c r="D792">
        <f>[5]trip_summary_region!D792</f>
        <v>145</v>
      </c>
      <c r="E792">
        <f>[5]trip_summary_region!E792</f>
        <v>451</v>
      </c>
      <c r="F792">
        <f>[5]trip_summary_region!F792</f>
        <v>3.5522238145</v>
      </c>
      <c r="G792">
        <f>[5]trip_summary_region!G792</f>
        <v>3.3654930918999999</v>
      </c>
      <c r="H792">
        <f>[5]trip_summary_region!H792</f>
        <v>0.8617852895</v>
      </c>
      <c r="I792" t="str">
        <f>[5]trip_summary_region!I792</f>
        <v>Pedestrian</v>
      </c>
      <c r="J792" t="str">
        <f>[5]trip_summary_region!J792</f>
        <v>2042/43</v>
      </c>
    </row>
    <row r="793" spans="1:10" x14ac:dyDescent="0.2">
      <c r="A793" t="str">
        <f>[5]trip_summary_region!A793</f>
        <v>12 WEST COAST</v>
      </c>
      <c r="B793">
        <f>[5]trip_summary_region!B793</f>
        <v>1</v>
      </c>
      <c r="C793">
        <f>[5]trip_summary_region!C793</f>
        <v>2013</v>
      </c>
      <c r="D793">
        <f>[5]trip_summary_region!D793</f>
        <v>23</v>
      </c>
      <c r="E793">
        <f>[5]trip_summary_region!E793</f>
        <v>75</v>
      </c>
      <c r="F793">
        <f>[5]trip_summary_region!F793</f>
        <v>0.73381292249999996</v>
      </c>
      <c r="G793">
        <f>[5]trip_summary_region!G793</f>
        <v>1.9571055828999999</v>
      </c>
      <c r="H793">
        <f>[5]trip_summary_region!H793</f>
        <v>0.17528853950000001</v>
      </c>
      <c r="I793" t="str">
        <f>[5]trip_summary_region!I793</f>
        <v>Cyclist</v>
      </c>
      <c r="J793" t="str">
        <f>[5]trip_summary_region!J793</f>
        <v>2012/13</v>
      </c>
    </row>
    <row r="794" spans="1:10" x14ac:dyDescent="0.2">
      <c r="A794" t="str">
        <f>[5]trip_summary_region!A794</f>
        <v>12 WEST COAST</v>
      </c>
      <c r="B794">
        <f>[5]trip_summary_region!B794</f>
        <v>1</v>
      </c>
      <c r="C794">
        <f>[5]trip_summary_region!C794</f>
        <v>2018</v>
      </c>
      <c r="D794">
        <f>[5]trip_summary_region!D794</f>
        <v>23</v>
      </c>
      <c r="E794">
        <f>[5]trip_summary_region!E794</f>
        <v>75</v>
      </c>
      <c r="F794">
        <f>[5]trip_summary_region!F794</f>
        <v>0.71255864130000002</v>
      </c>
      <c r="G794">
        <f>[5]trip_summary_region!G794</f>
        <v>1.9829750068000001</v>
      </c>
      <c r="H794">
        <f>[5]trip_summary_region!H794</f>
        <v>0.1710125626</v>
      </c>
      <c r="I794" t="str">
        <f>[5]trip_summary_region!I794</f>
        <v>Cyclist</v>
      </c>
      <c r="J794" t="str">
        <f>[5]trip_summary_region!J794</f>
        <v>2017/18</v>
      </c>
    </row>
    <row r="795" spans="1:10" x14ac:dyDescent="0.2">
      <c r="A795" t="str">
        <f>[5]trip_summary_region!A795</f>
        <v>12 WEST COAST</v>
      </c>
      <c r="B795">
        <f>[5]trip_summary_region!B795</f>
        <v>1</v>
      </c>
      <c r="C795">
        <f>[5]trip_summary_region!C795</f>
        <v>2023</v>
      </c>
      <c r="D795">
        <f>[5]trip_summary_region!D795</f>
        <v>23</v>
      </c>
      <c r="E795">
        <f>[5]trip_summary_region!E795</f>
        <v>75</v>
      </c>
      <c r="F795">
        <f>[5]trip_summary_region!F795</f>
        <v>0.67154599199999998</v>
      </c>
      <c r="G795">
        <f>[5]trip_summary_region!G795</f>
        <v>1.9435373278000001</v>
      </c>
      <c r="H795">
        <f>[5]trip_summary_region!H795</f>
        <v>0.1624746916</v>
      </c>
      <c r="I795" t="str">
        <f>[5]trip_summary_region!I795</f>
        <v>Cyclist</v>
      </c>
      <c r="J795" t="str">
        <f>[5]trip_summary_region!J795</f>
        <v>2022/23</v>
      </c>
    </row>
    <row r="796" spans="1:10" x14ac:dyDescent="0.2">
      <c r="A796" t="str">
        <f>[5]trip_summary_region!A796</f>
        <v>12 WEST COAST</v>
      </c>
      <c r="B796">
        <f>[5]trip_summary_region!B796</f>
        <v>1</v>
      </c>
      <c r="C796">
        <f>[5]trip_summary_region!C796</f>
        <v>2028</v>
      </c>
      <c r="D796">
        <f>[5]trip_summary_region!D796</f>
        <v>23</v>
      </c>
      <c r="E796">
        <f>[5]trip_summary_region!E796</f>
        <v>75</v>
      </c>
      <c r="F796">
        <f>[5]trip_summary_region!F796</f>
        <v>0.64979389399999998</v>
      </c>
      <c r="G796">
        <f>[5]trip_summary_region!G796</f>
        <v>1.846950251</v>
      </c>
      <c r="H796">
        <f>[5]trip_summary_region!H796</f>
        <v>0.15472230249999999</v>
      </c>
      <c r="I796" t="str">
        <f>[5]trip_summary_region!I796</f>
        <v>Cyclist</v>
      </c>
      <c r="J796" t="str">
        <f>[5]trip_summary_region!J796</f>
        <v>2027/28</v>
      </c>
    </row>
    <row r="797" spans="1:10" x14ac:dyDescent="0.2">
      <c r="A797" t="str">
        <f>[5]trip_summary_region!A797</f>
        <v>12 WEST COAST</v>
      </c>
      <c r="B797">
        <f>[5]trip_summary_region!B797</f>
        <v>1</v>
      </c>
      <c r="C797">
        <f>[5]trip_summary_region!C797</f>
        <v>2033</v>
      </c>
      <c r="D797">
        <f>[5]trip_summary_region!D797</f>
        <v>23</v>
      </c>
      <c r="E797">
        <f>[5]trip_summary_region!E797</f>
        <v>75</v>
      </c>
      <c r="F797">
        <f>[5]trip_summary_region!F797</f>
        <v>0.60379421219999996</v>
      </c>
      <c r="G797">
        <f>[5]trip_summary_region!G797</f>
        <v>1.7599470812</v>
      </c>
      <c r="H797">
        <f>[5]trip_summary_region!H797</f>
        <v>0.14470744560000001</v>
      </c>
      <c r="I797" t="str">
        <f>[5]trip_summary_region!I797</f>
        <v>Cyclist</v>
      </c>
      <c r="J797" t="str">
        <f>[5]trip_summary_region!J797</f>
        <v>2032/33</v>
      </c>
    </row>
    <row r="798" spans="1:10" x14ac:dyDescent="0.2">
      <c r="A798" t="str">
        <f>[5]trip_summary_region!A798</f>
        <v>12 WEST COAST</v>
      </c>
      <c r="B798">
        <f>[5]trip_summary_region!B798</f>
        <v>1</v>
      </c>
      <c r="C798">
        <f>[5]trip_summary_region!C798</f>
        <v>2038</v>
      </c>
      <c r="D798">
        <f>[5]trip_summary_region!D798</f>
        <v>23</v>
      </c>
      <c r="E798">
        <f>[5]trip_summary_region!E798</f>
        <v>75</v>
      </c>
      <c r="F798">
        <f>[5]trip_summary_region!F798</f>
        <v>0.56604590180000003</v>
      </c>
      <c r="G798">
        <f>[5]trip_summary_region!G798</f>
        <v>1.7803038049</v>
      </c>
      <c r="H798">
        <f>[5]trip_summary_region!H798</f>
        <v>0.138821046</v>
      </c>
      <c r="I798" t="str">
        <f>[5]trip_summary_region!I798</f>
        <v>Cyclist</v>
      </c>
      <c r="J798" t="str">
        <f>[5]trip_summary_region!J798</f>
        <v>2037/38</v>
      </c>
    </row>
    <row r="799" spans="1:10" x14ac:dyDescent="0.2">
      <c r="A799" t="str">
        <f>[5]trip_summary_region!A799</f>
        <v>12 WEST COAST</v>
      </c>
      <c r="B799">
        <f>[5]trip_summary_region!B799</f>
        <v>1</v>
      </c>
      <c r="C799">
        <f>[5]trip_summary_region!C799</f>
        <v>2043</v>
      </c>
      <c r="D799">
        <f>[5]trip_summary_region!D799</f>
        <v>23</v>
      </c>
      <c r="E799">
        <f>[5]trip_summary_region!E799</f>
        <v>75</v>
      </c>
      <c r="F799">
        <f>[5]trip_summary_region!F799</f>
        <v>0.52664727950000001</v>
      </c>
      <c r="G799">
        <f>[5]trip_summary_region!G799</f>
        <v>1.7850135654999999</v>
      </c>
      <c r="H799">
        <f>[5]trip_summary_region!H799</f>
        <v>0.13235067110000001</v>
      </c>
      <c r="I799" t="str">
        <f>[5]trip_summary_region!I799</f>
        <v>Cyclist</v>
      </c>
      <c r="J799" t="str">
        <f>[5]trip_summary_region!J799</f>
        <v>2042/43</v>
      </c>
    </row>
    <row r="800" spans="1:10" x14ac:dyDescent="0.2">
      <c r="A800" t="str">
        <f>[5]trip_summary_region!A800</f>
        <v>12 WEST COAST</v>
      </c>
      <c r="B800">
        <f>[5]trip_summary_region!B800</f>
        <v>2</v>
      </c>
      <c r="C800">
        <f>[5]trip_summary_region!C800</f>
        <v>2013</v>
      </c>
      <c r="D800">
        <f>[5]trip_summary_region!D800</f>
        <v>269</v>
      </c>
      <c r="E800">
        <f>[5]trip_summary_region!E800</f>
        <v>1828</v>
      </c>
      <c r="F800">
        <f>[5]trip_summary_region!F800</f>
        <v>21.329902885999999</v>
      </c>
      <c r="G800">
        <f>[5]trip_summary_region!G800</f>
        <v>226.22434741999999</v>
      </c>
      <c r="H800">
        <f>[5]trip_summary_region!H800</f>
        <v>5.0852916584000001</v>
      </c>
      <c r="I800" t="str">
        <f>[5]trip_summary_region!I800</f>
        <v>Light Vehicle Driver</v>
      </c>
      <c r="J800" t="str">
        <f>[5]trip_summary_region!J800</f>
        <v>2012/13</v>
      </c>
    </row>
    <row r="801" spans="1:10" x14ac:dyDescent="0.2">
      <c r="A801" t="str">
        <f>[5]trip_summary_region!A801</f>
        <v>12 WEST COAST</v>
      </c>
      <c r="B801">
        <f>[5]trip_summary_region!B801</f>
        <v>2</v>
      </c>
      <c r="C801">
        <f>[5]trip_summary_region!C801</f>
        <v>2018</v>
      </c>
      <c r="D801">
        <f>[5]trip_summary_region!D801</f>
        <v>269</v>
      </c>
      <c r="E801">
        <f>[5]trip_summary_region!E801</f>
        <v>1828</v>
      </c>
      <c r="F801">
        <f>[5]trip_summary_region!F801</f>
        <v>21.173677544</v>
      </c>
      <c r="G801">
        <f>[5]trip_summary_region!G801</f>
        <v>229.12692038</v>
      </c>
      <c r="H801">
        <f>[5]trip_summary_region!H801</f>
        <v>5.1135673342999999</v>
      </c>
      <c r="I801" t="str">
        <f>[5]trip_summary_region!I801</f>
        <v>Light Vehicle Driver</v>
      </c>
      <c r="J801" t="str">
        <f>[5]trip_summary_region!J801</f>
        <v>2017/18</v>
      </c>
    </row>
    <row r="802" spans="1:10" x14ac:dyDescent="0.2">
      <c r="A802" t="str">
        <f>[5]trip_summary_region!A802</f>
        <v>12 WEST COAST</v>
      </c>
      <c r="B802">
        <f>[5]trip_summary_region!B802</f>
        <v>2</v>
      </c>
      <c r="C802">
        <f>[5]trip_summary_region!C802</f>
        <v>2023</v>
      </c>
      <c r="D802">
        <f>[5]trip_summary_region!D802</f>
        <v>269</v>
      </c>
      <c r="E802">
        <f>[5]trip_summary_region!E802</f>
        <v>1828</v>
      </c>
      <c r="F802">
        <f>[5]trip_summary_region!F802</f>
        <v>20.184921593999999</v>
      </c>
      <c r="G802">
        <f>[5]trip_summary_region!G802</f>
        <v>223.16558164</v>
      </c>
      <c r="H802">
        <f>[5]trip_summary_region!H802</f>
        <v>4.9364098557</v>
      </c>
      <c r="I802" t="str">
        <f>[5]trip_summary_region!I802</f>
        <v>Light Vehicle Driver</v>
      </c>
      <c r="J802" t="str">
        <f>[5]trip_summary_region!J802</f>
        <v>2022/23</v>
      </c>
    </row>
    <row r="803" spans="1:10" x14ac:dyDescent="0.2">
      <c r="A803" t="str">
        <f>[5]trip_summary_region!A803</f>
        <v>12 WEST COAST</v>
      </c>
      <c r="B803">
        <f>[5]trip_summary_region!B803</f>
        <v>2</v>
      </c>
      <c r="C803">
        <f>[5]trip_summary_region!C803</f>
        <v>2028</v>
      </c>
      <c r="D803">
        <f>[5]trip_summary_region!D803</f>
        <v>269</v>
      </c>
      <c r="E803">
        <f>[5]trip_summary_region!E803</f>
        <v>1828</v>
      </c>
      <c r="F803">
        <f>[5]trip_summary_region!F803</f>
        <v>19.524990466999999</v>
      </c>
      <c r="G803">
        <f>[5]trip_summary_region!G803</f>
        <v>218.50345934000001</v>
      </c>
      <c r="H803">
        <f>[5]trip_summary_region!H803</f>
        <v>4.8105852725</v>
      </c>
      <c r="I803" t="str">
        <f>[5]trip_summary_region!I803</f>
        <v>Light Vehicle Driver</v>
      </c>
      <c r="J803" t="str">
        <f>[5]trip_summary_region!J803</f>
        <v>2027/28</v>
      </c>
    </row>
    <row r="804" spans="1:10" x14ac:dyDescent="0.2">
      <c r="A804" t="str">
        <f>[5]trip_summary_region!A804</f>
        <v>12 WEST COAST</v>
      </c>
      <c r="B804">
        <f>[5]trip_summary_region!B804</f>
        <v>2</v>
      </c>
      <c r="C804">
        <f>[5]trip_summary_region!C804</f>
        <v>2033</v>
      </c>
      <c r="D804">
        <f>[5]trip_summary_region!D804</f>
        <v>269</v>
      </c>
      <c r="E804">
        <f>[5]trip_summary_region!E804</f>
        <v>1828</v>
      </c>
      <c r="F804">
        <f>[5]trip_summary_region!F804</f>
        <v>18.561013673000001</v>
      </c>
      <c r="G804">
        <f>[5]trip_summary_region!G804</f>
        <v>209.72816198999999</v>
      </c>
      <c r="H804">
        <f>[5]trip_summary_region!H804</f>
        <v>4.5971553331999999</v>
      </c>
      <c r="I804" t="str">
        <f>[5]trip_summary_region!I804</f>
        <v>Light Vehicle Driver</v>
      </c>
      <c r="J804" t="str">
        <f>[5]trip_summary_region!J804</f>
        <v>2032/33</v>
      </c>
    </row>
    <row r="805" spans="1:10" x14ac:dyDescent="0.2">
      <c r="A805" t="str">
        <f>[5]trip_summary_region!A805</f>
        <v>12 WEST COAST</v>
      </c>
      <c r="B805">
        <f>[5]trip_summary_region!B805</f>
        <v>2</v>
      </c>
      <c r="C805">
        <f>[5]trip_summary_region!C805</f>
        <v>2038</v>
      </c>
      <c r="D805">
        <f>[5]trip_summary_region!D805</f>
        <v>269</v>
      </c>
      <c r="E805">
        <f>[5]trip_summary_region!E805</f>
        <v>1828</v>
      </c>
      <c r="F805">
        <f>[5]trip_summary_region!F805</f>
        <v>17.904437155</v>
      </c>
      <c r="G805">
        <f>[5]trip_summary_region!G805</f>
        <v>205.19390440000001</v>
      </c>
      <c r="H805">
        <f>[5]trip_summary_region!H805</f>
        <v>4.4695559648999996</v>
      </c>
      <c r="I805" t="str">
        <f>[5]trip_summary_region!I805</f>
        <v>Light Vehicle Driver</v>
      </c>
      <c r="J805" t="str">
        <f>[5]trip_summary_region!J805</f>
        <v>2037/38</v>
      </c>
    </row>
    <row r="806" spans="1:10" x14ac:dyDescent="0.2">
      <c r="A806" t="str">
        <f>[5]trip_summary_region!A806</f>
        <v>12 WEST COAST</v>
      </c>
      <c r="B806">
        <f>[5]trip_summary_region!B806</f>
        <v>2</v>
      </c>
      <c r="C806">
        <f>[5]trip_summary_region!C806</f>
        <v>2043</v>
      </c>
      <c r="D806">
        <f>[5]trip_summary_region!D806</f>
        <v>269</v>
      </c>
      <c r="E806">
        <f>[5]trip_summary_region!E806</f>
        <v>1828</v>
      </c>
      <c r="F806">
        <f>[5]trip_summary_region!F806</f>
        <v>17.229808722000001</v>
      </c>
      <c r="G806">
        <f>[5]trip_summary_region!G806</f>
        <v>200.76895583999999</v>
      </c>
      <c r="H806">
        <f>[5]trip_summary_region!H806</f>
        <v>4.3403804645999999</v>
      </c>
      <c r="I806" t="str">
        <f>[5]trip_summary_region!I806</f>
        <v>Light Vehicle Driver</v>
      </c>
      <c r="J806" t="str">
        <f>[5]trip_summary_region!J806</f>
        <v>2042/43</v>
      </c>
    </row>
    <row r="807" spans="1:10" x14ac:dyDescent="0.2">
      <c r="A807" t="str">
        <f>[5]trip_summary_region!A807</f>
        <v>12 WEST COAST</v>
      </c>
      <c r="B807">
        <f>[5]trip_summary_region!B807</f>
        <v>3</v>
      </c>
      <c r="C807">
        <f>[5]trip_summary_region!C807</f>
        <v>2013</v>
      </c>
      <c r="D807">
        <f>[5]trip_summary_region!D807</f>
        <v>210</v>
      </c>
      <c r="E807">
        <f>[5]trip_summary_region!E807</f>
        <v>1017</v>
      </c>
      <c r="F807">
        <f>[5]trip_summary_region!F807</f>
        <v>11.090105214999999</v>
      </c>
      <c r="G807">
        <f>[5]trip_summary_region!G807</f>
        <v>160.37072223999999</v>
      </c>
      <c r="H807">
        <f>[5]trip_summary_region!H807</f>
        <v>3.4140139011000001</v>
      </c>
      <c r="I807" t="str">
        <f>[5]trip_summary_region!I807</f>
        <v>Light Vehicle Passenger</v>
      </c>
      <c r="J807" t="str">
        <f>[5]trip_summary_region!J807</f>
        <v>2012/13</v>
      </c>
    </row>
    <row r="808" spans="1:10" x14ac:dyDescent="0.2">
      <c r="A808" t="str">
        <f>[5]trip_summary_region!A808</f>
        <v>12 WEST COAST</v>
      </c>
      <c r="B808">
        <f>[5]trip_summary_region!B808</f>
        <v>3</v>
      </c>
      <c r="C808">
        <f>[5]trip_summary_region!C808</f>
        <v>2018</v>
      </c>
      <c r="D808">
        <f>[5]trip_summary_region!D808</f>
        <v>210</v>
      </c>
      <c r="E808">
        <f>[5]trip_summary_region!E808</f>
        <v>1017</v>
      </c>
      <c r="F808">
        <f>[5]trip_summary_region!F808</f>
        <v>10.39494741</v>
      </c>
      <c r="G808">
        <f>[5]trip_summary_region!G808</f>
        <v>158.73684238999999</v>
      </c>
      <c r="H808">
        <f>[5]trip_summary_region!H808</f>
        <v>3.3665539956999999</v>
      </c>
      <c r="I808" t="str">
        <f>[5]trip_summary_region!I808</f>
        <v>Light Vehicle Passenger</v>
      </c>
      <c r="J808" t="str">
        <f>[5]trip_summary_region!J808</f>
        <v>2017/18</v>
      </c>
    </row>
    <row r="809" spans="1:10" x14ac:dyDescent="0.2">
      <c r="A809" t="str">
        <f>[5]trip_summary_region!A809</f>
        <v>12 WEST COAST</v>
      </c>
      <c r="B809">
        <f>[5]trip_summary_region!B809</f>
        <v>3</v>
      </c>
      <c r="C809">
        <f>[5]trip_summary_region!C809</f>
        <v>2023</v>
      </c>
      <c r="D809">
        <f>[5]trip_summary_region!D809</f>
        <v>210</v>
      </c>
      <c r="E809">
        <f>[5]trip_summary_region!E809</f>
        <v>1017</v>
      </c>
      <c r="F809">
        <f>[5]trip_summary_region!F809</f>
        <v>9.5583679216000004</v>
      </c>
      <c r="G809">
        <f>[5]trip_summary_region!G809</f>
        <v>150.53198166999999</v>
      </c>
      <c r="H809">
        <f>[5]trip_summary_region!H809</f>
        <v>3.1992041257000001</v>
      </c>
      <c r="I809" t="str">
        <f>[5]trip_summary_region!I809</f>
        <v>Light Vehicle Passenger</v>
      </c>
      <c r="J809" t="str">
        <f>[5]trip_summary_region!J809</f>
        <v>2022/23</v>
      </c>
    </row>
    <row r="810" spans="1:10" x14ac:dyDescent="0.2">
      <c r="A810" t="str">
        <f>[5]trip_summary_region!A810</f>
        <v>12 WEST COAST</v>
      </c>
      <c r="B810">
        <f>[5]trip_summary_region!B810</f>
        <v>3</v>
      </c>
      <c r="C810">
        <f>[5]trip_summary_region!C810</f>
        <v>2028</v>
      </c>
      <c r="D810">
        <f>[5]trip_summary_region!D810</f>
        <v>210</v>
      </c>
      <c r="E810">
        <f>[5]trip_summary_region!E810</f>
        <v>1017</v>
      </c>
      <c r="F810">
        <f>[5]trip_summary_region!F810</f>
        <v>9.1890569186000004</v>
      </c>
      <c r="G810">
        <f>[5]trip_summary_region!G810</f>
        <v>149.11608672</v>
      </c>
      <c r="H810">
        <f>[5]trip_summary_region!H810</f>
        <v>3.1690068988000002</v>
      </c>
      <c r="I810" t="str">
        <f>[5]trip_summary_region!I810</f>
        <v>Light Vehicle Passenger</v>
      </c>
      <c r="J810" t="str">
        <f>[5]trip_summary_region!J810</f>
        <v>2027/28</v>
      </c>
    </row>
    <row r="811" spans="1:10" x14ac:dyDescent="0.2">
      <c r="A811" t="str">
        <f>[5]trip_summary_region!A811</f>
        <v>12 WEST COAST</v>
      </c>
      <c r="B811">
        <f>[5]trip_summary_region!B811</f>
        <v>3</v>
      </c>
      <c r="C811">
        <f>[5]trip_summary_region!C811</f>
        <v>2033</v>
      </c>
      <c r="D811">
        <f>[5]trip_summary_region!D811</f>
        <v>210</v>
      </c>
      <c r="E811">
        <f>[5]trip_summary_region!E811</f>
        <v>1017</v>
      </c>
      <c r="F811">
        <f>[5]trip_summary_region!F811</f>
        <v>8.6176490158999997</v>
      </c>
      <c r="G811">
        <f>[5]trip_summary_region!G811</f>
        <v>141.17923217000001</v>
      </c>
      <c r="H811">
        <f>[5]trip_summary_region!H811</f>
        <v>3.0220415174999999</v>
      </c>
      <c r="I811" t="str">
        <f>[5]trip_summary_region!I811</f>
        <v>Light Vehicle Passenger</v>
      </c>
      <c r="J811" t="str">
        <f>[5]trip_summary_region!J811</f>
        <v>2032/33</v>
      </c>
    </row>
    <row r="812" spans="1:10" x14ac:dyDescent="0.2">
      <c r="A812" t="str">
        <f>[5]trip_summary_region!A812</f>
        <v>12 WEST COAST</v>
      </c>
      <c r="B812">
        <f>[5]trip_summary_region!B812</f>
        <v>3</v>
      </c>
      <c r="C812">
        <f>[5]trip_summary_region!C812</f>
        <v>2038</v>
      </c>
      <c r="D812">
        <f>[5]trip_summary_region!D812</f>
        <v>210</v>
      </c>
      <c r="E812">
        <f>[5]trip_summary_region!E812</f>
        <v>1017</v>
      </c>
      <c r="F812">
        <f>[5]trip_summary_region!F812</f>
        <v>7.9986833519999996</v>
      </c>
      <c r="G812">
        <f>[5]trip_summary_region!G812</f>
        <v>132.9732204</v>
      </c>
      <c r="H812">
        <f>[5]trip_summary_region!H812</f>
        <v>2.8455904475999998</v>
      </c>
      <c r="I812" t="str">
        <f>[5]trip_summary_region!I812</f>
        <v>Light Vehicle Passenger</v>
      </c>
      <c r="J812" t="str">
        <f>[5]trip_summary_region!J812</f>
        <v>2037/38</v>
      </c>
    </row>
    <row r="813" spans="1:10" x14ac:dyDescent="0.2">
      <c r="A813" t="str">
        <f>[5]trip_summary_region!A813</f>
        <v>12 WEST COAST</v>
      </c>
      <c r="B813">
        <f>[5]trip_summary_region!B813</f>
        <v>3</v>
      </c>
      <c r="C813">
        <f>[5]trip_summary_region!C813</f>
        <v>2043</v>
      </c>
      <c r="D813">
        <f>[5]trip_summary_region!D813</f>
        <v>210</v>
      </c>
      <c r="E813">
        <f>[5]trip_summary_region!E813</f>
        <v>1017</v>
      </c>
      <c r="F813">
        <f>[5]trip_summary_region!F813</f>
        <v>7.3779661343000003</v>
      </c>
      <c r="G813">
        <f>[5]trip_summary_region!G813</f>
        <v>124.55648246</v>
      </c>
      <c r="H813">
        <f>[5]trip_summary_region!H813</f>
        <v>2.6608210016</v>
      </c>
      <c r="I813" t="str">
        <f>[5]trip_summary_region!I813</f>
        <v>Light Vehicle Passenger</v>
      </c>
      <c r="J813" t="str">
        <f>[5]trip_summary_region!J813</f>
        <v>2042/43</v>
      </c>
    </row>
    <row r="814" spans="1:10" x14ac:dyDescent="0.2">
      <c r="A814" t="str">
        <f>[5]trip_summary_region!A814</f>
        <v>12 WEST COAST</v>
      </c>
      <c r="B814">
        <f>[5]trip_summary_region!B814</f>
        <v>4</v>
      </c>
      <c r="C814">
        <f>[5]trip_summary_region!C814</f>
        <v>2013</v>
      </c>
      <c r="D814">
        <f>[5]trip_summary_region!D814</f>
        <v>12</v>
      </c>
      <c r="E814">
        <f>[5]trip_summary_region!E814</f>
        <v>23</v>
      </c>
      <c r="F814">
        <f>[5]trip_summary_region!F814</f>
        <v>0.29973375209999997</v>
      </c>
      <c r="G814">
        <f>[5]trip_summary_region!G814</f>
        <v>1.6916956777000001</v>
      </c>
      <c r="H814">
        <f>[5]trip_summary_region!H814</f>
        <v>6.5507808299999998E-2</v>
      </c>
      <c r="I814" t="s">
        <v>116</v>
      </c>
      <c r="J814" t="str">
        <f>[5]trip_summary_region!J814</f>
        <v>2012/13</v>
      </c>
    </row>
    <row r="815" spans="1:10" x14ac:dyDescent="0.2">
      <c r="A815" t="str">
        <f>[5]trip_summary_region!A815</f>
        <v>12 WEST COAST</v>
      </c>
      <c r="B815">
        <f>[5]trip_summary_region!B815</f>
        <v>4</v>
      </c>
      <c r="C815">
        <f>[5]trip_summary_region!C815</f>
        <v>2018</v>
      </c>
      <c r="D815">
        <f>[5]trip_summary_region!D815</f>
        <v>12</v>
      </c>
      <c r="E815">
        <f>[5]trip_summary_region!E815</f>
        <v>23</v>
      </c>
      <c r="F815">
        <f>[5]trip_summary_region!F815</f>
        <v>0.35018449550000003</v>
      </c>
      <c r="G815">
        <f>[5]trip_summary_region!G815</f>
        <v>1.9366105358000001</v>
      </c>
      <c r="H815">
        <f>[5]trip_summary_region!H815</f>
        <v>7.7040997700000002E-2</v>
      </c>
      <c r="I815" t="s">
        <v>116</v>
      </c>
      <c r="J815" t="str">
        <f>[5]trip_summary_region!J815</f>
        <v>2017/18</v>
      </c>
    </row>
    <row r="816" spans="1:10" x14ac:dyDescent="0.2">
      <c r="A816" t="str">
        <f>[5]trip_summary_region!A816</f>
        <v>12 WEST COAST</v>
      </c>
      <c r="B816">
        <f>[5]trip_summary_region!B816</f>
        <v>4</v>
      </c>
      <c r="C816">
        <f>[5]trip_summary_region!C816</f>
        <v>2023</v>
      </c>
      <c r="D816">
        <f>[5]trip_summary_region!D816</f>
        <v>12</v>
      </c>
      <c r="E816">
        <f>[5]trip_summary_region!E816</f>
        <v>23</v>
      </c>
      <c r="F816">
        <f>[5]trip_summary_region!F816</f>
        <v>0.38063343199999999</v>
      </c>
      <c r="G816">
        <f>[5]trip_summary_region!G816</f>
        <v>2.0571599365000002</v>
      </c>
      <c r="H816">
        <f>[5]trip_summary_region!H816</f>
        <v>8.4058343699999996E-2</v>
      </c>
      <c r="I816" t="s">
        <v>116</v>
      </c>
      <c r="J816" t="str">
        <f>[5]trip_summary_region!J816</f>
        <v>2022/23</v>
      </c>
    </row>
    <row r="817" spans="1:10" x14ac:dyDescent="0.2">
      <c r="A817" t="str">
        <f>[5]trip_summary_region!A817</f>
        <v>12 WEST COAST</v>
      </c>
      <c r="B817">
        <f>[5]trip_summary_region!B817</f>
        <v>4</v>
      </c>
      <c r="C817">
        <f>[5]trip_summary_region!C817</f>
        <v>2028</v>
      </c>
      <c r="D817">
        <f>[5]trip_summary_region!D817</f>
        <v>12</v>
      </c>
      <c r="E817">
        <f>[5]trip_summary_region!E817</f>
        <v>23</v>
      </c>
      <c r="F817">
        <f>[5]trip_summary_region!F817</f>
        <v>0.39296628030000003</v>
      </c>
      <c r="G817">
        <f>[5]trip_summary_region!G817</f>
        <v>2.2315444195</v>
      </c>
      <c r="H817">
        <f>[5]trip_summary_region!H817</f>
        <v>8.7939973800000001E-2</v>
      </c>
      <c r="I817" t="s">
        <v>116</v>
      </c>
      <c r="J817" t="str">
        <f>[5]trip_summary_region!J817</f>
        <v>2027/28</v>
      </c>
    </row>
    <row r="818" spans="1:10" x14ac:dyDescent="0.2">
      <c r="A818" t="str">
        <f>[5]trip_summary_region!A818</f>
        <v>12 WEST COAST</v>
      </c>
      <c r="B818">
        <f>[5]trip_summary_region!B818</f>
        <v>4</v>
      </c>
      <c r="C818">
        <f>[5]trip_summary_region!C818</f>
        <v>2033</v>
      </c>
      <c r="D818">
        <f>[5]trip_summary_region!D818</f>
        <v>12</v>
      </c>
      <c r="E818">
        <f>[5]trip_summary_region!E818</f>
        <v>23</v>
      </c>
      <c r="F818">
        <f>[5]trip_summary_region!F818</f>
        <v>0.38583403890000001</v>
      </c>
      <c r="G818">
        <f>[5]trip_summary_region!G818</f>
        <v>2.1772159063999998</v>
      </c>
      <c r="H818">
        <f>[5]trip_summary_region!H818</f>
        <v>8.59956375E-2</v>
      </c>
      <c r="I818" t="s">
        <v>116</v>
      </c>
      <c r="J818" t="str">
        <f>[5]trip_summary_region!J818</f>
        <v>2032/33</v>
      </c>
    </row>
    <row r="819" spans="1:10" x14ac:dyDescent="0.2">
      <c r="A819" t="str">
        <f>[5]trip_summary_region!A819</f>
        <v>12 WEST COAST</v>
      </c>
      <c r="B819">
        <f>[5]trip_summary_region!B819</f>
        <v>4</v>
      </c>
      <c r="C819">
        <f>[5]trip_summary_region!C819</f>
        <v>2038</v>
      </c>
      <c r="D819">
        <f>[5]trip_summary_region!D819</f>
        <v>12</v>
      </c>
      <c r="E819">
        <f>[5]trip_summary_region!E819</f>
        <v>23</v>
      </c>
      <c r="F819">
        <f>[5]trip_summary_region!F819</f>
        <v>0.38333093200000001</v>
      </c>
      <c r="G819">
        <f>[5]trip_summary_region!G819</f>
        <v>2.1756387959999999</v>
      </c>
      <c r="H819">
        <f>[5]trip_summary_region!H819</f>
        <v>8.5453895700000004E-2</v>
      </c>
      <c r="I819" t="s">
        <v>116</v>
      </c>
      <c r="J819" t="str">
        <f>[5]trip_summary_region!J819</f>
        <v>2037/38</v>
      </c>
    </row>
    <row r="820" spans="1:10" x14ac:dyDescent="0.2">
      <c r="A820" t="str">
        <f>[5]trip_summary_region!A820</f>
        <v>12 WEST COAST</v>
      </c>
      <c r="B820">
        <f>[5]trip_summary_region!B820</f>
        <v>4</v>
      </c>
      <c r="C820">
        <f>[5]trip_summary_region!C820</f>
        <v>2043</v>
      </c>
      <c r="D820">
        <f>[5]trip_summary_region!D820</f>
        <v>12</v>
      </c>
      <c r="E820">
        <f>[5]trip_summary_region!E820</f>
        <v>23</v>
      </c>
      <c r="F820">
        <f>[5]trip_summary_region!F820</f>
        <v>0.37606985059999998</v>
      </c>
      <c r="G820">
        <f>[5]trip_summary_region!G820</f>
        <v>2.1338476257000001</v>
      </c>
      <c r="H820">
        <f>[5]trip_summary_region!H820</f>
        <v>8.3834992799999994E-2</v>
      </c>
      <c r="I820" t="s">
        <v>116</v>
      </c>
      <c r="J820" t="str">
        <f>[5]trip_summary_region!J820</f>
        <v>2042/43</v>
      </c>
    </row>
    <row r="821" spans="1:10" x14ac:dyDescent="0.2">
      <c r="A821" t="str">
        <f>[5]trip_summary_region!A821</f>
        <v>12 WEST COAST</v>
      </c>
      <c r="B821">
        <f>[5]trip_summary_region!B821</f>
        <v>5</v>
      </c>
      <c r="C821">
        <f>[5]trip_summary_region!C821</f>
        <v>2013</v>
      </c>
      <c r="D821">
        <f>[5]trip_summary_region!D821</f>
        <v>2</v>
      </c>
      <c r="E821">
        <f>[5]trip_summary_region!E821</f>
        <v>5</v>
      </c>
      <c r="F821">
        <f>[5]trip_summary_region!F821</f>
        <v>6.1723256599999998E-2</v>
      </c>
      <c r="G821">
        <f>[5]trip_summary_region!G821</f>
        <v>0.29466348679999999</v>
      </c>
      <c r="H821">
        <f>[5]trip_summary_region!H821</f>
        <v>9.7989774000000005E-3</v>
      </c>
      <c r="I821" t="str">
        <f>[5]trip_summary_region!I821</f>
        <v>Motorcyclist</v>
      </c>
      <c r="J821" t="str">
        <f>[5]trip_summary_region!J821</f>
        <v>2012/13</v>
      </c>
    </row>
    <row r="822" spans="1:10" x14ac:dyDescent="0.2">
      <c r="A822" t="str">
        <f>[5]trip_summary_region!A822</f>
        <v>12 WEST COAST</v>
      </c>
      <c r="B822">
        <f>[5]trip_summary_region!B822</f>
        <v>5</v>
      </c>
      <c r="C822">
        <f>[5]trip_summary_region!C822</f>
        <v>2018</v>
      </c>
      <c r="D822">
        <f>[5]trip_summary_region!D822</f>
        <v>2</v>
      </c>
      <c r="E822">
        <f>[5]trip_summary_region!E822</f>
        <v>5</v>
      </c>
      <c r="F822">
        <f>[5]trip_summary_region!F822</f>
        <v>7.0212227599999996E-2</v>
      </c>
      <c r="G822">
        <f>[5]trip_summary_region!G822</f>
        <v>0.33762341019999997</v>
      </c>
      <c r="H822">
        <f>[5]trip_summary_region!H822</f>
        <v>1.1208358E-2</v>
      </c>
      <c r="I822" t="str">
        <f>[5]trip_summary_region!I822</f>
        <v>Motorcyclist</v>
      </c>
      <c r="J822" t="str">
        <f>[5]trip_summary_region!J822</f>
        <v>2017/18</v>
      </c>
    </row>
    <row r="823" spans="1:10" x14ac:dyDescent="0.2">
      <c r="A823" t="str">
        <f>[5]trip_summary_region!A823</f>
        <v>12 WEST COAST</v>
      </c>
      <c r="B823">
        <f>[5]trip_summary_region!B823</f>
        <v>5</v>
      </c>
      <c r="C823">
        <f>[5]trip_summary_region!C823</f>
        <v>2023</v>
      </c>
      <c r="D823">
        <f>[5]trip_summary_region!D823</f>
        <v>2</v>
      </c>
      <c r="E823">
        <f>[5]trip_summary_region!E823</f>
        <v>5</v>
      </c>
      <c r="F823">
        <f>[5]trip_summary_region!F823</f>
        <v>7.5101134200000003E-2</v>
      </c>
      <c r="G823">
        <f>[5]trip_summary_region!G823</f>
        <v>0.3399369169</v>
      </c>
      <c r="H823">
        <f>[5]trip_summary_region!H823</f>
        <v>1.1451522400000001E-2</v>
      </c>
      <c r="I823" t="str">
        <f>[5]trip_summary_region!I823</f>
        <v>Motorcyclist</v>
      </c>
      <c r="J823" t="str">
        <f>[5]trip_summary_region!J823</f>
        <v>2022/23</v>
      </c>
    </row>
    <row r="824" spans="1:10" x14ac:dyDescent="0.2">
      <c r="A824" t="str">
        <f>[5]trip_summary_region!A824</f>
        <v>12 WEST COAST</v>
      </c>
      <c r="B824">
        <f>[5]trip_summary_region!B824</f>
        <v>5</v>
      </c>
      <c r="C824">
        <f>[5]trip_summary_region!C824</f>
        <v>2028</v>
      </c>
      <c r="D824">
        <f>[5]trip_summary_region!D824</f>
        <v>2</v>
      </c>
      <c r="E824">
        <f>[5]trip_summary_region!E824</f>
        <v>5</v>
      </c>
      <c r="F824">
        <f>[5]trip_summary_region!F824</f>
        <v>7.9002041999999995E-2</v>
      </c>
      <c r="G824">
        <f>[5]trip_summary_region!G824</f>
        <v>0.35314842689999998</v>
      </c>
      <c r="H824">
        <f>[5]trip_summary_region!H824</f>
        <v>1.19336493E-2</v>
      </c>
      <c r="I824" t="str">
        <f>[5]trip_summary_region!I824</f>
        <v>Motorcyclist</v>
      </c>
      <c r="J824" t="str">
        <f>[5]trip_summary_region!J824</f>
        <v>2027/28</v>
      </c>
    </row>
    <row r="825" spans="1:10" x14ac:dyDescent="0.2">
      <c r="A825" t="str">
        <f>[5]trip_summary_region!A825</f>
        <v>12 WEST COAST</v>
      </c>
      <c r="B825">
        <f>[5]trip_summary_region!B825</f>
        <v>5</v>
      </c>
      <c r="C825">
        <f>[5]trip_summary_region!C825</f>
        <v>2033</v>
      </c>
      <c r="D825">
        <f>[5]trip_summary_region!D825</f>
        <v>2</v>
      </c>
      <c r="E825">
        <f>[5]trip_summary_region!E825</f>
        <v>5</v>
      </c>
      <c r="F825">
        <f>[5]trip_summary_region!F825</f>
        <v>8.3092883800000003E-2</v>
      </c>
      <c r="G825">
        <f>[5]trip_summary_region!G825</f>
        <v>0.38050061219999998</v>
      </c>
      <c r="H825">
        <f>[5]trip_summary_region!H825</f>
        <v>1.27813949E-2</v>
      </c>
      <c r="I825" t="str">
        <f>[5]trip_summary_region!I825</f>
        <v>Motorcyclist</v>
      </c>
      <c r="J825" t="str">
        <f>[5]trip_summary_region!J825</f>
        <v>2032/33</v>
      </c>
    </row>
    <row r="826" spans="1:10" x14ac:dyDescent="0.2">
      <c r="A826" t="str">
        <f>[5]trip_summary_region!A826</f>
        <v>12 WEST COAST</v>
      </c>
      <c r="B826">
        <f>[5]trip_summary_region!B826</f>
        <v>5</v>
      </c>
      <c r="C826">
        <f>[5]trip_summary_region!C826</f>
        <v>2038</v>
      </c>
      <c r="D826">
        <f>[5]trip_summary_region!D826</f>
        <v>2</v>
      </c>
      <c r="E826">
        <f>[5]trip_summary_region!E826</f>
        <v>5</v>
      </c>
      <c r="F826">
        <f>[5]trip_summary_region!F826</f>
        <v>9.00575084E-2</v>
      </c>
      <c r="G826">
        <f>[5]trip_summary_region!G826</f>
        <v>0.41793959409999998</v>
      </c>
      <c r="H826">
        <f>[5]trip_summary_region!H826</f>
        <v>1.3993293299999999E-2</v>
      </c>
      <c r="I826" t="str">
        <f>[5]trip_summary_region!I826</f>
        <v>Motorcyclist</v>
      </c>
      <c r="J826" t="str">
        <f>[5]trip_summary_region!J826</f>
        <v>2037/38</v>
      </c>
    </row>
    <row r="827" spans="1:10" x14ac:dyDescent="0.2">
      <c r="A827" t="str">
        <f>[5]trip_summary_region!A827</f>
        <v>12 WEST COAST</v>
      </c>
      <c r="B827">
        <f>[5]trip_summary_region!B827</f>
        <v>5</v>
      </c>
      <c r="C827">
        <f>[5]trip_summary_region!C827</f>
        <v>2043</v>
      </c>
      <c r="D827">
        <f>[5]trip_summary_region!D827</f>
        <v>2</v>
      </c>
      <c r="E827">
        <f>[5]trip_summary_region!E827</f>
        <v>5</v>
      </c>
      <c r="F827">
        <f>[5]trip_summary_region!F827</f>
        <v>9.4113766000000001E-2</v>
      </c>
      <c r="G827">
        <f>[5]trip_summary_region!G827</f>
        <v>0.4417144502</v>
      </c>
      <c r="H827">
        <f>[5]trip_summary_region!H827</f>
        <v>1.47490524E-2</v>
      </c>
      <c r="I827" t="str">
        <f>[5]trip_summary_region!I827</f>
        <v>Motorcyclist</v>
      </c>
      <c r="J827" t="str">
        <f>[5]trip_summary_region!J827</f>
        <v>2042/43</v>
      </c>
    </row>
    <row r="828" spans="1:10" x14ac:dyDescent="0.2">
      <c r="A828" t="str">
        <f>[5]trip_summary_region!A828</f>
        <v>12 WEST COAST</v>
      </c>
      <c r="B828">
        <f>[5]trip_summary_region!B828</f>
        <v>7</v>
      </c>
      <c r="C828">
        <f>[5]trip_summary_region!C828</f>
        <v>2013</v>
      </c>
      <c r="D828">
        <f>[5]trip_summary_region!D828</f>
        <v>15</v>
      </c>
      <c r="E828">
        <f>[5]trip_summary_region!E828</f>
        <v>42</v>
      </c>
      <c r="F828">
        <f>[5]trip_summary_region!F828</f>
        <v>0.50805546800000001</v>
      </c>
      <c r="G828">
        <f>[5]trip_summary_region!G828</f>
        <v>6.0600083682000001</v>
      </c>
      <c r="H828">
        <f>[5]trip_summary_region!H828</f>
        <v>0.18249519829999999</v>
      </c>
      <c r="I828" t="str">
        <f>[5]trip_summary_region!I828</f>
        <v>Local Bus</v>
      </c>
      <c r="J828" t="str">
        <f>[5]trip_summary_region!J828</f>
        <v>2012/13</v>
      </c>
    </row>
    <row r="829" spans="1:10" x14ac:dyDescent="0.2">
      <c r="A829" t="str">
        <f>[5]trip_summary_region!A829</f>
        <v>12 WEST COAST</v>
      </c>
      <c r="B829">
        <f>[5]trip_summary_region!B829</f>
        <v>7</v>
      </c>
      <c r="C829">
        <f>[5]trip_summary_region!C829</f>
        <v>2018</v>
      </c>
      <c r="D829">
        <f>[5]trip_summary_region!D829</f>
        <v>15</v>
      </c>
      <c r="E829">
        <f>[5]trip_summary_region!E829</f>
        <v>42</v>
      </c>
      <c r="F829">
        <f>[5]trip_summary_region!F829</f>
        <v>0.48281976609999999</v>
      </c>
      <c r="G829">
        <f>[5]trip_summary_region!G829</f>
        <v>5.7737770516999998</v>
      </c>
      <c r="H829">
        <f>[5]trip_summary_region!H829</f>
        <v>0.17265670820000001</v>
      </c>
      <c r="I829" t="str">
        <f>[5]trip_summary_region!I829</f>
        <v>Local Bus</v>
      </c>
      <c r="J829" t="str">
        <f>[5]trip_summary_region!J829</f>
        <v>2017/18</v>
      </c>
    </row>
    <row r="830" spans="1:10" x14ac:dyDescent="0.2">
      <c r="A830" t="str">
        <f>[5]trip_summary_region!A830</f>
        <v>12 WEST COAST</v>
      </c>
      <c r="B830">
        <f>[5]trip_summary_region!B830</f>
        <v>7</v>
      </c>
      <c r="C830">
        <f>[5]trip_summary_region!C830</f>
        <v>2023</v>
      </c>
      <c r="D830">
        <f>[5]trip_summary_region!D830</f>
        <v>15</v>
      </c>
      <c r="E830">
        <f>[5]trip_summary_region!E830</f>
        <v>42</v>
      </c>
      <c r="F830">
        <f>[5]trip_summary_region!F830</f>
        <v>0.43908924269999999</v>
      </c>
      <c r="G830">
        <f>[5]trip_summary_region!G830</f>
        <v>5.2927871269000004</v>
      </c>
      <c r="H830">
        <f>[5]trip_summary_region!H830</f>
        <v>0.15689643980000001</v>
      </c>
      <c r="I830" t="str">
        <f>[5]trip_summary_region!I830</f>
        <v>Local Bus</v>
      </c>
      <c r="J830" t="str">
        <f>[5]trip_summary_region!J830</f>
        <v>2022/23</v>
      </c>
    </row>
    <row r="831" spans="1:10" x14ac:dyDescent="0.2">
      <c r="A831" t="str">
        <f>[5]trip_summary_region!A831</f>
        <v>12 WEST COAST</v>
      </c>
      <c r="B831">
        <f>[5]trip_summary_region!B831</f>
        <v>7</v>
      </c>
      <c r="C831">
        <f>[5]trip_summary_region!C831</f>
        <v>2028</v>
      </c>
      <c r="D831">
        <f>[5]trip_summary_region!D831</f>
        <v>15</v>
      </c>
      <c r="E831">
        <f>[5]trip_summary_region!E831</f>
        <v>42</v>
      </c>
      <c r="F831">
        <f>[5]trip_summary_region!F831</f>
        <v>0.41298249460000003</v>
      </c>
      <c r="G831">
        <f>[5]trip_summary_region!G831</f>
        <v>5.0106129143000002</v>
      </c>
      <c r="H831">
        <f>[5]trip_summary_region!H831</f>
        <v>0.14837905039999999</v>
      </c>
      <c r="I831" t="str">
        <f>[5]trip_summary_region!I831</f>
        <v>Local Bus</v>
      </c>
      <c r="J831" t="str">
        <f>[5]trip_summary_region!J831</f>
        <v>2027/28</v>
      </c>
    </row>
    <row r="832" spans="1:10" x14ac:dyDescent="0.2">
      <c r="A832" t="str">
        <f>[5]trip_summary_region!A832</f>
        <v>12 WEST COAST</v>
      </c>
      <c r="B832">
        <f>[5]trip_summary_region!B832</f>
        <v>7</v>
      </c>
      <c r="C832">
        <f>[5]trip_summary_region!C832</f>
        <v>2033</v>
      </c>
      <c r="D832">
        <f>[5]trip_summary_region!D832</f>
        <v>15</v>
      </c>
      <c r="E832">
        <f>[5]trip_summary_region!E832</f>
        <v>42</v>
      </c>
      <c r="F832">
        <f>[5]trip_summary_region!F832</f>
        <v>0.3772257222</v>
      </c>
      <c r="G832">
        <f>[5]trip_summary_region!G832</f>
        <v>4.7190409752000004</v>
      </c>
      <c r="H832">
        <f>[5]trip_summary_region!H832</f>
        <v>0.1377886499</v>
      </c>
      <c r="I832" t="str">
        <f>[5]trip_summary_region!I832</f>
        <v>Local Bus</v>
      </c>
      <c r="J832" t="str">
        <f>[5]trip_summary_region!J832</f>
        <v>2032/33</v>
      </c>
    </row>
    <row r="833" spans="1:10" x14ac:dyDescent="0.2">
      <c r="A833" t="str">
        <f>[5]trip_summary_region!A833</f>
        <v>12 WEST COAST</v>
      </c>
      <c r="B833">
        <f>[5]trip_summary_region!B833</f>
        <v>7</v>
      </c>
      <c r="C833">
        <f>[5]trip_summary_region!C833</f>
        <v>2038</v>
      </c>
      <c r="D833">
        <f>[5]trip_summary_region!D833</f>
        <v>15</v>
      </c>
      <c r="E833">
        <f>[5]trip_summary_region!E833</f>
        <v>42</v>
      </c>
      <c r="F833">
        <f>[5]trip_summary_region!F833</f>
        <v>0.33844422010000003</v>
      </c>
      <c r="G833">
        <f>[5]trip_summary_region!G833</f>
        <v>4.4612394631000001</v>
      </c>
      <c r="H833">
        <f>[5]trip_summary_region!H833</f>
        <v>0.12698719</v>
      </c>
      <c r="I833" t="str">
        <f>[5]trip_summary_region!I833</f>
        <v>Local Bus</v>
      </c>
      <c r="J833" t="str">
        <f>[5]trip_summary_region!J833</f>
        <v>2037/38</v>
      </c>
    </row>
    <row r="834" spans="1:10" x14ac:dyDescent="0.2">
      <c r="A834" t="str">
        <f>[5]trip_summary_region!A834</f>
        <v>12 WEST COAST</v>
      </c>
      <c r="B834">
        <f>[5]trip_summary_region!B834</f>
        <v>7</v>
      </c>
      <c r="C834">
        <f>[5]trip_summary_region!C834</f>
        <v>2043</v>
      </c>
      <c r="D834">
        <f>[5]trip_summary_region!D834</f>
        <v>15</v>
      </c>
      <c r="E834">
        <f>[5]trip_summary_region!E834</f>
        <v>42</v>
      </c>
      <c r="F834">
        <f>[5]trip_summary_region!F834</f>
        <v>0.30199544439999998</v>
      </c>
      <c r="G834">
        <f>[5]trip_summary_region!G834</f>
        <v>4.2566500745000004</v>
      </c>
      <c r="H834">
        <f>[5]trip_summary_region!H834</f>
        <v>0.11739739389999999</v>
      </c>
      <c r="I834" t="str">
        <f>[5]trip_summary_region!I834</f>
        <v>Local Bus</v>
      </c>
      <c r="J834" t="str">
        <f>[5]trip_summary_region!J834</f>
        <v>2042/43</v>
      </c>
    </row>
    <row r="835" spans="1:10" x14ac:dyDescent="0.2">
      <c r="A835" t="str">
        <f>[5]trip_summary_region!A835</f>
        <v>12 WEST COAST</v>
      </c>
      <c r="B835">
        <f>[5]trip_summary_region!B835</f>
        <v>9</v>
      </c>
      <c r="C835">
        <f>[5]trip_summary_region!C835</f>
        <v>2013</v>
      </c>
      <c r="D835">
        <f>[5]trip_summary_region!D835</f>
        <v>3</v>
      </c>
      <c r="E835">
        <f>[5]trip_summary_region!E835</f>
        <v>3</v>
      </c>
      <c r="F835">
        <f>[5]trip_summary_region!F835</f>
        <v>2.77012627E-2</v>
      </c>
      <c r="G835">
        <f>[5]trip_summary_region!G835</f>
        <v>0</v>
      </c>
      <c r="H835">
        <f>[5]trip_summary_region!H835</f>
        <v>3.6766106000000001E-3</v>
      </c>
      <c r="I835" t="str">
        <f>[5]trip_summary_region!I835</f>
        <v>Other Household Travel</v>
      </c>
      <c r="J835" t="str">
        <f>[5]trip_summary_region!J835</f>
        <v>2012/13</v>
      </c>
    </row>
    <row r="836" spans="1:10" x14ac:dyDescent="0.2">
      <c r="A836" t="str">
        <f>[5]trip_summary_region!A836</f>
        <v>12 WEST COAST</v>
      </c>
      <c r="B836">
        <f>[5]trip_summary_region!B836</f>
        <v>9</v>
      </c>
      <c r="C836">
        <f>[5]trip_summary_region!C836</f>
        <v>2018</v>
      </c>
      <c r="D836">
        <f>[5]trip_summary_region!D836</f>
        <v>3</v>
      </c>
      <c r="E836">
        <f>[5]trip_summary_region!E836</f>
        <v>3</v>
      </c>
      <c r="F836">
        <f>[5]trip_summary_region!F836</f>
        <v>2.7203377599999998E-2</v>
      </c>
      <c r="G836">
        <f>[5]trip_summary_region!G836</f>
        <v>0</v>
      </c>
      <c r="H836">
        <f>[5]trip_summary_region!H836</f>
        <v>3.5386453000000001E-3</v>
      </c>
      <c r="I836" t="str">
        <f>[5]trip_summary_region!I836</f>
        <v>Other Household Travel</v>
      </c>
      <c r="J836" t="str">
        <f>[5]trip_summary_region!J836</f>
        <v>2017/18</v>
      </c>
    </row>
    <row r="837" spans="1:10" x14ac:dyDescent="0.2">
      <c r="A837" t="str">
        <f>[5]trip_summary_region!A837</f>
        <v>12 WEST COAST</v>
      </c>
      <c r="B837">
        <f>[5]trip_summary_region!B837</f>
        <v>9</v>
      </c>
      <c r="C837">
        <f>[5]trip_summary_region!C837</f>
        <v>2023</v>
      </c>
      <c r="D837">
        <f>[5]trip_summary_region!D837</f>
        <v>3</v>
      </c>
      <c r="E837">
        <f>[5]trip_summary_region!E837</f>
        <v>3</v>
      </c>
      <c r="F837">
        <f>[5]trip_summary_region!F837</f>
        <v>2.5449654200000001E-2</v>
      </c>
      <c r="G837">
        <f>[5]trip_summary_region!G837</f>
        <v>0</v>
      </c>
      <c r="H837">
        <f>[5]trip_summary_region!H837</f>
        <v>3.2601943000000002E-3</v>
      </c>
      <c r="I837" t="str">
        <f>[5]trip_summary_region!I837</f>
        <v>Other Household Travel</v>
      </c>
      <c r="J837" t="str">
        <f>[5]trip_summary_region!J837</f>
        <v>2022/23</v>
      </c>
    </row>
    <row r="838" spans="1:10" x14ac:dyDescent="0.2">
      <c r="A838" t="str">
        <f>[5]trip_summary_region!A838</f>
        <v>12 WEST COAST</v>
      </c>
      <c r="B838">
        <f>[5]trip_summary_region!B838</f>
        <v>9</v>
      </c>
      <c r="C838">
        <f>[5]trip_summary_region!C838</f>
        <v>2028</v>
      </c>
      <c r="D838">
        <f>[5]trip_summary_region!D838</f>
        <v>3</v>
      </c>
      <c r="E838">
        <f>[5]trip_summary_region!E838</f>
        <v>3</v>
      </c>
      <c r="F838">
        <f>[5]trip_summary_region!F838</f>
        <v>2.2031642899999999E-2</v>
      </c>
      <c r="G838">
        <f>[5]trip_summary_region!G838</f>
        <v>0</v>
      </c>
      <c r="H838">
        <f>[5]trip_summary_region!H838</f>
        <v>2.7855107E-3</v>
      </c>
      <c r="I838" t="str">
        <f>[5]trip_summary_region!I838</f>
        <v>Other Household Travel</v>
      </c>
      <c r="J838" t="str">
        <f>[5]trip_summary_region!J838</f>
        <v>2027/28</v>
      </c>
    </row>
    <row r="839" spans="1:10" x14ac:dyDescent="0.2">
      <c r="A839" t="str">
        <f>[5]trip_summary_region!A839</f>
        <v>12 WEST COAST</v>
      </c>
      <c r="B839">
        <f>[5]trip_summary_region!B839</f>
        <v>9</v>
      </c>
      <c r="C839">
        <f>[5]trip_summary_region!C839</f>
        <v>2033</v>
      </c>
      <c r="D839">
        <f>[5]trip_summary_region!D839</f>
        <v>3</v>
      </c>
      <c r="E839">
        <f>[5]trip_summary_region!E839</f>
        <v>3</v>
      </c>
      <c r="F839">
        <f>[5]trip_summary_region!F839</f>
        <v>1.9755071799999999E-2</v>
      </c>
      <c r="G839">
        <f>[5]trip_summary_region!G839</f>
        <v>0</v>
      </c>
      <c r="H839">
        <f>[5]trip_summary_region!H839</f>
        <v>2.5288175999999998E-3</v>
      </c>
      <c r="I839" t="str">
        <f>[5]trip_summary_region!I839</f>
        <v>Other Household Travel</v>
      </c>
      <c r="J839" t="str">
        <f>[5]trip_summary_region!J839</f>
        <v>2032/33</v>
      </c>
    </row>
    <row r="840" spans="1:10" x14ac:dyDescent="0.2">
      <c r="A840" t="str">
        <f>[5]trip_summary_region!A840</f>
        <v>12 WEST COAST</v>
      </c>
      <c r="B840">
        <f>[5]trip_summary_region!B840</f>
        <v>9</v>
      </c>
      <c r="C840">
        <f>[5]trip_summary_region!C840</f>
        <v>2038</v>
      </c>
      <c r="D840">
        <f>[5]trip_summary_region!D840</f>
        <v>3</v>
      </c>
      <c r="E840">
        <f>[5]trip_summary_region!E840</f>
        <v>3</v>
      </c>
      <c r="F840">
        <f>[5]trip_summary_region!F840</f>
        <v>1.94570562E-2</v>
      </c>
      <c r="G840">
        <f>[5]trip_summary_region!G840</f>
        <v>0</v>
      </c>
      <c r="H840">
        <f>[5]trip_summary_region!H840</f>
        <v>2.5608158E-3</v>
      </c>
      <c r="I840" t="str">
        <f>[5]trip_summary_region!I840</f>
        <v>Other Household Travel</v>
      </c>
      <c r="J840" t="str">
        <f>[5]trip_summary_region!J840</f>
        <v>2037/38</v>
      </c>
    </row>
    <row r="841" spans="1:10" x14ac:dyDescent="0.2">
      <c r="A841" t="str">
        <f>[5]trip_summary_region!A841</f>
        <v>12 WEST COAST</v>
      </c>
      <c r="B841">
        <f>[5]trip_summary_region!B841</f>
        <v>9</v>
      </c>
      <c r="C841">
        <f>[5]trip_summary_region!C841</f>
        <v>2043</v>
      </c>
      <c r="D841">
        <f>[5]trip_summary_region!D841</f>
        <v>3</v>
      </c>
      <c r="E841">
        <f>[5]trip_summary_region!E841</f>
        <v>3</v>
      </c>
      <c r="F841">
        <f>[5]trip_summary_region!F841</f>
        <v>1.9024799299999999E-2</v>
      </c>
      <c r="G841">
        <f>[5]trip_summary_region!G841</f>
        <v>0</v>
      </c>
      <c r="H841">
        <f>[5]trip_summary_region!H841</f>
        <v>2.5682216000000001E-3</v>
      </c>
      <c r="I841" t="str">
        <f>[5]trip_summary_region!I841</f>
        <v>Other Household Travel</v>
      </c>
      <c r="J841" t="str">
        <f>[5]trip_summary_region!J841</f>
        <v>2042/43</v>
      </c>
    </row>
    <row r="842" spans="1:10" x14ac:dyDescent="0.2">
      <c r="A842" t="str">
        <f>[5]trip_summary_region!A842</f>
        <v>12 WEST COAST</v>
      </c>
      <c r="B842">
        <f>[5]trip_summary_region!B842</f>
        <v>10</v>
      </c>
      <c r="C842">
        <f>[5]trip_summary_region!C842</f>
        <v>2013</v>
      </c>
      <c r="D842">
        <f>[5]trip_summary_region!D842</f>
        <v>4</v>
      </c>
      <c r="E842">
        <f>[5]trip_summary_region!E842</f>
        <v>8</v>
      </c>
      <c r="F842">
        <f>[5]trip_summary_region!F842</f>
        <v>0.10084271459999999</v>
      </c>
      <c r="G842">
        <f>[5]trip_summary_region!G842</f>
        <v>10.387194593</v>
      </c>
      <c r="H842">
        <f>[5]trip_summary_region!H842</f>
        <v>0.1870167032</v>
      </c>
      <c r="I842" t="str">
        <f>[5]trip_summary_region!I842</f>
        <v>Air/Non-Local PT</v>
      </c>
      <c r="J842" t="str">
        <f>[5]trip_summary_region!J842</f>
        <v>2012/13</v>
      </c>
    </row>
    <row r="843" spans="1:10" x14ac:dyDescent="0.2">
      <c r="A843" t="str">
        <f>[5]trip_summary_region!A843</f>
        <v>12 WEST COAST</v>
      </c>
      <c r="B843">
        <f>[5]trip_summary_region!B843</f>
        <v>10</v>
      </c>
      <c r="C843">
        <f>[5]trip_summary_region!C843</f>
        <v>2018</v>
      </c>
      <c r="D843">
        <f>[5]trip_summary_region!D843</f>
        <v>4</v>
      </c>
      <c r="E843">
        <f>[5]trip_summary_region!E843</f>
        <v>8</v>
      </c>
      <c r="F843">
        <f>[5]trip_summary_region!F843</f>
        <v>0.1072802224</v>
      </c>
      <c r="G843">
        <f>[5]trip_summary_region!G843</f>
        <v>10.913065719</v>
      </c>
      <c r="H843">
        <f>[5]trip_summary_region!H843</f>
        <v>0.1997039531</v>
      </c>
      <c r="I843" t="str">
        <f>[5]trip_summary_region!I843</f>
        <v>Air/Non-Local PT</v>
      </c>
      <c r="J843" t="str">
        <f>[5]trip_summary_region!J843</f>
        <v>2017/18</v>
      </c>
    </row>
    <row r="844" spans="1:10" x14ac:dyDescent="0.2">
      <c r="A844" t="str">
        <f>[5]trip_summary_region!A844</f>
        <v>12 WEST COAST</v>
      </c>
      <c r="B844">
        <f>[5]trip_summary_region!B844</f>
        <v>10</v>
      </c>
      <c r="C844">
        <f>[5]trip_summary_region!C844</f>
        <v>2023</v>
      </c>
      <c r="D844">
        <f>[5]trip_summary_region!D844</f>
        <v>4</v>
      </c>
      <c r="E844">
        <f>[5]trip_summary_region!E844</f>
        <v>8</v>
      </c>
      <c r="F844">
        <f>[5]trip_summary_region!F844</f>
        <v>0.10689401010000001</v>
      </c>
      <c r="G844">
        <f>[5]trip_summary_region!G844</f>
        <v>10.740368633999999</v>
      </c>
      <c r="H844">
        <f>[5]trip_summary_region!H844</f>
        <v>0.19971302939999999</v>
      </c>
      <c r="I844" t="str">
        <f>[5]trip_summary_region!I844</f>
        <v>Air/Non-Local PT</v>
      </c>
      <c r="J844" t="str">
        <f>[5]trip_summary_region!J844</f>
        <v>2022/23</v>
      </c>
    </row>
    <row r="845" spans="1:10" x14ac:dyDescent="0.2">
      <c r="A845" t="str">
        <f>[5]trip_summary_region!A845</f>
        <v>12 WEST COAST</v>
      </c>
      <c r="B845">
        <f>[5]trip_summary_region!B845</f>
        <v>10</v>
      </c>
      <c r="C845">
        <f>[5]trip_summary_region!C845</f>
        <v>2028</v>
      </c>
      <c r="D845">
        <f>[5]trip_summary_region!D845</f>
        <v>4</v>
      </c>
      <c r="E845">
        <f>[5]trip_summary_region!E845</f>
        <v>8</v>
      </c>
      <c r="F845">
        <f>[5]trip_summary_region!F845</f>
        <v>9.6995248000000006E-2</v>
      </c>
      <c r="G845">
        <f>[5]trip_summary_region!G845</f>
        <v>9.4581966302999998</v>
      </c>
      <c r="H845">
        <f>[5]trip_summary_region!H845</f>
        <v>0.18278828850000001</v>
      </c>
      <c r="I845" t="str">
        <f>[5]trip_summary_region!I845</f>
        <v>Air/Non-Local PT</v>
      </c>
      <c r="J845" t="str">
        <f>[5]trip_summary_region!J845</f>
        <v>2027/28</v>
      </c>
    </row>
    <row r="846" spans="1:10" x14ac:dyDescent="0.2">
      <c r="A846" t="str">
        <f>[5]trip_summary_region!A846</f>
        <v>12 WEST COAST</v>
      </c>
      <c r="B846">
        <f>[5]trip_summary_region!B846</f>
        <v>10</v>
      </c>
      <c r="C846">
        <f>[5]trip_summary_region!C846</f>
        <v>2033</v>
      </c>
      <c r="D846">
        <f>[5]trip_summary_region!D846</f>
        <v>4</v>
      </c>
      <c r="E846">
        <f>[5]trip_summary_region!E846</f>
        <v>8</v>
      </c>
      <c r="F846">
        <f>[5]trip_summary_region!F846</f>
        <v>8.5910727199999995E-2</v>
      </c>
      <c r="G846">
        <f>[5]trip_summary_region!G846</f>
        <v>8.2021363725</v>
      </c>
      <c r="H846">
        <f>[5]trip_summary_region!H846</f>
        <v>0.16285548010000001</v>
      </c>
      <c r="I846" t="str">
        <f>[5]trip_summary_region!I846</f>
        <v>Air/Non-Local PT</v>
      </c>
      <c r="J846" t="str">
        <f>[5]trip_summary_region!J846</f>
        <v>2032/33</v>
      </c>
    </row>
    <row r="847" spans="1:10" x14ac:dyDescent="0.2">
      <c r="A847" t="str">
        <f>[5]trip_summary_region!A847</f>
        <v>12 WEST COAST</v>
      </c>
      <c r="B847">
        <f>[5]trip_summary_region!B847</f>
        <v>10</v>
      </c>
      <c r="C847">
        <f>[5]trip_summary_region!C847</f>
        <v>2038</v>
      </c>
      <c r="D847">
        <f>[5]trip_summary_region!D847</f>
        <v>4</v>
      </c>
      <c r="E847">
        <f>[5]trip_summary_region!E847</f>
        <v>8</v>
      </c>
      <c r="F847">
        <f>[5]trip_summary_region!F847</f>
        <v>8.0207007900000002E-2</v>
      </c>
      <c r="G847">
        <f>[5]trip_summary_region!G847</f>
        <v>7.5871328020000002</v>
      </c>
      <c r="H847">
        <f>[5]trip_summary_region!H847</f>
        <v>0.15242778430000001</v>
      </c>
      <c r="I847" t="str">
        <f>[5]trip_summary_region!I847</f>
        <v>Air/Non-Local PT</v>
      </c>
      <c r="J847" t="str">
        <f>[5]trip_summary_region!J847</f>
        <v>2037/38</v>
      </c>
    </row>
    <row r="848" spans="1:10" x14ac:dyDescent="0.2">
      <c r="A848" t="str">
        <f>[5]trip_summary_region!A848</f>
        <v>12 WEST COAST</v>
      </c>
      <c r="B848">
        <f>[5]trip_summary_region!B848</f>
        <v>10</v>
      </c>
      <c r="C848">
        <f>[5]trip_summary_region!C848</f>
        <v>2043</v>
      </c>
      <c r="D848">
        <f>[5]trip_summary_region!D848</f>
        <v>4</v>
      </c>
      <c r="E848">
        <f>[5]trip_summary_region!E848</f>
        <v>8</v>
      </c>
      <c r="F848">
        <f>[5]trip_summary_region!F848</f>
        <v>7.4277552999999996E-2</v>
      </c>
      <c r="G848">
        <f>[5]trip_summary_region!G848</f>
        <v>6.9551698559000004</v>
      </c>
      <c r="H848">
        <f>[5]trip_summary_region!H848</f>
        <v>0.14154711789999999</v>
      </c>
      <c r="I848" t="str">
        <f>[5]trip_summary_region!I848</f>
        <v>Air/Non-Local PT</v>
      </c>
      <c r="J848" t="str">
        <f>[5]trip_summary_region!J848</f>
        <v>2042/43</v>
      </c>
    </row>
    <row r="849" spans="1:10" x14ac:dyDescent="0.2">
      <c r="A849" t="str">
        <f>[5]trip_summary_region!A849</f>
        <v>12 WEST COAST</v>
      </c>
      <c r="B849">
        <f>[5]trip_summary_region!B849</f>
        <v>11</v>
      </c>
      <c r="C849">
        <f>[5]trip_summary_region!C849</f>
        <v>2013</v>
      </c>
      <c r="D849">
        <f>[5]trip_summary_region!D849</f>
        <v>9</v>
      </c>
      <c r="E849">
        <f>[5]trip_summary_region!E849</f>
        <v>44</v>
      </c>
      <c r="F849">
        <f>[5]trip_summary_region!F849</f>
        <v>0.57649160089999996</v>
      </c>
      <c r="G849">
        <f>[5]trip_summary_region!G849</f>
        <v>20.958164275000001</v>
      </c>
      <c r="H849">
        <f>[5]trip_summary_region!H849</f>
        <v>0.34686230169999999</v>
      </c>
      <c r="I849" t="str">
        <f>[5]trip_summary_region!I849</f>
        <v>Non-Household Travel</v>
      </c>
      <c r="J849" t="str">
        <f>[5]trip_summary_region!J849</f>
        <v>2012/13</v>
      </c>
    </row>
    <row r="850" spans="1:10" x14ac:dyDescent="0.2">
      <c r="A850" t="str">
        <f>[5]trip_summary_region!A850</f>
        <v>12 WEST COAST</v>
      </c>
      <c r="B850">
        <f>[5]trip_summary_region!B850</f>
        <v>11</v>
      </c>
      <c r="C850">
        <f>[5]trip_summary_region!C850</f>
        <v>2018</v>
      </c>
      <c r="D850">
        <f>[5]trip_summary_region!D850</f>
        <v>9</v>
      </c>
      <c r="E850">
        <f>[5]trip_summary_region!E850</f>
        <v>44</v>
      </c>
      <c r="F850">
        <f>[5]trip_summary_region!F850</f>
        <v>0.6091139941</v>
      </c>
      <c r="G850">
        <f>[5]trip_summary_region!G850</f>
        <v>21.937485677000002</v>
      </c>
      <c r="H850">
        <f>[5]trip_summary_region!H850</f>
        <v>0.36383033149999999</v>
      </c>
      <c r="I850" t="str">
        <f>[5]trip_summary_region!I850</f>
        <v>Non-Household Travel</v>
      </c>
      <c r="J850" t="str">
        <f>[5]trip_summary_region!J850</f>
        <v>2017/18</v>
      </c>
    </row>
    <row r="851" spans="1:10" x14ac:dyDescent="0.2">
      <c r="A851" t="str">
        <f>[5]trip_summary_region!A851</f>
        <v>12 WEST COAST</v>
      </c>
      <c r="B851">
        <f>[5]trip_summary_region!B851</f>
        <v>11</v>
      </c>
      <c r="C851">
        <f>[5]trip_summary_region!C851</f>
        <v>2023</v>
      </c>
      <c r="D851">
        <f>[5]trip_summary_region!D851</f>
        <v>9</v>
      </c>
      <c r="E851">
        <f>[5]trip_summary_region!E851</f>
        <v>44</v>
      </c>
      <c r="F851">
        <f>[5]trip_summary_region!F851</f>
        <v>0.58672225349999996</v>
      </c>
      <c r="G851">
        <f>[5]trip_summary_region!G851</f>
        <v>21.450941844999999</v>
      </c>
      <c r="H851">
        <f>[5]trip_summary_region!H851</f>
        <v>0.3559482699</v>
      </c>
      <c r="I851" t="str">
        <f>[5]trip_summary_region!I851</f>
        <v>Non-Household Travel</v>
      </c>
      <c r="J851" t="str">
        <f>[5]trip_summary_region!J851</f>
        <v>2022/23</v>
      </c>
    </row>
    <row r="852" spans="1:10" x14ac:dyDescent="0.2">
      <c r="A852" t="str">
        <f>[5]trip_summary_region!A852</f>
        <v>12 WEST COAST</v>
      </c>
      <c r="B852">
        <f>[5]trip_summary_region!B852</f>
        <v>11</v>
      </c>
      <c r="C852">
        <f>[5]trip_summary_region!C852</f>
        <v>2028</v>
      </c>
      <c r="D852">
        <f>[5]trip_summary_region!D852</f>
        <v>9</v>
      </c>
      <c r="E852">
        <f>[5]trip_summary_region!E852</f>
        <v>44</v>
      </c>
      <c r="F852">
        <f>[5]trip_summary_region!F852</f>
        <v>0.5880424192</v>
      </c>
      <c r="G852">
        <f>[5]trip_summary_region!G852</f>
        <v>21.165219260000001</v>
      </c>
      <c r="H852">
        <f>[5]trip_summary_region!H852</f>
        <v>0.35150454370000001</v>
      </c>
      <c r="I852" t="str">
        <f>[5]trip_summary_region!I852</f>
        <v>Non-Household Travel</v>
      </c>
      <c r="J852" t="str">
        <f>[5]trip_summary_region!J852</f>
        <v>2027/28</v>
      </c>
    </row>
    <row r="853" spans="1:10" x14ac:dyDescent="0.2">
      <c r="A853" t="str">
        <f>[5]trip_summary_region!A853</f>
        <v>12 WEST COAST</v>
      </c>
      <c r="B853">
        <f>[5]trip_summary_region!B853</f>
        <v>11</v>
      </c>
      <c r="C853">
        <f>[5]trip_summary_region!C853</f>
        <v>2033</v>
      </c>
      <c r="D853">
        <f>[5]trip_summary_region!D853</f>
        <v>9</v>
      </c>
      <c r="E853">
        <f>[5]trip_summary_region!E853</f>
        <v>44</v>
      </c>
      <c r="F853">
        <f>[5]trip_summary_region!F853</f>
        <v>0.57162476880000002</v>
      </c>
      <c r="G853">
        <f>[5]trip_summary_region!G853</f>
        <v>20.232531360999999</v>
      </c>
      <c r="H853">
        <f>[5]trip_summary_region!H853</f>
        <v>0.33652477520000001</v>
      </c>
      <c r="I853" t="str">
        <f>[5]trip_summary_region!I853</f>
        <v>Non-Household Travel</v>
      </c>
      <c r="J853" t="str">
        <f>[5]trip_summary_region!J853</f>
        <v>2032/33</v>
      </c>
    </row>
    <row r="854" spans="1:10" x14ac:dyDescent="0.2">
      <c r="A854" t="str">
        <f>[5]trip_summary_region!A854</f>
        <v>12 WEST COAST</v>
      </c>
      <c r="B854">
        <f>[5]trip_summary_region!B854</f>
        <v>11</v>
      </c>
      <c r="C854">
        <f>[5]trip_summary_region!C854</f>
        <v>2038</v>
      </c>
      <c r="D854">
        <f>[5]trip_summary_region!D854</f>
        <v>9</v>
      </c>
      <c r="E854">
        <f>[5]trip_summary_region!E854</f>
        <v>44</v>
      </c>
      <c r="F854">
        <f>[5]trip_summary_region!F854</f>
        <v>0.55645920010000005</v>
      </c>
      <c r="G854">
        <f>[5]trip_summary_region!G854</f>
        <v>19.469928998</v>
      </c>
      <c r="H854">
        <f>[5]trip_summary_region!H854</f>
        <v>0.32433173809999999</v>
      </c>
      <c r="I854" t="str">
        <f>[5]trip_summary_region!I854</f>
        <v>Non-Household Travel</v>
      </c>
      <c r="J854" t="str">
        <f>[5]trip_summary_region!J854</f>
        <v>2037/38</v>
      </c>
    </row>
    <row r="855" spans="1:10" x14ac:dyDescent="0.2">
      <c r="A855" t="str">
        <f>[5]trip_summary_region!A855</f>
        <v>12 WEST COAST</v>
      </c>
      <c r="B855">
        <f>[5]trip_summary_region!B855</f>
        <v>11</v>
      </c>
      <c r="C855">
        <f>[5]trip_summary_region!C855</f>
        <v>2043</v>
      </c>
      <c r="D855">
        <f>[5]trip_summary_region!D855</f>
        <v>9</v>
      </c>
      <c r="E855">
        <f>[5]trip_summary_region!E855</f>
        <v>44</v>
      </c>
      <c r="F855">
        <f>[5]trip_summary_region!F855</f>
        <v>0.53251747670000005</v>
      </c>
      <c r="G855">
        <f>[5]trip_summary_region!G855</f>
        <v>18.494143017999999</v>
      </c>
      <c r="H855">
        <f>[5]trip_summary_region!H855</f>
        <v>0.30863035859999999</v>
      </c>
      <c r="I855" t="str">
        <f>[5]trip_summary_region!I855</f>
        <v>Non-Household Travel</v>
      </c>
      <c r="J855" t="str">
        <f>[5]trip_summary_region!J855</f>
        <v>2042/43</v>
      </c>
    </row>
    <row r="856" spans="1:10" x14ac:dyDescent="0.2">
      <c r="A856" t="str">
        <f>[5]trip_summary_region!A856</f>
        <v>13 CANTERBURY</v>
      </c>
      <c r="B856">
        <f>[5]trip_summary_region!B856</f>
        <v>0</v>
      </c>
      <c r="C856">
        <f>[5]trip_summary_region!C856</f>
        <v>2013</v>
      </c>
      <c r="D856">
        <f>[5]trip_summary_region!D856</f>
        <v>2073</v>
      </c>
      <c r="E856">
        <f>[5]trip_summary_region!E856</f>
        <v>7645</v>
      </c>
      <c r="F856">
        <f>[5]trip_summary_region!F856</f>
        <v>131.04676542000001</v>
      </c>
      <c r="G856">
        <f>[5]trip_summary_region!G856</f>
        <v>113.37513976</v>
      </c>
      <c r="H856">
        <f>[5]trip_summary_region!H856</f>
        <v>27.07651954</v>
      </c>
      <c r="I856" t="str">
        <f>[5]trip_summary_region!I856</f>
        <v>Pedestrian</v>
      </c>
      <c r="J856" t="str">
        <f>[5]trip_summary_region!J856</f>
        <v>2012/13</v>
      </c>
    </row>
    <row r="857" spans="1:10" x14ac:dyDescent="0.2">
      <c r="A857" t="str">
        <f>[5]trip_summary_region!A857</f>
        <v>13 CANTERBURY</v>
      </c>
      <c r="B857">
        <f>[5]trip_summary_region!B857</f>
        <v>0</v>
      </c>
      <c r="C857">
        <f>[5]trip_summary_region!C857</f>
        <v>2018</v>
      </c>
      <c r="D857">
        <f>[5]trip_summary_region!D857</f>
        <v>2073</v>
      </c>
      <c r="E857">
        <f>[5]trip_summary_region!E857</f>
        <v>7645</v>
      </c>
      <c r="F857">
        <f>[5]trip_summary_region!F857</f>
        <v>138.90344611</v>
      </c>
      <c r="G857">
        <f>[5]trip_summary_region!G857</f>
        <v>119.98057351999999</v>
      </c>
      <c r="H857">
        <f>[5]trip_summary_region!H857</f>
        <v>28.509822157999999</v>
      </c>
      <c r="I857" t="str">
        <f>[5]trip_summary_region!I857</f>
        <v>Pedestrian</v>
      </c>
      <c r="J857" t="str">
        <f>[5]trip_summary_region!J857</f>
        <v>2017/18</v>
      </c>
    </row>
    <row r="858" spans="1:10" x14ac:dyDescent="0.2">
      <c r="A858" t="str">
        <f>[5]trip_summary_region!A858</f>
        <v>13 CANTERBURY</v>
      </c>
      <c r="B858">
        <f>[5]trip_summary_region!B858</f>
        <v>0</v>
      </c>
      <c r="C858">
        <f>[5]trip_summary_region!C858</f>
        <v>2023</v>
      </c>
      <c r="D858">
        <f>[5]trip_summary_region!D858</f>
        <v>2073</v>
      </c>
      <c r="E858">
        <f>[5]trip_summary_region!E858</f>
        <v>7645</v>
      </c>
      <c r="F858">
        <f>[5]trip_summary_region!F858</f>
        <v>142.60308019999999</v>
      </c>
      <c r="G858">
        <f>[5]trip_summary_region!G858</f>
        <v>122.28703609999999</v>
      </c>
      <c r="H858">
        <f>[5]trip_summary_region!H858</f>
        <v>29.006013458000002</v>
      </c>
      <c r="I858" t="str">
        <f>[5]trip_summary_region!I858</f>
        <v>Pedestrian</v>
      </c>
      <c r="J858" t="str">
        <f>[5]trip_summary_region!J858</f>
        <v>2022/23</v>
      </c>
    </row>
    <row r="859" spans="1:10" x14ac:dyDescent="0.2">
      <c r="A859" t="str">
        <f>[5]trip_summary_region!A859</f>
        <v>13 CANTERBURY</v>
      </c>
      <c r="B859">
        <f>[5]trip_summary_region!B859</f>
        <v>0</v>
      </c>
      <c r="C859">
        <f>[5]trip_summary_region!C859</f>
        <v>2028</v>
      </c>
      <c r="D859">
        <f>[5]trip_summary_region!D859</f>
        <v>2073</v>
      </c>
      <c r="E859">
        <f>[5]trip_summary_region!E859</f>
        <v>7645</v>
      </c>
      <c r="F859">
        <f>[5]trip_summary_region!F859</f>
        <v>147.18670317999999</v>
      </c>
      <c r="G859">
        <f>[5]trip_summary_region!G859</f>
        <v>125.3595978</v>
      </c>
      <c r="H859">
        <f>[5]trip_summary_region!H859</f>
        <v>29.709936366000001</v>
      </c>
      <c r="I859" t="str">
        <f>[5]trip_summary_region!I859</f>
        <v>Pedestrian</v>
      </c>
      <c r="J859" t="str">
        <f>[5]trip_summary_region!J859</f>
        <v>2027/28</v>
      </c>
    </row>
    <row r="860" spans="1:10" x14ac:dyDescent="0.2">
      <c r="A860" t="str">
        <f>[5]trip_summary_region!A860</f>
        <v>13 CANTERBURY</v>
      </c>
      <c r="B860">
        <f>[5]trip_summary_region!B860</f>
        <v>0</v>
      </c>
      <c r="C860">
        <f>[5]trip_summary_region!C860</f>
        <v>2033</v>
      </c>
      <c r="D860">
        <f>[5]trip_summary_region!D860</f>
        <v>2073</v>
      </c>
      <c r="E860">
        <f>[5]trip_summary_region!E860</f>
        <v>7645</v>
      </c>
      <c r="F860">
        <f>[5]trip_summary_region!F860</f>
        <v>149.73027611000001</v>
      </c>
      <c r="G860">
        <f>[5]trip_summary_region!G860</f>
        <v>126.61413648</v>
      </c>
      <c r="H860">
        <f>[5]trip_summary_region!H860</f>
        <v>30.053325201</v>
      </c>
      <c r="I860" t="str">
        <f>[5]trip_summary_region!I860</f>
        <v>Pedestrian</v>
      </c>
      <c r="J860" t="str">
        <f>[5]trip_summary_region!J860</f>
        <v>2032/33</v>
      </c>
    </row>
    <row r="861" spans="1:10" x14ac:dyDescent="0.2">
      <c r="A861" t="str">
        <f>[5]trip_summary_region!A861</f>
        <v>13 CANTERBURY</v>
      </c>
      <c r="B861">
        <f>[5]trip_summary_region!B861</f>
        <v>0</v>
      </c>
      <c r="C861">
        <f>[5]trip_summary_region!C861</f>
        <v>2038</v>
      </c>
      <c r="D861">
        <f>[5]trip_summary_region!D861</f>
        <v>2073</v>
      </c>
      <c r="E861">
        <f>[5]trip_summary_region!E861</f>
        <v>7645</v>
      </c>
      <c r="F861">
        <f>[5]trip_summary_region!F861</f>
        <v>151.40865163000001</v>
      </c>
      <c r="G861">
        <f>[5]trip_summary_region!G861</f>
        <v>127.32873788000001</v>
      </c>
      <c r="H861">
        <f>[5]trip_summary_region!H861</f>
        <v>30.189221558</v>
      </c>
      <c r="I861" t="str">
        <f>[5]trip_summary_region!I861</f>
        <v>Pedestrian</v>
      </c>
      <c r="J861" t="str">
        <f>[5]trip_summary_region!J861</f>
        <v>2037/38</v>
      </c>
    </row>
    <row r="862" spans="1:10" x14ac:dyDescent="0.2">
      <c r="A862" t="str">
        <f>[5]trip_summary_region!A862</f>
        <v>13 CANTERBURY</v>
      </c>
      <c r="B862">
        <f>[5]trip_summary_region!B862</f>
        <v>0</v>
      </c>
      <c r="C862">
        <f>[5]trip_summary_region!C862</f>
        <v>2043</v>
      </c>
      <c r="D862">
        <f>[5]trip_summary_region!D862</f>
        <v>2073</v>
      </c>
      <c r="E862">
        <f>[5]trip_summary_region!E862</f>
        <v>7645</v>
      </c>
      <c r="F862">
        <f>[5]trip_summary_region!F862</f>
        <v>152.45740236</v>
      </c>
      <c r="G862">
        <f>[5]trip_summary_region!G862</f>
        <v>127.59173183999999</v>
      </c>
      <c r="H862">
        <f>[5]trip_summary_region!H862</f>
        <v>30.211591433999999</v>
      </c>
      <c r="I862" t="str">
        <f>[5]trip_summary_region!I862</f>
        <v>Pedestrian</v>
      </c>
      <c r="J862" t="str">
        <f>[5]trip_summary_region!J862</f>
        <v>2042/43</v>
      </c>
    </row>
    <row r="863" spans="1:10" x14ac:dyDescent="0.2">
      <c r="A863" t="str">
        <f>[5]trip_summary_region!A863</f>
        <v>13 CANTERBURY</v>
      </c>
      <c r="B863">
        <f>[5]trip_summary_region!B863</f>
        <v>1</v>
      </c>
      <c r="C863">
        <f>[5]trip_summary_region!C863</f>
        <v>2013</v>
      </c>
      <c r="D863">
        <f>[5]trip_summary_region!D863</f>
        <v>335</v>
      </c>
      <c r="E863">
        <f>[5]trip_summary_region!E863</f>
        <v>1282</v>
      </c>
      <c r="F863">
        <f>[5]trip_summary_region!F863</f>
        <v>23.740018446000001</v>
      </c>
      <c r="G863">
        <f>[5]trip_summary_region!G863</f>
        <v>97.023488555</v>
      </c>
      <c r="H863">
        <f>[5]trip_summary_region!H863</f>
        <v>7.2445897615000003</v>
      </c>
      <c r="I863" t="str">
        <f>[5]trip_summary_region!I863</f>
        <v>Cyclist</v>
      </c>
      <c r="J863" t="str">
        <f>[5]trip_summary_region!J863</f>
        <v>2012/13</v>
      </c>
    </row>
    <row r="864" spans="1:10" x14ac:dyDescent="0.2">
      <c r="A864" t="str">
        <f>[5]trip_summary_region!A864</f>
        <v>13 CANTERBURY</v>
      </c>
      <c r="B864">
        <f>[5]trip_summary_region!B864</f>
        <v>1</v>
      </c>
      <c r="C864">
        <f>[5]trip_summary_region!C864</f>
        <v>2018</v>
      </c>
      <c r="D864">
        <f>[5]trip_summary_region!D864</f>
        <v>335</v>
      </c>
      <c r="E864">
        <f>[5]trip_summary_region!E864</f>
        <v>1282</v>
      </c>
      <c r="F864">
        <f>[5]trip_summary_region!F864</f>
        <v>25.683016619</v>
      </c>
      <c r="G864">
        <f>[5]trip_summary_region!G864</f>
        <v>107.62104835</v>
      </c>
      <c r="H864">
        <f>[5]trip_summary_region!H864</f>
        <v>7.9206955387000004</v>
      </c>
      <c r="I864" t="str">
        <f>[5]trip_summary_region!I864</f>
        <v>Cyclist</v>
      </c>
      <c r="J864" t="str">
        <f>[5]trip_summary_region!J864</f>
        <v>2017/18</v>
      </c>
    </row>
    <row r="865" spans="1:10" x14ac:dyDescent="0.2">
      <c r="A865" t="str">
        <f>[5]trip_summary_region!A865</f>
        <v>13 CANTERBURY</v>
      </c>
      <c r="B865">
        <f>[5]trip_summary_region!B865</f>
        <v>1</v>
      </c>
      <c r="C865">
        <f>[5]trip_summary_region!C865</f>
        <v>2023</v>
      </c>
      <c r="D865">
        <f>[5]trip_summary_region!D865</f>
        <v>335</v>
      </c>
      <c r="E865">
        <f>[5]trip_summary_region!E865</f>
        <v>1282</v>
      </c>
      <c r="F865">
        <f>[5]trip_summary_region!F865</f>
        <v>25.976522394</v>
      </c>
      <c r="G865">
        <f>[5]trip_summary_region!G865</f>
        <v>111.12520852999999</v>
      </c>
      <c r="H865">
        <f>[5]trip_summary_region!H865</f>
        <v>8.1025837192000001</v>
      </c>
      <c r="I865" t="str">
        <f>[5]trip_summary_region!I865</f>
        <v>Cyclist</v>
      </c>
      <c r="J865" t="str">
        <f>[5]trip_summary_region!J865</f>
        <v>2022/23</v>
      </c>
    </row>
    <row r="866" spans="1:10" x14ac:dyDescent="0.2">
      <c r="A866" t="str">
        <f>[5]trip_summary_region!A866</f>
        <v>13 CANTERBURY</v>
      </c>
      <c r="B866">
        <f>[5]trip_summary_region!B866</f>
        <v>1</v>
      </c>
      <c r="C866">
        <f>[5]trip_summary_region!C866</f>
        <v>2028</v>
      </c>
      <c r="D866">
        <f>[5]trip_summary_region!D866</f>
        <v>335</v>
      </c>
      <c r="E866">
        <f>[5]trip_summary_region!E866</f>
        <v>1282</v>
      </c>
      <c r="F866">
        <f>[5]trip_summary_region!F866</f>
        <v>26.345324633000001</v>
      </c>
      <c r="G866">
        <f>[5]trip_summary_region!G866</f>
        <v>113.45898536999999</v>
      </c>
      <c r="H866">
        <f>[5]trip_summary_region!H866</f>
        <v>8.2346100445000001</v>
      </c>
      <c r="I866" t="str">
        <f>[5]trip_summary_region!I866</f>
        <v>Cyclist</v>
      </c>
      <c r="J866" t="str">
        <f>[5]trip_summary_region!J866</f>
        <v>2027/28</v>
      </c>
    </row>
    <row r="867" spans="1:10" x14ac:dyDescent="0.2">
      <c r="A867" t="str">
        <f>[5]trip_summary_region!A867</f>
        <v>13 CANTERBURY</v>
      </c>
      <c r="B867">
        <f>[5]trip_summary_region!B867</f>
        <v>1</v>
      </c>
      <c r="C867">
        <f>[5]trip_summary_region!C867</f>
        <v>2033</v>
      </c>
      <c r="D867">
        <f>[5]trip_summary_region!D867</f>
        <v>335</v>
      </c>
      <c r="E867">
        <f>[5]trip_summary_region!E867</f>
        <v>1282</v>
      </c>
      <c r="F867">
        <f>[5]trip_summary_region!F867</f>
        <v>26.72702103</v>
      </c>
      <c r="G867">
        <f>[5]trip_summary_region!G867</f>
        <v>116.85010391</v>
      </c>
      <c r="H867">
        <f>[5]trip_summary_region!H867</f>
        <v>8.4088754663999996</v>
      </c>
      <c r="I867" t="str">
        <f>[5]trip_summary_region!I867</f>
        <v>Cyclist</v>
      </c>
      <c r="J867" t="str">
        <f>[5]trip_summary_region!J867</f>
        <v>2032/33</v>
      </c>
    </row>
    <row r="868" spans="1:10" x14ac:dyDescent="0.2">
      <c r="A868" t="str">
        <f>[5]trip_summary_region!A868</f>
        <v>13 CANTERBURY</v>
      </c>
      <c r="B868">
        <f>[5]trip_summary_region!B868</f>
        <v>1</v>
      </c>
      <c r="C868">
        <f>[5]trip_summary_region!C868</f>
        <v>2038</v>
      </c>
      <c r="D868">
        <f>[5]trip_summary_region!D868</f>
        <v>335</v>
      </c>
      <c r="E868">
        <f>[5]trip_summary_region!E868</f>
        <v>1282</v>
      </c>
      <c r="F868">
        <f>[5]trip_summary_region!F868</f>
        <v>26.903411092999999</v>
      </c>
      <c r="G868">
        <f>[5]trip_summary_region!G868</f>
        <v>121.261495</v>
      </c>
      <c r="H868">
        <f>[5]trip_summary_region!H868</f>
        <v>8.6039284903999995</v>
      </c>
      <c r="I868" t="str">
        <f>[5]trip_summary_region!I868</f>
        <v>Cyclist</v>
      </c>
      <c r="J868" t="str">
        <f>[5]trip_summary_region!J868</f>
        <v>2037/38</v>
      </c>
    </row>
    <row r="869" spans="1:10" x14ac:dyDescent="0.2">
      <c r="A869" t="str">
        <f>[5]trip_summary_region!A869</f>
        <v>13 CANTERBURY</v>
      </c>
      <c r="B869">
        <f>[5]trip_summary_region!B869</f>
        <v>1</v>
      </c>
      <c r="C869">
        <f>[5]trip_summary_region!C869</f>
        <v>2043</v>
      </c>
      <c r="D869">
        <f>[5]trip_summary_region!D869</f>
        <v>335</v>
      </c>
      <c r="E869">
        <f>[5]trip_summary_region!E869</f>
        <v>1282</v>
      </c>
      <c r="F869">
        <f>[5]trip_summary_region!F869</f>
        <v>27.039992801</v>
      </c>
      <c r="G869">
        <f>[5]trip_summary_region!G869</f>
        <v>125.71689560999999</v>
      </c>
      <c r="H869">
        <f>[5]trip_summary_region!H869</f>
        <v>8.7944996197999998</v>
      </c>
      <c r="I869" t="str">
        <f>[5]trip_summary_region!I869</f>
        <v>Cyclist</v>
      </c>
      <c r="J869" t="str">
        <f>[5]trip_summary_region!J869</f>
        <v>2042/43</v>
      </c>
    </row>
    <row r="870" spans="1:10" x14ac:dyDescent="0.2">
      <c r="A870" t="str">
        <f>[5]trip_summary_region!A870</f>
        <v>13 CANTERBURY</v>
      </c>
      <c r="B870">
        <f>[5]trip_summary_region!B870</f>
        <v>2</v>
      </c>
      <c r="C870">
        <f>[5]trip_summary_region!C870</f>
        <v>2013</v>
      </c>
      <c r="D870">
        <f>[5]trip_summary_region!D870</f>
        <v>3326</v>
      </c>
      <c r="E870">
        <f>[5]trip_summary_region!E870</f>
        <v>23816</v>
      </c>
      <c r="F870">
        <f>[5]trip_summary_region!F870</f>
        <v>417.41567177000002</v>
      </c>
      <c r="G870">
        <f>[5]trip_summary_region!G870</f>
        <v>3777.041205</v>
      </c>
      <c r="H870">
        <f>[5]trip_summary_region!H870</f>
        <v>111.06814274</v>
      </c>
      <c r="I870" t="str">
        <f>[5]trip_summary_region!I870</f>
        <v>Light Vehicle Driver</v>
      </c>
      <c r="J870" t="str">
        <f>[5]trip_summary_region!J870</f>
        <v>2012/13</v>
      </c>
    </row>
    <row r="871" spans="1:10" x14ac:dyDescent="0.2">
      <c r="A871" t="str">
        <f>[5]trip_summary_region!A871</f>
        <v>13 CANTERBURY</v>
      </c>
      <c r="B871">
        <f>[5]trip_summary_region!B871</f>
        <v>2</v>
      </c>
      <c r="C871">
        <f>[5]trip_summary_region!C871</f>
        <v>2018</v>
      </c>
      <c r="D871">
        <f>[5]trip_summary_region!D871</f>
        <v>3326</v>
      </c>
      <c r="E871">
        <f>[5]trip_summary_region!E871</f>
        <v>23816</v>
      </c>
      <c r="F871">
        <f>[5]trip_summary_region!F871</f>
        <v>461.82628619000002</v>
      </c>
      <c r="G871">
        <f>[5]trip_summary_region!G871</f>
        <v>4230.1676625999999</v>
      </c>
      <c r="H871">
        <f>[5]trip_summary_region!H871</f>
        <v>124.10666566</v>
      </c>
      <c r="I871" t="str">
        <f>[5]trip_summary_region!I871</f>
        <v>Light Vehicle Driver</v>
      </c>
      <c r="J871" t="str">
        <f>[5]trip_summary_region!J871</f>
        <v>2017/18</v>
      </c>
    </row>
    <row r="872" spans="1:10" x14ac:dyDescent="0.2">
      <c r="A872" t="str">
        <f>[5]trip_summary_region!A872</f>
        <v>13 CANTERBURY</v>
      </c>
      <c r="B872">
        <f>[5]trip_summary_region!B872</f>
        <v>2</v>
      </c>
      <c r="C872">
        <f>[5]trip_summary_region!C872</f>
        <v>2023</v>
      </c>
      <c r="D872">
        <f>[5]trip_summary_region!D872</f>
        <v>3326</v>
      </c>
      <c r="E872">
        <f>[5]trip_summary_region!E872</f>
        <v>23816</v>
      </c>
      <c r="F872">
        <f>[5]trip_summary_region!F872</f>
        <v>486.86278959999999</v>
      </c>
      <c r="G872">
        <f>[5]trip_summary_region!G872</f>
        <v>4474.4820284999996</v>
      </c>
      <c r="H872">
        <f>[5]trip_summary_region!H872</f>
        <v>131.27230168</v>
      </c>
      <c r="I872" t="str">
        <f>[5]trip_summary_region!I872</f>
        <v>Light Vehicle Driver</v>
      </c>
      <c r="J872" t="str">
        <f>[5]trip_summary_region!J872</f>
        <v>2022/23</v>
      </c>
    </row>
    <row r="873" spans="1:10" x14ac:dyDescent="0.2">
      <c r="A873" t="str">
        <f>[5]trip_summary_region!A873</f>
        <v>13 CANTERBURY</v>
      </c>
      <c r="B873">
        <f>[5]trip_summary_region!B873</f>
        <v>2</v>
      </c>
      <c r="C873">
        <f>[5]trip_summary_region!C873</f>
        <v>2028</v>
      </c>
      <c r="D873">
        <f>[5]trip_summary_region!D873</f>
        <v>3326</v>
      </c>
      <c r="E873">
        <f>[5]trip_summary_region!E873</f>
        <v>23816</v>
      </c>
      <c r="F873">
        <f>[5]trip_summary_region!F873</f>
        <v>511.07441886999999</v>
      </c>
      <c r="G873">
        <f>[5]trip_summary_region!G873</f>
        <v>4705.7022034000001</v>
      </c>
      <c r="H873">
        <f>[5]trip_summary_region!H873</f>
        <v>137.95053389</v>
      </c>
      <c r="I873" t="str">
        <f>[5]trip_summary_region!I873</f>
        <v>Light Vehicle Driver</v>
      </c>
      <c r="J873" t="str">
        <f>[5]trip_summary_region!J873</f>
        <v>2027/28</v>
      </c>
    </row>
    <row r="874" spans="1:10" x14ac:dyDescent="0.2">
      <c r="A874" t="str">
        <f>[5]trip_summary_region!A874</f>
        <v>13 CANTERBURY</v>
      </c>
      <c r="B874">
        <f>[5]trip_summary_region!B874</f>
        <v>2</v>
      </c>
      <c r="C874">
        <f>[5]trip_summary_region!C874</f>
        <v>2033</v>
      </c>
      <c r="D874">
        <f>[5]trip_summary_region!D874</f>
        <v>3326</v>
      </c>
      <c r="E874">
        <f>[5]trip_summary_region!E874</f>
        <v>23816</v>
      </c>
      <c r="F874">
        <f>[5]trip_summary_region!F874</f>
        <v>533.00774236999996</v>
      </c>
      <c r="G874">
        <f>[5]trip_summary_region!G874</f>
        <v>4923.3264028000003</v>
      </c>
      <c r="H874">
        <f>[5]trip_summary_region!H874</f>
        <v>144.2081719</v>
      </c>
      <c r="I874" t="str">
        <f>[5]trip_summary_region!I874</f>
        <v>Light Vehicle Driver</v>
      </c>
      <c r="J874" t="str">
        <f>[5]trip_summary_region!J874</f>
        <v>2032/33</v>
      </c>
    </row>
    <row r="875" spans="1:10" x14ac:dyDescent="0.2">
      <c r="A875" t="str">
        <f>[5]trip_summary_region!A875</f>
        <v>13 CANTERBURY</v>
      </c>
      <c r="B875">
        <f>[5]trip_summary_region!B875</f>
        <v>2</v>
      </c>
      <c r="C875">
        <f>[5]trip_summary_region!C875</f>
        <v>2038</v>
      </c>
      <c r="D875">
        <f>[5]trip_summary_region!D875</f>
        <v>3326</v>
      </c>
      <c r="E875">
        <f>[5]trip_summary_region!E875</f>
        <v>23816</v>
      </c>
      <c r="F875">
        <f>[5]trip_summary_region!F875</f>
        <v>548.47610729999997</v>
      </c>
      <c r="G875">
        <f>[5]trip_summary_region!G875</f>
        <v>5087.8462687000001</v>
      </c>
      <c r="H875">
        <f>[5]trip_summary_region!H875</f>
        <v>148.88232015</v>
      </c>
      <c r="I875" t="str">
        <f>[5]trip_summary_region!I875</f>
        <v>Light Vehicle Driver</v>
      </c>
      <c r="J875" t="str">
        <f>[5]trip_summary_region!J875</f>
        <v>2037/38</v>
      </c>
    </row>
    <row r="876" spans="1:10" x14ac:dyDescent="0.2">
      <c r="A876" t="str">
        <f>[5]trip_summary_region!A876</f>
        <v>13 CANTERBURY</v>
      </c>
      <c r="B876">
        <f>[5]trip_summary_region!B876</f>
        <v>2</v>
      </c>
      <c r="C876">
        <f>[5]trip_summary_region!C876</f>
        <v>2043</v>
      </c>
      <c r="D876">
        <f>[5]trip_summary_region!D876</f>
        <v>3326</v>
      </c>
      <c r="E876">
        <f>[5]trip_summary_region!E876</f>
        <v>23816</v>
      </c>
      <c r="F876">
        <f>[5]trip_summary_region!F876</f>
        <v>561.87544794999997</v>
      </c>
      <c r="G876">
        <f>[5]trip_summary_region!G876</f>
        <v>5237.2083664000002</v>
      </c>
      <c r="H876">
        <f>[5]trip_summary_region!H876</f>
        <v>153.07471745999999</v>
      </c>
      <c r="I876" t="str">
        <f>[5]trip_summary_region!I876</f>
        <v>Light Vehicle Driver</v>
      </c>
      <c r="J876" t="str">
        <f>[5]trip_summary_region!J876</f>
        <v>2042/43</v>
      </c>
    </row>
    <row r="877" spans="1:10" x14ac:dyDescent="0.2">
      <c r="A877" t="str">
        <f>[5]trip_summary_region!A877</f>
        <v>13 CANTERBURY</v>
      </c>
      <c r="B877">
        <f>[5]trip_summary_region!B877</f>
        <v>3</v>
      </c>
      <c r="C877">
        <f>[5]trip_summary_region!C877</f>
        <v>2013</v>
      </c>
      <c r="D877">
        <f>[5]trip_summary_region!D877</f>
        <v>2416</v>
      </c>
      <c r="E877">
        <f>[5]trip_summary_region!E877</f>
        <v>11025</v>
      </c>
      <c r="F877">
        <f>[5]trip_summary_region!F877</f>
        <v>189.77500577999999</v>
      </c>
      <c r="G877">
        <f>[5]trip_summary_region!G877</f>
        <v>2033.7115475000001</v>
      </c>
      <c r="H877">
        <f>[5]trip_summary_region!H877</f>
        <v>53.544276449999998</v>
      </c>
      <c r="I877" t="str">
        <f>[5]trip_summary_region!I877</f>
        <v>Light Vehicle Passenger</v>
      </c>
      <c r="J877" t="str">
        <f>[5]trip_summary_region!J877</f>
        <v>2012/13</v>
      </c>
    </row>
    <row r="878" spans="1:10" x14ac:dyDescent="0.2">
      <c r="A878" t="str">
        <f>[5]trip_summary_region!A878</f>
        <v>13 CANTERBURY</v>
      </c>
      <c r="B878">
        <f>[5]trip_summary_region!B878</f>
        <v>3</v>
      </c>
      <c r="C878">
        <f>[5]trip_summary_region!C878</f>
        <v>2018</v>
      </c>
      <c r="D878">
        <f>[5]trip_summary_region!D878</f>
        <v>2416</v>
      </c>
      <c r="E878">
        <f>[5]trip_summary_region!E878</f>
        <v>11025</v>
      </c>
      <c r="F878">
        <f>[5]trip_summary_region!F878</f>
        <v>198.37672065000001</v>
      </c>
      <c r="G878">
        <f>[5]trip_summary_region!G878</f>
        <v>2158.4247175999999</v>
      </c>
      <c r="H878">
        <f>[5]trip_summary_region!H878</f>
        <v>56.499264414000002</v>
      </c>
      <c r="I878" t="str">
        <f>[5]trip_summary_region!I878</f>
        <v>Light Vehicle Passenger</v>
      </c>
      <c r="J878" t="str">
        <f>[5]trip_summary_region!J878</f>
        <v>2017/18</v>
      </c>
    </row>
    <row r="879" spans="1:10" x14ac:dyDescent="0.2">
      <c r="A879" t="str">
        <f>[5]trip_summary_region!A879</f>
        <v>13 CANTERBURY</v>
      </c>
      <c r="B879">
        <f>[5]trip_summary_region!B879</f>
        <v>3</v>
      </c>
      <c r="C879">
        <f>[5]trip_summary_region!C879</f>
        <v>2023</v>
      </c>
      <c r="D879">
        <f>[5]trip_summary_region!D879</f>
        <v>2416</v>
      </c>
      <c r="E879">
        <f>[5]trip_summary_region!E879</f>
        <v>11025</v>
      </c>
      <c r="F879">
        <f>[5]trip_summary_region!F879</f>
        <v>201.41575399000001</v>
      </c>
      <c r="G879">
        <f>[5]trip_summary_region!G879</f>
        <v>2216.0328536000002</v>
      </c>
      <c r="H879">
        <f>[5]trip_summary_region!H879</f>
        <v>57.738412603</v>
      </c>
      <c r="I879" t="str">
        <f>[5]trip_summary_region!I879</f>
        <v>Light Vehicle Passenger</v>
      </c>
      <c r="J879" t="str">
        <f>[5]trip_summary_region!J879</f>
        <v>2022/23</v>
      </c>
    </row>
    <row r="880" spans="1:10" x14ac:dyDescent="0.2">
      <c r="A880" t="str">
        <f>[5]trip_summary_region!A880</f>
        <v>13 CANTERBURY</v>
      </c>
      <c r="B880">
        <f>[5]trip_summary_region!B880</f>
        <v>3</v>
      </c>
      <c r="C880">
        <f>[5]trip_summary_region!C880</f>
        <v>2028</v>
      </c>
      <c r="D880">
        <f>[5]trip_summary_region!D880</f>
        <v>2416</v>
      </c>
      <c r="E880">
        <f>[5]trip_summary_region!E880</f>
        <v>11025</v>
      </c>
      <c r="F880">
        <f>[5]trip_summary_region!F880</f>
        <v>205.39957443</v>
      </c>
      <c r="G880">
        <f>[5]trip_summary_region!G880</f>
        <v>2286.5758494000002</v>
      </c>
      <c r="H880">
        <f>[5]trip_summary_region!H880</f>
        <v>59.288068586999998</v>
      </c>
      <c r="I880" t="str">
        <f>[5]trip_summary_region!I880</f>
        <v>Light Vehicle Passenger</v>
      </c>
      <c r="J880" t="str">
        <f>[5]trip_summary_region!J880</f>
        <v>2027/28</v>
      </c>
    </row>
    <row r="881" spans="1:10" x14ac:dyDescent="0.2">
      <c r="A881" t="str">
        <f>[5]trip_summary_region!A881</f>
        <v>13 CANTERBURY</v>
      </c>
      <c r="B881">
        <f>[5]trip_summary_region!B881</f>
        <v>3</v>
      </c>
      <c r="C881">
        <f>[5]trip_summary_region!C881</f>
        <v>2033</v>
      </c>
      <c r="D881">
        <f>[5]trip_summary_region!D881</f>
        <v>2416</v>
      </c>
      <c r="E881">
        <f>[5]trip_summary_region!E881</f>
        <v>11025</v>
      </c>
      <c r="F881">
        <f>[5]trip_summary_region!F881</f>
        <v>208.44985747999999</v>
      </c>
      <c r="G881">
        <f>[5]trip_summary_region!G881</f>
        <v>2344.6375339000001</v>
      </c>
      <c r="H881">
        <f>[5]trip_summary_region!H881</f>
        <v>60.538394271000001</v>
      </c>
      <c r="I881" t="str">
        <f>[5]trip_summary_region!I881</f>
        <v>Light Vehicle Passenger</v>
      </c>
      <c r="J881" t="str">
        <f>[5]trip_summary_region!J881</f>
        <v>2032/33</v>
      </c>
    </row>
    <row r="882" spans="1:10" x14ac:dyDescent="0.2">
      <c r="A882" t="str">
        <f>[5]trip_summary_region!A882</f>
        <v>13 CANTERBURY</v>
      </c>
      <c r="B882">
        <f>[5]trip_summary_region!B882</f>
        <v>3</v>
      </c>
      <c r="C882">
        <f>[5]trip_summary_region!C882</f>
        <v>2038</v>
      </c>
      <c r="D882">
        <f>[5]trip_summary_region!D882</f>
        <v>2416</v>
      </c>
      <c r="E882">
        <f>[5]trip_summary_region!E882</f>
        <v>11025</v>
      </c>
      <c r="F882">
        <f>[5]trip_summary_region!F882</f>
        <v>211.1313169</v>
      </c>
      <c r="G882">
        <f>[5]trip_summary_region!G882</f>
        <v>2394.6182776000001</v>
      </c>
      <c r="H882">
        <f>[5]trip_summary_region!H882</f>
        <v>61.658730818999999</v>
      </c>
      <c r="I882" t="str">
        <f>[5]trip_summary_region!I882</f>
        <v>Light Vehicle Passenger</v>
      </c>
      <c r="J882" t="str">
        <f>[5]trip_summary_region!J882</f>
        <v>2037/38</v>
      </c>
    </row>
    <row r="883" spans="1:10" x14ac:dyDescent="0.2">
      <c r="A883" t="str">
        <f>[5]trip_summary_region!A883</f>
        <v>13 CANTERBURY</v>
      </c>
      <c r="B883">
        <f>[5]trip_summary_region!B883</f>
        <v>3</v>
      </c>
      <c r="C883">
        <f>[5]trip_summary_region!C883</f>
        <v>2043</v>
      </c>
      <c r="D883">
        <f>[5]trip_summary_region!D883</f>
        <v>2416</v>
      </c>
      <c r="E883">
        <f>[5]trip_summary_region!E883</f>
        <v>11025</v>
      </c>
      <c r="F883">
        <f>[5]trip_summary_region!F883</f>
        <v>212.72041157000001</v>
      </c>
      <c r="G883">
        <f>[5]trip_summary_region!G883</f>
        <v>2433.1373096000002</v>
      </c>
      <c r="H883">
        <f>[5]trip_summary_region!H883</f>
        <v>62.470812852000002</v>
      </c>
      <c r="I883" t="str">
        <f>[5]trip_summary_region!I883</f>
        <v>Light Vehicle Passenger</v>
      </c>
      <c r="J883" t="str">
        <f>[5]trip_summary_region!J883</f>
        <v>2042/43</v>
      </c>
    </row>
    <row r="884" spans="1:10" x14ac:dyDescent="0.2">
      <c r="A884" t="str">
        <f>[5]trip_summary_region!A884</f>
        <v>13 CANTERBURY</v>
      </c>
      <c r="B884">
        <f>[5]trip_summary_region!B884</f>
        <v>4</v>
      </c>
      <c r="C884">
        <f>[5]trip_summary_region!C884</f>
        <v>2013</v>
      </c>
      <c r="D884">
        <f>[5]trip_summary_region!D884</f>
        <v>68</v>
      </c>
      <c r="E884">
        <f>[5]trip_summary_region!E884</f>
        <v>116</v>
      </c>
      <c r="F884">
        <f>[5]trip_summary_region!F884</f>
        <v>2.2446435044999999</v>
      </c>
      <c r="G884">
        <f>[5]trip_summary_region!G884</f>
        <v>16.530142167000001</v>
      </c>
      <c r="H884">
        <f>[5]trip_summary_region!H884</f>
        <v>0.86554787379999998</v>
      </c>
      <c r="I884" t="s">
        <v>116</v>
      </c>
      <c r="J884" t="str">
        <f>[5]trip_summary_region!J884</f>
        <v>2012/13</v>
      </c>
    </row>
    <row r="885" spans="1:10" x14ac:dyDescent="0.2">
      <c r="A885" t="str">
        <f>[5]trip_summary_region!A885</f>
        <v>13 CANTERBURY</v>
      </c>
      <c r="B885">
        <f>[5]trip_summary_region!B885</f>
        <v>4</v>
      </c>
      <c r="C885">
        <f>[5]trip_summary_region!C885</f>
        <v>2018</v>
      </c>
      <c r="D885">
        <f>[5]trip_summary_region!D885</f>
        <v>68</v>
      </c>
      <c r="E885">
        <f>[5]trip_summary_region!E885</f>
        <v>116</v>
      </c>
      <c r="F885">
        <f>[5]trip_summary_region!F885</f>
        <v>2.4730407147000002</v>
      </c>
      <c r="G885">
        <f>[5]trip_summary_region!G885</f>
        <v>18.895325593999999</v>
      </c>
      <c r="H885">
        <f>[5]trip_summary_region!H885</f>
        <v>0.96258451759999997</v>
      </c>
      <c r="I885" t="s">
        <v>116</v>
      </c>
      <c r="J885" t="str">
        <f>[5]trip_summary_region!J885</f>
        <v>2017/18</v>
      </c>
    </row>
    <row r="886" spans="1:10" x14ac:dyDescent="0.2">
      <c r="A886" t="str">
        <f>[5]trip_summary_region!A886</f>
        <v>13 CANTERBURY</v>
      </c>
      <c r="B886">
        <f>[5]trip_summary_region!B886</f>
        <v>4</v>
      </c>
      <c r="C886">
        <f>[5]trip_summary_region!C886</f>
        <v>2023</v>
      </c>
      <c r="D886">
        <f>[5]trip_summary_region!D886</f>
        <v>68</v>
      </c>
      <c r="E886">
        <f>[5]trip_summary_region!E886</f>
        <v>116</v>
      </c>
      <c r="F886">
        <f>[5]trip_summary_region!F886</f>
        <v>2.5966410012000001</v>
      </c>
      <c r="G886">
        <f>[5]trip_summary_region!G886</f>
        <v>20.241394632999999</v>
      </c>
      <c r="H886">
        <f>[5]trip_summary_region!H886</f>
        <v>1.0153783504</v>
      </c>
      <c r="I886" t="s">
        <v>116</v>
      </c>
      <c r="J886" t="str">
        <f>[5]trip_summary_region!J886</f>
        <v>2022/23</v>
      </c>
    </row>
    <row r="887" spans="1:10" x14ac:dyDescent="0.2">
      <c r="A887" t="str">
        <f>[5]trip_summary_region!A887</f>
        <v>13 CANTERBURY</v>
      </c>
      <c r="B887">
        <f>[5]trip_summary_region!B887</f>
        <v>4</v>
      </c>
      <c r="C887">
        <f>[5]trip_summary_region!C887</f>
        <v>2028</v>
      </c>
      <c r="D887">
        <f>[5]trip_summary_region!D887</f>
        <v>68</v>
      </c>
      <c r="E887">
        <f>[5]trip_summary_region!E887</f>
        <v>116</v>
      </c>
      <c r="F887">
        <f>[5]trip_summary_region!F887</f>
        <v>2.7208487698999999</v>
      </c>
      <c r="G887">
        <f>[5]trip_summary_region!G887</f>
        <v>21.357347351000001</v>
      </c>
      <c r="H887">
        <f>[5]trip_summary_region!H887</f>
        <v>1.074929558</v>
      </c>
      <c r="I887" t="s">
        <v>116</v>
      </c>
      <c r="J887" t="str">
        <f>[5]trip_summary_region!J887</f>
        <v>2027/28</v>
      </c>
    </row>
    <row r="888" spans="1:10" x14ac:dyDescent="0.2">
      <c r="A888" t="str">
        <f>[5]trip_summary_region!A888</f>
        <v>13 CANTERBURY</v>
      </c>
      <c r="B888">
        <f>[5]trip_summary_region!B888</f>
        <v>4</v>
      </c>
      <c r="C888">
        <f>[5]trip_summary_region!C888</f>
        <v>2033</v>
      </c>
      <c r="D888">
        <f>[5]trip_summary_region!D888</f>
        <v>68</v>
      </c>
      <c r="E888">
        <f>[5]trip_summary_region!E888</f>
        <v>116</v>
      </c>
      <c r="F888">
        <f>[5]trip_summary_region!F888</f>
        <v>2.8426523942999999</v>
      </c>
      <c r="G888">
        <f>[5]trip_summary_region!G888</f>
        <v>22.542703292999999</v>
      </c>
      <c r="H888">
        <f>[5]trip_summary_region!H888</f>
        <v>1.1413895904</v>
      </c>
      <c r="I888" t="s">
        <v>116</v>
      </c>
      <c r="J888" t="str">
        <f>[5]trip_summary_region!J888</f>
        <v>2032/33</v>
      </c>
    </row>
    <row r="889" spans="1:10" x14ac:dyDescent="0.2">
      <c r="A889" t="str">
        <f>[5]trip_summary_region!A889</f>
        <v>13 CANTERBURY</v>
      </c>
      <c r="B889">
        <f>[5]trip_summary_region!B889</f>
        <v>4</v>
      </c>
      <c r="C889">
        <f>[5]trip_summary_region!C889</f>
        <v>2038</v>
      </c>
      <c r="D889">
        <f>[5]trip_summary_region!D889</f>
        <v>68</v>
      </c>
      <c r="E889">
        <f>[5]trip_summary_region!E889</f>
        <v>116</v>
      </c>
      <c r="F889">
        <f>[5]trip_summary_region!F889</f>
        <v>2.9164621969</v>
      </c>
      <c r="G889">
        <f>[5]trip_summary_region!G889</f>
        <v>23.523869629</v>
      </c>
      <c r="H889">
        <f>[5]trip_summary_region!H889</f>
        <v>1.1845916664</v>
      </c>
      <c r="I889" t="s">
        <v>116</v>
      </c>
      <c r="J889" t="str">
        <f>[5]trip_summary_region!J889</f>
        <v>2037/38</v>
      </c>
    </row>
    <row r="890" spans="1:10" x14ac:dyDescent="0.2">
      <c r="A890" t="str">
        <f>[5]trip_summary_region!A890</f>
        <v>13 CANTERBURY</v>
      </c>
      <c r="B890">
        <f>[5]trip_summary_region!B890</f>
        <v>4</v>
      </c>
      <c r="C890">
        <f>[5]trip_summary_region!C890</f>
        <v>2043</v>
      </c>
      <c r="D890">
        <f>[5]trip_summary_region!D890</f>
        <v>68</v>
      </c>
      <c r="E890">
        <f>[5]trip_summary_region!E890</f>
        <v>116</v>
      </c>
      <c r="F890">
        <f>[5]trip_summary_region!F890</f>
        <v>2.9713639247999999</v>
      </c>
      <c r="G890">
        <f>[5]trip_summary_region!G890</f>
        <v>24.390811210999999</v>
      </c>
      <c r="H890">
        <f>[5]trip_summary_region!H890</f>
        <v>1.2165286103999999</v>
      </c>
      <c r="I890" t="s">
        <v>116</v>
      </c>
      <c r="J890" t="str">
        <f>[5]trip_summary_region!J890</f>
        <v>2042/43</v>
      </c>
    </row>
    <row r="891" spans="1:10" x14ac:dyDescent="0.2">
      <c r="A891" t="str">
        <f>[5]trip_summary_region!A891</f>
        <v>13 CANTERBURY</v>
      </c>
      <c r="B891">
        <f>[5]trip_summary_region!B891</f>
        <v>5</v>
      </c>
      <c r="C891">
        <f>[5]trip_summary_region!C891</f>
        <v>2013</v>
      </c>
      <c r="D891">
        <f>[5]trip_summary_region!D891</f>
        <v>29</v>
      </c>
      <c r="E891">
        <f>[5]trip_summary_region!E891</f>
        <v>91</v>
      </c>
      <c r="F891">
        <f>[5]trip_summary_region!F891</f>
        <v>1.4451657518000001</v>
      </c>
      <c r="G891">
        <f>[5]trip_summary_region!G891</f>
        <v>12.048552727000001</v>
      </c>
      <c r="H891">
        <f>[5]trip_summary_region!H891</f>
        <v>0.39288238580000001</v>
      </c>
      <c r="I891" t="str">
        <f>[5]trip_summary_region!I891</f>
        <v>Motorcyclist</v>
      </c>
      <c r="J891" t="str">
        <f>[5]trip_summary_region!J891</f>
        <v>2012/13</v>
      </c>
    </row>
    <row r="892" spans="1:10" x14ac:dyDescent="0.2">
      <c r="A892" t="str">
        <f>[5]trip_summary_region!A892</f>
        <v>13 CANTERBURY</v>
      </c>
      <c r="B892">
        <f>[5]trip_summary_region!B892</f>
        <v>5</v>
      </c>
      <c r="C892">
        <f>[5]trip_summary_region!C892</f>
        <v>2018</v>
      </c>
      <c r="D892">
        <f>[5]trip_summary_region!D892</f>
        <v>29</v>
      </c>
      <c r="E892">
        <f>[5]trip_summary_region!E892</f>
        <v>91</v>
      </c>
      <c r="F892">
        <f>[5]trip_summary_region!F892</f>
        <v>1.5838588179999999</v>
      </c>
      <c r="G892">
        <f>[5]trip_summary_region!G892</f>
        <v>12.911538787</v>
      </c>
      <c r="H892">
        <f>[5]trip_summary_region!H892</f>
        <v>0.4281787413</v>
      </c>
      <c r="I892" t="str">
        <f>[5]trip_summary_region!I892</f>
        <v>Motorcyclist</v>
      </c>
      <c r="J892" t="str">
        <f>[5]trip_summary_region!J892</f>
        <v>2017/18</v>
      </c>
    </row>
    <row r="893" spans="1:10" x14ac:dyDescent="0.2">
      <c r="A893" t="str">
        <f>[5]trip_summary_region!A893</f>
        <v>13 CANTERBURY</v>
      </c>
      <c r="B893">
        <f>[5]trip_summary_region!B893</f>
        <v>5</v>
      </c>
      <c r="C893">
        <f>[5]trip_summary_region!C893</f>
        <v>2023</v>
      </c>
      <c r="D893">
        <f>[5]trip_summary_region!D893</f>
        <v>29</v>
      </c>
      <c r="E893">
        <f>[5]trip_summary_region!E893</f>
        <v>91</v>
      </c>
      <c r="F893">
        <f>[5]trip_summary_region!F893</f>
        <v>1.6168421857999999</v>
      </c>
      <c r="G893">
        <f>[5]trip_summary_region!G893</f>
        <v>13.084098966000001</v>
      </c>
      <c r="H893">
        <f>[5]trip_summary_region!H893</f>
        <v>0.43997136050000002</v>
      </c>
      <c r="I893" t="str">
        <f>[5]trip_summary_region!I893</f>
        <v>Motorcyclist</v>
      </c>
      <c r="J893" t="str">
        <f>[5]trip_summary_region!J893</f>
        <v>2022/23</v>
      </c>
    </row>
    <row r="894" spans="1:10" x14ac:dyDescent="0.2">
      <c r="A894" t="str">
        <f>[5]trip_summary_region!A894</f>
        <v>13 CANTERBURY</v>
      </c>
      <c r="B894">
        <f>[5]trip_summary_region!B894</f>
        <v>5</v>
      </c>
      <c r="C894">
        <f>[5]trip_summary_region!C894</f>
        <v>2028</v>
      </c>
      <c r="D894">
        <f>[5]trip_summary_region!D894</f>
        <v>29</v>
      </c>
      <c r="E894">
        <f>[5]trip_summary_region!E894</f>
        <v>91</v>
      </c>
      <c r="F894">
        <f>[5]trip_summary_region!F894</f>
        <v>1.6348648957</v>
      </c>
      <c r="G894">
        <f>[5]trip_summary_region!G894</f>
        <v>13.19148657</v>
      </c>
      <c r="H894">
        <f>[5]trip_summary_region!H894</f>
        <v>0.4496159066</v>
      </c>
      <c r="I894" t="str">
        <f>[5]trip_summary_region!I894</f>
        <v>Motorcyclist</v>
      </c>
      <c r="J894" t="str">
        <f>[5]trip_summary_region!J894</f>
        <v>2027/28</v>
      </c>
    </row>
    <row r="895" spans="1:10" x14ac:dyDescent="0.2">
      <c r="A895" t="str">
        <f>[5]trip_summary_region!A895</f>
        <v>13 CANTERBURY</v>
      </c>
      <c r="B895">
        <f>[5]trip_summary_region!B895</f>
        <v>5</v>
      </c>
      <c r="C895">
        <f>[5]trip_summary_region!C895</f>
        <v>2033</v>
      </c>
      <c r="D895">
        <f>[5]trip_summary_region!D895</f>
        <v>29</v>
      </c>
      <c r="E895">
        <f>[5]trip_summary_region!E895</f>
        <v>91</v>
      </c>
      <c r="F895">
        <f>[5]trip_summary_region!F895</f>
        <v>1.6638953161000001</v>
      </c>
      <c r="G895">
        <f>[5]trip_summary_region!G895</f>
        <v>13.660125998</v>
      </c>
      <c r="H895">
        <f>[5]trip_summary_region!H895</f>
        <v>0.46664450349999997</v>
      </c>
      <c r="I895" t="str">
        <f>[5]trip_summary_region!I895</f>
        <v>Motorcyclist</v>
      </c>
      <c r="J895" t="str">
        <f>[5]trip_summary_region!J895</f>
        <v>2032/33</v>
      </c>
    </row>
    <row r="896" spans="1:10" x14ac:dyDescent="0.2">
      <c r="A896" t="str">
        <f>[5]trip_summary_region!A896</f>
        <v>13 CANTERBURY</v>
      </c>
      <c r="B896">
        <f>[5]trip_summary_region!B896</f>
        <v>5</v>
      </c>
      <c r="C896">
        <f>[5]trip_summary_region!C896</f>
        <v>2038</v>
      </c>
      <c r="D896">
        <f>[5]trip_summary_region!D896</f>
        <v>29</v>
      </c>
      <c r="E896">
        <f>[5]trip_summary_region!E896</f>
        <v>91</v>
      </c>
      <c r="F896">
        <f>[5]trip_summary_region!F896</f>
        <v>1.7327032748</v>
      </c>
      <c r="G896">
        <f>[5]trip_summary_region!G896</f>
        <v>14.499290937</v>
      </c>
      <c r="H896">
        <f>[5]trip_summary_region!H896</f>
        <v>0.49706307570000002</v>
      </c>
      <c r="I896" t="str">
        <f>[5]trip_summary_region!I896</f>
        <v>Motorcyclist</v>
      </c>
      <c r="J896" t="str">
        <f>[5]trip_summary_region!J896</f>
        <v>2037/38</v>
      </c>
    </row>
    <row r="897" spans="1:10" x14ac:dyDescent="0.2">
      <c r="A897" t="str">
        <f>[5]trip_summary_region!A897</f>
        <v>13 CANTERBURY</v>
      </c>
      <c r="B897">
        <f>[5]trip_summary_region!B897</f>
        <v>5</v>
      </c>
      <c r="C897">
        <f>[5]trip_summary_region!C897</f>
        <v>2043</v>
      </c>
      <c r="D897">
        <f>[5]trip_summary_region!D897</f>
        <v>29</v>
      </c>
      <c r="E897">
        <f>[5]trip_summary_region!E897</f>
        <v>91</v>
      </c>
      <c r="F897">
        <f>[5]trip_summary_region!F897</f>
        <v>1.7930996751999999</v>
      </c>
      <c r="G897">
        <f>[5]trip_summary_region!G897</f>
        <v>15.245678834</v>
      </c>
      <c r="H897">
        <f>[5]trip_summary_region!H897</f>
        <v>0.5258029085</v>
      </c>
      <c r="I897" t="str">
        <f>[5]trip_summary_region!I897</f>
        <v>Motorcyclist</v>
      </c>
      <c r="J897" t="str">
        <f>[5]trip_summary_region!J897</f>
        <v>2042/43</v>
      </c>
    </row>
    <row r="898" spans="1:10" x14ac:dyDescent="0.2">
      <c r="A898" t="str">
        <f>[5]trip_summary_region!A898</f>
        <v>13 CANTERBURY</v>
      </c>
      <c r="B898">
        <f>[5]trip_summary_region!B898</f>
        <v>6</v>
      </c>
      <c r="C898">
        <f>[5]trip_summary_region!C898</f>
        <v>2013</v>
      </c>
      <c r="D898">
        <f>[5]trip_summary_region!D898</f>
        <v>1</v>
      </c>
      <c r="E898">
        <f>[5]trip_summary_region!E898</f>
        <v>1</v>
      </c>
      <c r="F898">
        <f>[5]trip_summary_region!F898</f>
        <v>2.1901243099999999E-2</v>
      </c>
      <c r="G898">
        <f>[5]trip_summary_region!G898</f>
        <v>0</v>
      </c>
      <c r="H898">
        <f>[5]trip_summary_region!H898</f>
        <v>7.3004144E-3</v>
      </c>
      <c r="I898" t="str">
        <f>[5]trip_summary_region!I898</f>
        <v>Local Train</v>
      </c>
      <c r="J898" t="str">
        <f>[5]trip_summary_region!J898</f>
        <v>2012/13</v>
      </c>
    </row>
    <row r="899" spans="1:10" x14ac:dyDescent="0.2">
      <c r="A899" t="str">
        <f>[5]trip_summary_region!A899</f>
        <v>13 CANTERBURY</v>
      </c>
      <c r="B899">
        <f>[5]trip_summary_region!B899</f>
        <v>6</v>
      </c>
      <c r="C899">
        <f>[5]trip_summary_region!C899</f>
        <v>2018</v>
      </c>
      <c r="D899">
        <f>[5]trip_summary_region!D899</f>
        <v>1</v>
      </c>
      <c r="E899">
        <f>[5]trip_summary_region!E899</f>
        <v>1</v>
      </c>
      <c r="F899">
        <f>[5]trip_summary_region!F899</f>
        <v>2.2058192899999999E-2</v>
      </c>
      <c r="G899">
        <f>[5]trip_summary_region!G899</f>
        <v>0</v>
      </c>
      <c r="H899">
        <f>[5]trip_summary_region!H899</f>
        <v>7.3527310000000004E-3</v>
      </c>
      <c r="I899" t="str">
        <f>[5]trip_summary_region!I899</f>
        <v>Local Train</v>
      </c>
      <c r="J899" t="str">
        <f>[5]trip_summary_region!J899</f>
        <v>2017/18</v>
      </c>
    </row>
    <row r="900" spans="1:10" x14ac:dyDescent="0.2">
      <c r="A900" t="str">
        <f>[5]trip_summary_region!A900</f>
        <v>13 CANTERBURY</v>
      </c>
      <c r="B900">
        <f>[5]trip_summary_region!B900</f>
        <v>6</v>
      </c>
      <c r="C900">
        <f>[5]trip_summary_region!C900</f>
        <v>2023</v>
      </c>
      <c r="D900">
        <f>[5]trip_summary_region!D900</f>
        <v>1</v>
      </c>
      <c r="E900">
        <f>[5]trip_summary_region!E900</f>
        <v>1</v>
      </c>
      <c r="F900">
        <f>[5]trip_summary_region!F900</f>
        <v>1.8725575000000001E-2</v>
      </c>
      <c r="G900">
        <f>[5]trip_summary_region!G900</f>
        <v>0</v>
      </c>
      <c r="H900">
        <f>[5]trip_summary_region!H900</f>
        <v>6.2418583E-3</v>
      </c>
      <c r="I900" t="str">
        <f>[5]trip_summary_region!I900</f>
        <v>Local Train</v>
      </c>
      <c r="J900" t="str">
        <f>[5]trip_summary_region!J900</f>
        <v>2022/23</v>
      </c>
    </row>
    <row r="901" spans="1:10" x14ac:dyDescent="0.2">
      <c r="A901" t="str">
        <f>[5]trip_summary_region!A901</f>
        <v>13 CANTERBURY</v>
      </c>
      <c r="B901">
        <f>[5]trip_summary_region!B901</f>
        <v>6</v>
      </c>
      <c r="C901">
        <f>[5]trip_summary_region!C901</f>
        <v>2028</v>
      </c>
      <c r="D901">
        <f>[5]trip_summary_region!D901</f>
        <v>1</v>
      </c>
      <c r="E901">
        <f>[5]trip_summary_region!E901</f>
        <v>1</v>
      </c>
      <c r="F901">
        <f>[5]trip_summary_region!F901</f>
        <v>1.7423979199999998E-2</v>
      </c>
      <c r="G901">
        <f>[5]trip_summary_region!G901</f>
        <v>0</v>
      </c>
      <c r="H901">
        <f>[5]trip_summary_region!H901</f>
        <v>5.8079930999999996E-3</v>
      </c>
      <c r="I901" t="str">
        <f>[5]trip_summary_region!I901</f>
        <v>Local Train</v>
      </c>
      <c r="J901" t="str">
        <f>[5]trip_summary_region!J901</f>
        <v>2027/28</v>
      </c>
    </row>
    <row r="902" spans="1:10" x14ac:dyDescent="0.2">
      <c r="A902" t="str">
        <f>[5]trip_summary_region!A902</f>
        <v>13 CANTERBURY</v>
      </c>
      <c r="B902">
        <f>[5]trip_summary_region!B902</f>
        <v>6</v>
      </c>
      <c r="C902">
        <f>[5]trip_summary_region!C902</f>
        <v>2033</v>
      </c>
      <c r="D902">
        <f>[5]trip_summary_region!D902</f>
        <v>1</v>
      </c>
      <c r="E902">
        <f>[5]trip_summary_region!E902</f>
        <v>1</v>
      </c>
      <c r="F902">
        <f>[5]trip_summary_region!F902</f>
        <v>1.6539134600000002E-2</v>
      </c>
      <c r="G902">
        <f>[5]trip_summary_region!G902</f>
        <v>0</v>
      </c>
      <c r="H902">
        <f>[5]trip_summary_region!H902</f>
        <v>5.5130448999999998E-3</v>
      </c>
      <c r="I902" t="str">
        <f>[5]trip_summary_region!I902</f>
        <v>Local Train</v>
      </c>
      <c r="J902" t="str">
        <f>[5]trip_summary_region!J902</f>
        <v>2032/33</v>
      </c>
    </row>
    <row r="903" spans="1:10" x14ac:dyDescent="0.2">
      <c r="A903" t="str">
        <f>[5]trip_summary_region!A903</f>
        <v>13 CANTERBURY</v>
      </c>
      <c r="B903">
        <f>[5]trip_summary_region!B903</f>
        <v>6</v>
      </c>
      <c r="C903">
        <f>[5]trip_summary_region!C903</f>
        <v>2038</v>
      </c>
      <c r="D903">
        <f>[5]trip_summary_region!D903</f>
        <v>1</v>
      </c>
      <c r="E903">
        <f>[5]trip_summary_region!E903</f>
        <v>1</v>
      </c>
      <c r="F903">
        <f>[5]trip_summary_region!F903</f>
        <v>1.3973374199999999E-2</v>
      </c>
      <c r="G903">
        <f>[5]trip_summary_region!G903</f>
        <v>0</v>
      </c>
      <c r="H903">
        <f>[5]trip_summary_region!H903</f>
        <v>4.6577913999999998E-3</v>
      </c>
      <c r="I903" t="str">
        <f>[5]trip_summary_region!I903</f>
        <v>Local Train</v>
      </c>
      <c r="J903" t="str">
        <f>[5]trip_summary_region!J903</f>
        <v>2037/38</v>
      </c>
    </row>
    <row r="904" spans="1:10" x14ac:dyDescent="0.2">
      <c r="A904" t="str">
        <f>[5]trip_summary_region!A904</f>
        <v>13 CANTERBURY</v>
      </c>
      <c r="B904">
        <f>[5]trip_summary_region!B904</f>
        <v>6</v>
      </c>
      <c r="C904">
        <f>[5]trip_summary_region!C904</f>
        <v>2043</v>
      </c>
      <c r="D904">
        <f>[5]trip_summary_region!D904</f>
        <v>1</v>
      </c>
      <c r="E904">
        <f>[5]trip_summary_region!E904</f>
        <v>1</v>
      </c>
      <c r="F904">
        <f>[5]trip_summary_region!F904</f>
        <v>1.1562156699999999E-2</v>
      </c>
      <c r="G904">
        <f>[5]trip_summary_region!G904</f>
        <v>0</v>
      </c>
      <c r="H904">
        <f>[5]trip_summary_region!H904</f>
        <v>3.8540521999999998E-3</v>
      </c>
      <c r="I904" t="str">
        <f>[5]trip_summary_region!I904</f>
        <v>Local Train</v>
      </c>
      <c r="J904" t="str">
        <f>[5]trip_summary_region!J904</f>
        <v>2042/43</v>
      </c>
    </row>
    <row r="905" spans="1:10" x14ac:dyDescent="0.2">
      <c r="A905" t="str">
        <f>[5]trip_summary_region!A905</f>
        <v>13 CANTERBURY</v>
      </c>
      <c r="B905">
        <f>[5]trip_summary_region!B905</f>
        <v>7</v>
      </c>
      <c r="C905">
        <f>[5]trip_summary_region!C905</f>
        <v>2013</v>
      </c>
      <c r="D905">
        <f>[5]trip_summary_region!D905</f>
        <v>384</v>
      </c>
      <c r="E905">
        <f>[5]trip_summary_region!E905</f>
        <v>1120</v>
      </c>
      <c r="F905">
        <f>[5]trip_summary_region!F905</f>
        <v>20.502079716000001</v>
      </c>
      <c r="G905">
        <f>[5]trip_summary_region!G905</f>
        <v>174.53993166999999</v>
      </c>
      <c r="H905">
        <f>[5]trip_summary_region!H905</f>
        <v>7.9805750329</v>
      </c>
      <c r="I905" t="str">
        <f>[5]trip_summary_region!I905</f>
        <v>Local Bus</v>
      </c>
      <c r="J905" t="str">
        <f>[5]trip_summary_region!J905</f>
        <v>2012/13</v>
      </c>
    </row>
    <row r="906" spans="1:10" x14ac:dyDescent="0.2">
      <c r="A906" t="str">
        <f>[5]trip_summary_region!A906</f>
        <v>13 CANTERBURY</v>
      </c>
      <c r="B906">
        <f>[5]trip_summary_region!B906</f>
        <v>7</v>
      </c>
      <c r="C906">
        <f>[5]trip_summary_region!C906</f>
        <v>2018</v>
      </c>
      <c r="D906">
        <f>[5]trip_summary_region!D906</f>
        <v>384</v>
      </c>
      <c r="E906">
        <f>[5]trip_summary_region!E906</f>
        <v>1120</v>
      </c>
      <c r="F906">
        <f>[5]trip_summary_region!F906</f>
        <v>20.810860451</v>
      </c>
      <c r="G906">
        <f>[5]trip_summary_region!G906</f>
        <v>176.87296327000001</v>
      </c>
      <c r="H906">
        <f>[5]trip_summary_region!H906</f>
        <v>8.0885047295000003</v>
      </c>
      <c r="I906" t="str">
        <f>[5]trip_summary_region!I906</f>
        <v>Local Bus</v>
      </c>
      <c r="J906" t="str">
        <f>[5]trip_summary_region!J906</f>
        <v>2017/18</v>
      </c>
    </row>
    <row r="907" spans="1:10" x14ac:dyDescent="0.2">
      <c r="A907" t="str">
        <f>[5]trip_summary_region!A907</f>
        <v>13 CANTERBURY</v>
      </c>
      <c r="B907">
        <f>[5]trip_summary_region!B907</f>
        <v>7</v>
      </c>
      <c r="C907">
        <f>[5]trip_summary_region!C907</f>
        <v>2023</v>
      </c>
      <c r="D907">
        <f>[5]trip_summary_region!D907</f>
        <v>384</v>
      </c>
      <c r="E907">
        <f>[5]trip_summary_region!E907</f>
        <v>1120</v>
      </c>
      <c r="F907">
        <f>[5]trip_summary_region!F907</f>
        <v>20.596568740999999</v>
      </c>
      <c r="G907">
        <f>[5]trip_summary_region!G907</f>
        <v>174.21967068999999</v>
      </c>
      <c r="H907">
        <f>[5]trip_summary_region!H907</f>
        <v>7.9753596038000003</v>
      </c>
      <c r="I907" t="str">
        <f>[5]trip_summary_region!I907</f>
        <v>Local Bus</v>
      </c>
      <c r="J907" t="str">
        <f>[5]trip_summary_region!J907</f>
        <v>2022/23</v>
      </c>
    </row>
    <row r="908" spans="1:10" x14ac:dyDescent="0.2">
      <c r="A908" t="str">
        <f>[5]trip_summary_region!A908</f>
        <v>13 CANTERBURY</v>
      </c>
      <c r="B908">
        <f>[5]trip_summary_region!B908</f>
        <v>7</v>
      </c>
      <c r="C908">
        <f>[5]trip_summary_region!C908</f>
        <v>2028</v>
      </c>
      <c r="D908">
        <f>[5]trip_summary_region!D908</f>
        <v>384</v>
      </c>
      <c r="E908">
        <f>[5]trip_summary_region!E908</f>
        <v>1120</v>
      </c>
      <c r="F908">
        <f>[5]trip_summary_region!F908</f>
        <v>20.902055278999999</v>
      </c>
      <c r="G908">
        <f>[5]trip_summary_region!G908</f>
        <v>176.58415210000001</v>
      </c>
      <c r="H908">
        <f>[5]trip_summary_region!H908</f>
        <v>8.0645476315</v>
      </c>
      <c r="I908" t="str">
        <f>[5]trip_summary_region!I908</f>
        <v>Local Bus</v>
      </c>
      <c r="J908" t="str">
        <f>[5]trip_summary_region!J908</f>
        <v>2027/28</v>
      </c>
    </row>
    <row r="909" spans="1:10" x14ac:dyDescent="0.2">
      <c r="A909" t="str">
        <f>[5]trip_summary_region!A909</f>
        <v>13 CANTERBURY</v>
      </c>
      <c r="B909">
        <f>[5]trip_summary_region!B909</f>
        <v>7</v>
      </c>
      <c r="C909">
        <f>[5]trip_summary_region!C909</f>
        <v>2033</v>
      </c>
      <c r="D909">
        <f>[5]trip_summary_region!D909</f>
        <v>384</v>
      </c>
      <c r="E909">
        <f>[5]trip_summary_region!E909</f>
        <v>1120</v>
      </c>
      <c r="F909">
        <f>[5]trip_summary_region!F909</f>
        <v>20.727711654</v>
      </c>
      <c r="G909">
        <f>[5]trip_summary_region!G909</f>
        <v>174.93159184000001</v>
      </c>
      <c r="H909">
        <f>[5]trip_summary_region!H909</f>
        <v>7.9786037935999996</v>
      </c>
      <c r="I909" t="str">
        <f>[5]trip_summary_region!I909</f>
        <v>Local Bus</v>
      </c>
      <c r="J909" t="str">
        <f>[5]trip_summary_region!J909</f>
        <v>2032/33</v>
      </c>
    </row>
    <row r="910" spans="1:10" x14ac:dyDescent="0.2">
      <c r="A910" t="str">
        <f>[5]trip_summary_region!A910</f>
        <v>13 CANTERBURY</v>
      </c>
      <c r="B910">
        <f>[5]trip_summary_region!B910</f>
        <v>7</v>
      </c>
      <c r="C910">
        <f>[5]trip_summary_region!C910</f>
        <v>2038</v>
      </c>
      <c r="D910">
        <f>[5]trip_summary_region!D910</f>
        <v>384</v>
      </c>
      <c r="E910">
        <f>[5]trip_summary_region!E910</f>
        <v>1120</v>
      </c>
      <c r="F910">
        <f>[5]trip_summary_region!F910</f>
        <v>20.543844931999999</v>
      </c>
      <c r="G910">
        <f>[5]trip_summary_region!G910</f>
        <v>173.02374889999999</v>
      </c>
      <c r="H910">
        <f>[5]trip_summary_region!H910</f>
        <v>7.8974170205999998</v>
      </c>
      <c r="I910" t="str">
        <f>[5]trip_summary_region!I910</f>
        <v>Local Bus</v>
      </c>
      <c r="J910" t="str">
        <f>[5]trip_summary_region!J910</f>
        <v>2037/38</v>
      </c>
    </row>
    <row r="911" spans="1:10" x14ac:dyDescent="0.2">
      <c r="A911" t="str">
        <f>[5]trip_summary_region!A911</f>
        <v>13 CANTERBURY</v>
      </c>
      <c r="B911">
        <f>[5]trip_summary_region!B911</f>
        <v>7</v>
      </c>
      <c r="C911">
        <f>[5]trip_summary_region!C911</f>
        <v>2043</v>
      </c>
      <c r="D911">
        <f>[5]trip_summary_region!D911</f>
        <v>384</v>
      </c>
      <c r="E911">
        <f>[5]trip_summary_region!E911</f>
        <v>1120</v>
      </c>
      <c r="F911">
        <f>[5]trip_summary_region!F911</f>
        <v>20.244408851999999</v>
      </c>
      <c r="G911">
        <f>[5]trip_summary_region!G911</f>
        <v>170.2658198</v>
      </c>
      <c r="H911">
        <f>[5]trip_summary_region!H911</f>
        <v>7.775002143</v>
      </c>
      <c r="I911" t="str">
        <f>[5]trip_summary_region!I911</f>
        <v>Local Bus</v>
      </c>
      <c r="J911" t="str">
        <f>[5]trip_summary_region!J911</f>
        <v>2042/43</v>
      </c>
    </row>
    <row r="912" spans="1:10" x14ac:dyDescent="0.2">
      <c r="A912" t="str">
        <f>[5]trip_summary_region!A912</f>
        <v>13 CANTERBURY</v>
      </c>
      <c r="B912">
        <f>[5]trip_summary_region!B912</f>
        <v>9</v>
      </c>
      <c r="C912">
        <f>[5]trip_summary_region!C912</f>
        <v>2013</v>
      </c>
      <c r="D912">
        <f>[5]trip_summary_region!D912</f>
        <v>31</v>
      </c>
      <c r="E912">
        <f>[5]trip_summary_region!E912</f>
        <v>81</v>
      </c>
      <c r="F912">
        <f>[5]trip_summary_region!F912</f>
        <v>1.5386198845000001</v>
      </c>
      <c r="G912">
        <f>[5]trip_summary_region!G912</f>
        <v>0</v>
      </c>
      <c r="H912">
        <f>[5]trip_summary_region!H912</f>
        <v>0.91635513570000005</v>
      </c>
      <c r="I912" t="str">
        <f>[5]trip_summary_region!I912</f>
        <v>Other Household Travel</v>
      </c>
      <c r="J912" t="str">
        <f>[5]trip_summary_region!J912</f>
        <v>2012/13</v>
      </c>
    </row>
    <row r="913" spans="1:10" x14ac:dyDescent="0.2">
      <c r="A913" t="str">
        <f>[5]trip_summary_region!A913</f>
        <v>13 CANTERBURY</v>
      </c>
      <c r="B913">
        <f>[5]trip_summary_region!B913</f>
        <v>9</v>
      </c>
      <c r="C913">
        <f>[5]trip_summary_region!C913</f>
        <v>2018</v>
      </c>
      <c r="D913">
        <f>[5]trip_summary_region!D913</f>
        <v>31</v>
      </c>
      <c r="E913">
        <f>[5]trip_summary_region!E913</f>
        <v>81</v>
      </c>
      <c r="F913">
        <f>[5]trip_summary_region!F913</f>
        <v>1.7047207485</v>
      </c>
      <c r="G913">
        <f>[5]trip_summary_region!G913</f>
        <v>0</v>
      </c>
      <c r="H913">
        <f>[5]trip_summary_region!H913</f>
        <v>0.98404620509999996</v>
      </c>
      <c r="I913" t="str">
        <f>[5]trip_summary_region!I913</f>
        <v>Other Household Travel</v>
      </c>
      <c r="J913" t="str">
        <f>[5]trip_summary_region!J913</f>
        <v>2017/18</v>
      </c>
    </row>
    <row r="914" spans="1:10" x14ac:dyDescent="0.2">
      <c r="A914" t="str">
        <f>[5]trip_summary_region!A914</f>
        <v>13 CANTERBURY</v>
      </c>
      <c r="B914">
        <f>[5]trip_summary_region!B914</f>
        <v>9</v>
      </c>
      <c r="C914">
        <f>[5]trip_summary_region!C914</f>
        <v>2023</v>
      </c>
      <c r="D914">
        <f>[5]trip_summary_region!D914</f>
        <v>31</v>
      </c>
      <c r="E914">
        <f>[5]trip_summary_region!E914</f>
        <v>81</v>
      </c>
      <c r="F914">
        <f>[5]trip_summary_region!F914</f>
        <v>1.8916172440000001</v>
      </c>
      <c r="G914">
        <f>[5]trip_summary_region!G914</f>
        <v>0</v>
      </c>
      <c r="H914">
        <f>[5]trip_summary_region!H914</f>
        <v>1.0626415189</v>
      </c>
      <c r="I914" t="str">
        <f>[5]trip_summary_region!I914</f>
        <v>Other Household Travel</v>
      </c>
      <c r="J914" t="str">
        <f>[5]trip_summary_region!J914</f>
        <v>2022/23</v>
      </c>
    </row>
    <row r="915" spans="1:10" x14ac:dyDescent="0.2">
      <c r="A915" t="str">
        <f>[5]trip_summary_region!A915</f>
        <v>13 CANTERBURY</v>
      </c>
      <c r="B915">
        <f>[5]trip_summary_region!B915</f>
        <v>9</v>
      </c>
      <c r="C915">
        <f>[5]trip_summary_region!C915</f>
        <v>2028</v>
      </c>
      <c r="D915">
        <f>[5]trip_summary_region!D915</f>
        <v>31</v>
      </c>
      <c r="E915">
        <f>[5]trip_summary_region!E915</f>
        <v>81</v>
      </c>
      <c r="F915">
        <f>[5]trip_summary_region!F915</f>
        <v>2.1390559548999999</v>
      </c>
      <c r="G915">
        <f>[5]trip_summary_region!G915</f>
        <v>0</v>
      </c>
      <c r="H915">
        <f>[5]trip_summary_region!H915</f>
        <v>1.1708354649999999</v>
      </c>
      <c r="I915" t="str">
        <f>[5]trip_summary_region!I915</f>
        <v>Other Household Travel</v>
      </c>
      <c r="J915" t="str">
        <f>[5]trip_summary_region!J915</f>
        <v>2027/28</v>
      </c>
    </row>
    <row r="916" spans="1:10" x14ac:dyDescent="0.2">
      <c r="A916" t="str">
        <f>[5]trip_summary_region!A916</f>
        <v>13 CANTERBURY</v>
      </c>
      <c r="B916">
        <f>[5]trip_summary_region!B916</f>
        <v>9</v>
      </c>
      <c r="C916">
        <f>[5]trip_summary_region!C916</f>
        <v>2033</v>
      </c>
      <c r="D916">
        <f>[5]trip_summary_region!D916</f>
        <v>31</v>
      </c>
      <c r="E916">
        <f>[5]trip_summary_region!E916</f>
        <v>81</v>
      </c>
      <c r="F916">
        <f>[5]trip_summary_region!F916</f>
        <v>2.3736169961</v>
      </c>
      <c r="G916">
        <f>[5]trip_summary_region!G916</f>
        <v>0</v>
      </c>
      <c r="H916">
        <f>[5]trip_summary_region!H916</f>
        <v>1.2606258533000001</v>
      </c>
      <c r="I916" t="str">
        <f>[5]trip_summary_region!I916</f>
        <v>Other Household Travel</v>
      </c>
      <c r="J916" t="str">
        <f>[5]trip_summary_region!J916</f>
        <v>2032/33</v>
      </c>
    </row>
    <row r="917" spans="1:10" x14ac:dyDescent="0.2">
      <c r="A917" t="str">
        <f>[5]trip_summary_region!A917</f>
        <v>13 CANTERBURY</v>
      </c>
      <c r="B917">
        <f>[5]trip_summary_region!B917</f>
        <v>9</v>
      </c>
      <c r="C917">
        <f>[5]trip_summary_region!C917</f>
        <v>2038</v>
      </c>
      <c r="D917">
        <f>[5]trip_summary_region!D917</f>
        <v>31</v>
      </c>
      <c r="E917">
        <f>[5]trip_summary_region!E917</f>
        <v>81</v>
      </c>
      <c r="F917">
        <f>[5]trip_summary_region!F917</f>
        <v>2.5985039106999999</v>
      </c>
      <c r="G917">
        <f>[5]trip_summary_region!G917</f>
        <v>0</v>
      </c>
      <c r="H917">
        <f>[5]trip_summary_region!H917</f>
        <v>1.3427392162</v>
      </c>
      <c r="I917" t="str">
        <f>[5]trip_summary_region!I917</f>
        <v>Other Household Travel</v>
      </c>
      <c r="J917" t="str">
        <f>[5]trip_summary_region!J917</f>
        <v>2037/38</v>
      </c>
    </row>
    <row r="918" spans="1:10" x14ac:dyDescent="0.2">
      <c r="A918" t="str">
        <f>[5]trip_summary_region!A918</f>
        <v>13 CANTERBURY</v>
      </c>
      <c r="B918">
        <f>[5]trip_summary_region!B918</f>
        <v>9</v>
      </c>
      <c r="C918">
        <f>[5]trip_summary_region!C918</f>
        <v>2043</v>
      </c>
      <c r="D918">
        <f>[5]trip_summary_region!D918</f>
        <v>31</v>
      </c>
      <c r="E918">
        <f>[5]trip_summary_region!E918</f>
        <v>81</v>
      </c>
      <c r="F918">
        <f>[5]trip_summary_region!F918</f>
        <v>2.8175543718</v>
      </c>
      <c r="G918">
        <f>[5]trip_summary_region!G918</f>
        <v>0</v>
      </c>
      <c r="H918">
        <f>[5]trip_summary_region!H918</f>
        <v>1.4202098962</v>
      </c>
      <c r="I918" t="str">
        <f>[5]trip_summary_region!I918</f>
        <v>Other Household Travel</v>
      </c>
      <c r="J918" t="str">
        <f>[5]trip_summary_region!J918</f>
        <v>2042/43</v>
      </c>
    </row>
    <row r="919" spans="1:10" x14ac:dyDescent="0.2">
      <c r="A919" t="str">
        <f>[5]trip_summary_region!A919</f>
        <v>13 CANTERBURY</v>
      </c>
      <c r="B919">
        <f>[5]trip_summary_region!B919</f>
        <v>10</v>
      </c>
      <c r="C919">
        <f>[5]trip_summary_region!C919</f>
        <v>2013</v>
      </c>
      <c r="D919">
        <f>[5]trip_summary_region!D919</f>
        <v>99</v>
      </c>
      <c r="E919">
        <f>[5]trip_summary_region!E919</f>
        <v>124</v>
      </c>
      <c r="F919">
        <f>[5]trip_summary_region!F919</f>
        <v>2.4822614922000001</v>
      </c>
      <c r="G919">
        <f>[5]trip_summary_region!G919</f>
        <v>66.176348546</v>
      </c>
      <c r="H919">
        <f>[5]trip_summary_region!H919</f>
        <v>3.9785271960999999</v>
      </c>
      <c r="I919" t="str">
        <f>[5]trip_summary_region!I919</f>
        <v>Air/Non-Local PT</v>
      </c>
      <c r="J919" t="str">
        <f>[5]trip_summary_region!J919</f>
        <v>2012/13</v>
      </c>
    </row>
    <row r="920" spans="1:10" x14ac:dyDescent="0.2">
      <c r="A920" t="str">
        <f>[5]trip_summary_region!A920</f>
        <v>13 CANTERBURY</v>
      </c>
      <c r="B920">
        <f>[5]trip_summary_region!B920</f>
        <v>10</v>
      </c>
      <c r="C920">
        <f>[5]trip_summary_region!C920</f>
        <v>2018</v>
      </c>
      <c r="D920">
        <f>[5]trip_summary_region!D920</f>
        <v>99</v>
      </c>
      <c r="E920">
        <f>[5]trip_summary_region!E920</f>
        <v>124</v>
      </c>
      <c r="F920">
        <f>[5]trip_summary_region!F920</f>
        <v>2.7763950482999999</v>
      </c>
      <c r="G920">
        <f>[5]trip_summary_region!G920</f>
        <v>71.103550307000006</v>
      </c>
      <c r="H920">
        <f>[5]trip_summary_region!H920</f>
        <v>4.5704752997</v>
      </c>
      <c r="I920" t="str">
        <f>[5]trip_summary_region!I920</f>
        <v>Air/Non-Local PT</v>
      </c>
      <c r="J920" t="str">
        <f>[5]trip_summary_region!J920</f>
        <v>2017/18</v>
      </c>
    </row>
    <row r="921" spans="1:10" x14ac:dyDescent="0.2">
      <c r="A921" t="str">
        <f>[5]trip_summary_region!A921</f>
        <v>13 CANTERBURY</v>
      </c>
      <c r="B921">
        <f>[5]trip_summary_region!B921</f>
        <v>10</v>
      </c>
      <c r="C921">
        <f>[5]trip_summary_region!C921</f>
        <v>2023</v>
      </c>
      <c r="D921">
        <f>[5]trip_summary_region!D921</f>
        <v>99</v>
      </c>
      <c r="E921">
        <f>[5]trip_summary_region!E921</f>
        <v>124</v>
      </c>
      <c r="F921">
        <f>[5]trip_summary_region!F921</f>
        <v>2.9152517161999998</v>
      </c>
      <c r="G921">
        <f>[5]trip_summary_region!G921</f>
        <v>70.658913655999996</v>
      </c>
      <c r="H921">
        <f>[5]trip_summary_region!H921</f>
        <v>4.8341272755000002</v>
      </c>
      <c r="I921" t="str">
        <f>[5]trip_summary_region!I921</f>
        <v>Air/Non-Local PT</v>
      </c>
      <c r="J921" t="str">
        <f>[5]trip_summary_region!J921</f>
        <v>2022/23</v>
      </c>
    </row>
    <row r="922" spans="1:10" x14ac:dyDescent="0.2">
      <c r="A922" t="str">
        <f>[5]trip_summary_region!A922</f>
        <v>13 CANTERBURY</v>
      </c>
      <c r="B922">
        <f>[5]trip_summary_region!B922</f>
        <v>10</v>
      </c>
      <c r="C922">
        <f>[5]trip_summary_region!C922</f>
        <v>2028</v>
      </c>
      <c r="D922">
        <f>[5]trip_summary_region!D922</f>
        <v>99</v>
      </c>
      <c r="E922">
        <f>[5]trip_summary_region!E922</f>
        <v>124</v>
      </c>
      <c r="F922">
        <f>[5]trip_summary_region!F922</f>
        <v>3.0771846700999999</v>
      </c>
      <c r="G922">
        <f>[5]trip_summary_region!G922</f>
        <v>72.678436980000001</v>
      </c>
      <c r="H922">
        <f>[5]trip_summary_region!H922</f>
        <v>5.1633212067000001</v>
      </c>
      <c r="I922" t="str">
        <f>[5]trip_summary_region!I922</f>
        <v>Air/Non-Local PT</v>
      </c>
      <c r="J922" t="str">
        <f>[5]trip_summary_region!J922</f>
        <v>2027/28</v>
      </c>
    </row>
    <row r="923" spans="1:10" x14ac:dyDescent="0.2">
      <c r="A923" t="str">
        <f>[5]trip_summary_region!A923</f>
        <v>13 CANTERBURY</v>
      </c>
      <c r="B923">
        <f>[5]trip_summary_region!B923</f>
        <v>10</v>
      </c>
      <c r="C923">
        <f>[5]trip_summary_region!C923</f>
        <v>2033</v>
      </c>
      <c r="D923">
        <f>[5]trip_summary_region!D923</f>
        <v>99</v>
      </c>
      <c r="E923">
        <f>[5]trip_summary_region!E923</f>
        <v>124</v>
      </c>
      <c r="F923">
        <f>[5]trip_summary_region!F923</f>
        <v>3.2270281395999998</v>
      </c>
      <c r="G923">
        <f>[5]trip_summary_region!G923</f>
        <v>77.224413025000004</v>
      </c>
      <c r="H923">
        <f>[5]trip_summary_region!H923</f>
        <v>5.4932379679999999</v>
      </c>
      <c r="I923" t="str">
        <f>[5]trip_summary_region!I923</f>
        <v>Air/Non-Local PT</v>
      </c>
      <c r="J923" t="str">
        <f>[5]trip_summary_region!J923</f>
        <v>2032/33</v>
      </c>
    </row>
    <row r="924" spans="1:10" x14ac:dyDescent="0.2">
      <c r="A924" t="str">
        <f>[5]trip_summary_region!A924</f>
        <v>13 CANTERBURY</v>
      </c>
      <c r="B924">
        <f>[5]trip_summary_region!B924</f>
        <v>10</v>
      </c>
      <c r="C924">
        <f>[5]trip_summary_region!C924</f>
        <v>2038</v>
      </c>
      <c r="D924">
        <f>[5]trip_summary_region!D924</f>
        <v>99</v>
      </c>
      <c r="E924">
        <f>[5]trip_summary_region!E924</f>
        <v>124</v>
      </c>
      <c r="F924">
        <f>[5]trip_summary_region!F924</f>
        <v>3.3146641267999999</v>
      </c>
      <c r="G924">
        <f>[5]trip_summary_region!G924</f>
        <v>77.862751975999998</v>
      </c>
      <c r="H924">
        <f>[5]trip_summary_region!H924</f>
        <v>5.6012936701999996</v>
      </c>
      <c r="I924" t="str">
        <f>[5]trip_summary_region!I924</f>
        <v>Air/Non-Local PT</v>
      </c>
      <c r="J924" t="str">
        <f>[5]trip_summary_region!J924</f>
        <v>2037/38</v>
      </c>
    </row>
    <row r="925" spans="1:10" x14ac:dyDescent="0.2">
      <c r="A925" t="str">
        <f>[5]trip_summary_region!A925</f>
        <v>13 CANTERBURY</v>
      </c>
      <c r="B925">
        <f>[5]trip_summary_region!B925</f>
        <v>10</v>
      </c>
      <c r="C925">
        <f>[5]trip_summary_region!C925</f>
        <v>2043</v>
      </c>
      <c r="D925">
        <f>[5]trip_summary_region!D925</f>
        <v>99</v>
      </c>
      <c r="E925">
        <f>[5]trip_summary_region!E925</f>
        <v>124</v>
      </c>
      <c r="F925">
        <f>[5]trip_summary_region!F925</f>
        <v>3.3876614032000001</v>
      </c>
      <c r="G925">
        <f>[5]trip_summary_region!G925</f>
        <v>77.587367977</v>
      </c>
      <c r="H925">
        <f>[5]trip_summary_region!H925</f>
        <v>5.6808696552000004</v>
      </c>
      <c r="I925" t="str">
        <f>[5]trip_summary_region!I925</f>
        <v>Air/Non-Local PT</v>
      </c>
      <c r="J925" t="str">
        <f>[5]trip_summary_region!J925</f>
        <v>2042/43</v>
      </c>
    </row>
    <row r="926" spans="1:10" x14ac:dyDescent="0.2">
      <c r="A926" t="str">
        <f>[5]trip_summary_region!A926</f>
        <v>13 CANTERBURY</v>
      </c>
      <c r="B926">
        <f>[5]trip_summary_region!B926</f>
        <v>11</v>
      </c>
      <c r="C926">
        <f>[5]trip_summary_region!C926</f>
        <v>2013</v>
      </c>
      <c r="D926">
        <f>[5]trip_summary_region!D926</f>
        <v>113</v>
      </c>
      <c r="E926">
        <f>[5]trip_summary_region!E926</f>
        <v>551</v>
      </c>
      <c r="F926">
        <f>[5]trip_summary_region!F926</f>
        <v>9.2459779483000002</v>
      </c>
      <c r="G926">
        <f>[5]trip_summary_region!G926</f>
        <v>114.47945472000001</v>
      </c>
      <c r="H926">
        <f>[5]trip_summary_region!H926</f>
        <v>3.3743770355999998</v>
      </c>
      <c r="I926" t="str">
        <f>[5]trip_summary_region!I926</f>
        <v>Non-Household Travel</v>
      </c>
      <c r="J926" t="str">
        <f>[5]trip_summary_region!J926</f>
        <v>2012/13</v>
      </c>
    </row>
    <row r="927" spans="1:10" x14ac:dyDescent="0.2">
      <c r="A927" t="str">
        <f>[5]trip_summary_region!A927</f>
        <v>13 CANTERBURY</v>
      </c>
      <c r="B927">
        <f>[5]trip_summary_region!B927</f>
        <v>11</v>
      </c>
      <c r="C927">
        <f>[5]trip_summary_region!C927</f>
        <v>2018</v>
      </c>
      <c r="D927">
        <f>[5]trip_summary_region!D927</f>
        <v>113</v>
      </c>
      <c r="E927">
        <f>[5]trip_summary_region!E927</f>
        <v>551</v>
      </c>
      <c r="F927">
        <f>[5]trip_summary_region!F927</f>
        <v>9.9690298085000002</v>
      </c>
      <c r="G927">
        <f>[5]trip_summary_region!G927</f>
        <v>126.20786013999999</v>
      </c>
      <c r="H927">
        <f>[5]trip_summary_region!H927</f>
        <v>3.7201628727</v>
      </c>
      <c r="I927" t="str">
        <f>[5]trip_summary_region!I927</f>
        <v>Non-Household Travel</v>
      </c>
      <c r="J927" t="str">
        <f>[5]trip_summary_region!J927</f>
        <v>2017/18</v>
      </c>
    </row>
    <row r="928" spans="1:10" x14ac:dyDescent="0.2">
      <c r="A928" t="str">
        <f>[5]trip_summary_region!A928</f>
        <v>13 CANTERBURY</v>
      </c>
      <c r="B928">
        <f>[5]trip_summary_region!B928</f>
        <v>11</v>
      </c>
      <c r="C928">
        <f>[5]trip_summary_region!C928</f>
        <v>2023</v>
      </c>
      <c r="D928">
        <f>[5]trip_summary_region!D928</f>
        <v>113</v>
      </c>
      <c r="E928">
        <f>[5]trip_summary_region!E928</f>
        <v>551</v>
      </c>
      <c r="F928">
        <f>[5]trip_summary_region!F928</f>
        <v>10.121657722</v>
      </c>
      <c r="G928">
        <f>[5]trip_summary_region!G928</f>
        <v>130.85807643000001</v>
      </c>
      <c r="H928">
        <f>[5]trip_summary_region!H928</f>
        <v>3.8539138186000002</v>
      </c>
      <c r="I928" t="str">
        <f>[5]trip_summary_region!I928</f>
        <v>Non-Household Travel</v>
      </c>
      <c r="J928" t="str">
        <f>[5]trip_summary_region!J928</f>
        <v>2022/23</v>
      </c>
    </row>
    <row r="929" spans="1:10" x14ac:dyDescent="0.2">
      <c r="A929" t="str">
        <f>[5]trip_summary_region!A929</f>
        <v>13 CANTERBURY</v>
      </c>
      <c r="B929">
        <f>[5]trip_summary_region!B929</f>
        <v>11</v>
      </c>
      <c r="C929">
        <f>[5]trip_summary_region!C929</f>
        <v>2028</v>
      </c>
      <c r="D929">
        <f>[5]trip_summary_region!D929</f>
        <v>113</v>
      </c>
      <c r="E929">
        <f>[5]trip_summary_region!E929</f>
        <v>551</v>
      </c>
      <c r="F929">
        <f>[5]trip_summary_region!F929</f>
        <v>10.30607936</v>
      </c>
      <c r="G929">
        <f>[5]trip_summary_region!G929</f>
        <v>136.08889377</v>
      </c>
      <c r="H929">
        <f>[5]trip_summary_region!H929</f>
        <v>4.0141886552999999</v>
      </c>
      <c r="I929" t="str">
        <f>[5]trip_summary_region!I929</f>
        <v>Non-Household Travel</v>
      </c>
      <c r="J929" t="str">
        <f>[5]trip_summary_region!J929</f>
        <v>2027/28</v>
      </c>
    </row>
    <row r="930" spans="1:10" x14ac:dyDescent="0.2">
      <c r="A930" t="str">
        <f>[5]trip_summary_region!A930</f>
        <v>13 CANTERBURY</v>
      </c>
      <c r="B930">
        <f>[5]trip_summary_region!B930</f>
        <v>11</v>
      </c>
      <c r="C930">
        <f>[5]trip_summary_region!C930</f>
        <v>2033</v>
      </c>
      <c r="D930">
        <f>[5]trip_summary_region!D930</f>
        <v>113</v>
      </c>
      <c r="E930">
        <f>[5]trip_summary_region!E930</f>
        <v>551</v>
      </c>
      <c r="F930">
        <f>[5]trip_summary_region!F930</f>
        <v>10.559256156</v>
      </c>
      <c r="G930">
        <f>[5]trip_summary_region!G930</f>
        <v>140.45037400000001</v>
      </c>
      <c r="H930">
        <f>[5]trip_summary_region!H930</f>
        <v>4.1711446855999998</v>
      </c>
      <c r="I930" t="str">
        <f>[5]trip_summary_region!I930</f>
        <v>Non-Household Travel</v>
      </c>
      <c r="J930" t="str">
        <f>[5]trip_summary_region!J930</f>
        <v>2032/33</v>
      </c>
    </row>
    <row r="931" spans="1:10" x14ac:dyDescent="0.2">
      <c r="A931" t="str">
        <f>[5]trip_summary_region!A931</f>
        <v>13 CANTERBURY</v>
      </c>
      <c r="B931">
        <f>[5]trip_summary_region!B931</f>
        <v>11</v>
      </c>
      <c r="C931">
        <f>[5]trip_summary_region!C931</f>
        <v>2038</v>
      </c>
      <c r="D931">
        <f>[5]trip_summary_region!D931</f>
        <v>113</v>
      </c>
      <c r="E931">
        <f>[5]trip_summary_region!E931</f>
        <v>551</v>
      </c>
      <c r="F931">
        <f>[5]trip_summary_region!F931</f>
        <v>10.823167106</v>
      </c>
      <c r="G931">
        <f>[5]trip_summary_region!G931</f>
        <v>142.46623589999999</v>
      </c>
      <c r="H931">
        <f>[5]trip_summary_region!H931</f>
        <v>4.2435211574</v>
      </c>
      <c r="I931" t="str">
        <f>[5]trip_summary_region!I931</f>
        <v>Non-Household Travel</v>
      </c>
      <c r="J931" t="str">
        <f>[5]trip_summary_region!J931</f>
        <v>2037/38</v>
      </c>
    </row>
    <row r="932" spans="1:10" x14ac:dyDescent="0.2">
      <c r="A932" t="str">
        <f>[5]trip_summary_region!A932</f>
        <v>13 CANTERBURY</v>
      </c>
      <c r="B932">
        <f>[5]trip_summary_region!B932</f>
        <v>11</v>
      </c>
      <c r="C932">
        <f>[5]trip_summary_region!C932</f>
        <v>2043</v>
      </c>
      <c r="D932">
        <f>[5]trip_summary_region!D932</f>
        <v>113</v>
      </c>
      <c r="E932">
        <f>[5]trip_summary_region!E932</f>
        <v>551</v>
      </c>
      <c r="F932">
        <f>[5]trip_summary_region!F932</f>
        <v>11.059037782000001</v>
      </c>
      <c r="G932">
        <f>[5]trip_summary_region!G932</f>
        <v>143.97725073999999</v>
      </c>
      <c r="H932">
        <f>[5]trip_summary_region!H932</f>
        <v>4.2998471986000002</v>
      </c>
      <c r="I932" t="str">
        <f>[5]trip_summary_region!I932</f>
        <v>Non-Household Travel</v>
      </c>
      <c r="J932" t="str">
        <f>[5]trip_summary_region!J932</f>
        <v>2042/43</v>
      </c>
    </row>
    <row r="933" spans="1:10" x14ac:dyDescent="0.2">
      <c r="A933" t="str">
        <f>[5]trip_summary_region!A933</f>
        <v>14 OTAGO</v>
      </c>
      <c r="B933">
        <f>[5]trip_summary_region!B933</f>
        <v>0</v>
      </c>
      <c r="C933">
        <f>[5]trip_summary_region!C933</f>
        <v>2013</v>
      </c>
      <c r="D933">
        <f>[5]trip_summary_region!D933</f>
        <v>545</v>
      </c>
      <c r="E933">
        <f>[5]trip_summary_region!E933</f>
        <v>2150</v>
      </c>
      <c r="F933">
        <f>[5]trip_summary_region!F933</f>
        <v>58.261736425999999</v>
      </c>
      <c r="G933">
        <f>[5]trip_summary_region!G933</f>
        <v>45.829100335</v>
      </c>
      <c r="H933">
        <f>[5]trip_summary_region!H933</f>
        <v>11.651603939999999</v>
      </c>
      <c r="I933" t="str">
        <f>[5]trip_summary_region!I933</f>
        <v>Pedestrian</v>
      </c>
      <c r="J933" t="str">
        <f>[5]trip_summary_region!J933</f>
        <v>2012/13</v>
      </c>
    </row>
    <row r="934" spans="1:10" x14ac:dyDescent="0.2">
      <c r="A934" t="str">
        <f>[5]trip_summary_region!A934</f>
        <v>14 OTAGO</v>
      </c>
      <c r="B934">
        <f>[5]trip_summary_region!B934</f>
        <v>0</v>
      </c>
      <c r="C934">
        <f>[5]trip_summary_region!C934</f>
        <v>2018</v>
      </c>
      <c r="D934">
        <f>[5]trip_summary_region!D934</f>
        <v>545</v>
      </c>
      <c r="E934">
        <f>[5]trip_summary_region!E934</f>
        <v>2150</v>
      </c>
      <c r="F934">
        <f>[5]trip_summary_region!F934</f>
        <v>58.980601516999997</v>
      </c>
      <c r="G934">
        <f>[5]trip_summary_region!G934</f>
        <v>46.001728038000003</v>
      </c>
      <c r="H934">
        <f>[5]trip_summary_region!H934</f>
        <v>11.869373707999999</v>
      </c>
      <c r="I934" t="str">
        <f>[5]trip_summary_region!I934</f>
        <v>Pedestrian</v>
      </c>
      <c r="J934" t="str">
        <f>[5]trip_summary_region!J934</f>
        <v>2017/18</v>
      </c>
    </row>
    <row r="935" spans="1:10" x14ac:dyDescent="0.2">
      <c r="A935" t="str">
        <f>[5]trip_summary_region!A935</f>
        <v>14 OTAGO</v>
      </c>
      <c r="B935">
        <f>[5]trip_summary_region!B935</f>
        <v>0</v>
      </c>
      <c r="C935">
        <f>[5]trip_summary_region!C935</f>
        <v>2023</v>
      </c>
      <c r="D935">
        <f>[5]trip_summary_region!D935</f>
        <v>545</v>
      </c>
      <c r="E935">
        <f>[5]trip_summary_region!E935</f>
        <v>2150</v>
      </c>
      <c r="F935">
        <f>[5]trip_summary_region!F935</f>
        <v>59.067989218000001</v>
      </c>
      <c r="G935">
        <f>[5]trip_summary_region!G935</f>
        <v>45.761607402000003</v>
      </c>
      <c r="H935">
        <f>[5]trip_summary_region!H935</f>
        <v>11.949516757</v>
      </c>
      <c r="I935" t="str">
        <f>[5]trip_summary_region!I935</f>
        <v>Pedestrian</v>
      </c>
      <c r="J935" t="str">
        <f>[5]trip_summary_region!J935</f>
        <v>2022/23</v>
      </c>
    </row>
    <row r="936" spans="1:10" x14ac:dyDescent="0.2">
      <c r="A936" t="str">
        <f>[5]trip_summary_region!A936</f>
        <v>14 OTAGO</v>
      </c>
      <c r="B936">
        <f>[5]trip_summary_region!B936</f>
        <v>0</v>
      </c>
      <c r="C936">
        <f>[5]trip_summary_region!C936</f>
        <v>2028</v>
      </c>
      <c r="D936">
        <f>[5]trip_summary_region!D936</f>
        <v>545</v>
      </c>
      <c r="E936">
        <f>[5]trip_summary_region!E936</f>
        <v>2150</v>
      </c>
      <c r="F936">
        <f>[5]trip_summary_region!F936</f>
        <v>59.793038952000003</v>
      </c>
      <c r="G936">
        <f>[5]trip_summary_region!G936</f>
        <v>45.935165407</v>
      </c>
      <c r="H936">
        <f>[5]trip_summary_region!H936</f>
        <v>12.11872022</v>
      </c>
      <c r="I936" t="str">
        <f>[5]trip_summary_region!I936</f>
        <v>Pedestrian</v>
      </c>
      <c r="J936" t="str">
        <f>[5]trip_summary_region!J936</f>
        <v>2027/28</v>
      </c>
    </row>
    <row r="937" spans="1:10" x14ac:dyDescent="0.2">
      <c r="A937" t="str">
        <f>[5]trip_summary_region!A937</f>
        <v>14 OTAGO</v>
      </c>
      <c r="B937">
        <f>[5]trip_summary_region!B937</f>
        <v>0</v>
      </c>
      <c r="C937">
        <f>[5]trip_summary_region!C937</f>
        <v>2033</v>
      </c>
      <c r="D937">
        <f>[5]trip_summary_region!D937</f>
        <v>545</v>
      </c>
      <c r="E937">
        <f>[5]trip_summary_region!E937</f>
        <v>2150</v>
      </c>
      <c r="F937">
        <f>[5]trip_summary_region!F937</f>
        <v>60.401300878000001</v>
      </c>
      <c r="G937">
        <f>[5]trip_summary_region!G937</f>
        <v>45.95796223</v>
      </c>
      <c r="H937">
        <f>[5]trip_summary_region!H937</f>
        <v>12.246982031</v>
      </c>
      <c r="I937" t="str">
        <f>[5]trip_summary_region!I937</f>
        <v>Pedestrian</v>
      </c>
      <c r="J937" t="str">
        <f>[5]trip_summary_region!J937</f>
        <v>2032/33</v>
      </c>
    </row>
    <row r="938" spans="1:10" x14ac:dyDescent="0.2">
      <c r="A938" t="str">
        <f>[5]trip_summary_region!A938</f>
        <v>14 OTAGO</v>
      </c>
      <c r="B938">
        <f>[5]trip_summary_region!B938</f>
        <v>0</v>
      </c>
      <c r="C938">
        <f>[5]trip_summary_region!C938</f>
        <v>2038</v>
      </c>
      <c r="D938">
        <f>[5]trip_summary_region!D938</f>
        <v>545</v>
      </c>
      <c r="E938">
        <f>[5]trip_summary_region!E938</f>
        <v>2150</v>
      </c>
      <c r="F938">
        <f>[5]trip_summary_region!F938</f>
        <v>60.166539196000002</v>
      </c>
      <c r="G938">
        <f>[5]trip_summary_region!G938</f>
        <v>45.618197207999998</v>
      </c>
      <c r="H938">
        <f>[5]trip_summary_region!H938</f>
        <v>12.259202138999999</v>
      </c>
      <c r="I938" t="str">
        <f>[5]trip_summary_region!I938</f>
        <v>Pedestrian</v>
      </c>
      <c r="J938" t="str">
        <f>[5]trip_summary_region!J938</f>
        <v>2037/38</v>
      </c>
    </row>
    <row r="939" spans="1:10" x14ac:dyDescent="0.2">
      <c r="A939" t="str">
        <f>[5]trip_summary_region!A939</f>
        <v>14 OTAGO</v>
      </c>
      <c r="B939">
        <f>[5]trip_summary_region!B939</f>
        <v>0</v>
      </c>
      <c r="C939">
        <f>[5]trip_summary_region!C939</f>
        <v>2043</v>
      </c>
      <c r="D939">
        <f>[5]trip_summary_region!D939</f>
        <v>545</v>
      </c>
      <c r="E939">
        <f>[5]trip_summary_region!E939</f>
        <v>2150</v>
      </c>
      <c r="F939">
        <f>[5]trip_summary_region!F939</f>
        <v>59.826633272000002</v>
      </c>
      <c r="G939">
        <f>[5]trip_summary_region!G939</f>
        <v>45.222839481000001</v>
      </c>
      <c r="H939">
        <f>[5]trip_summary_region!H939</f>
        <v>12.257815011</v>
      </c>
      <c r="I939" t="str">
        <f>[5]trip_summary_region!I939</f>
        <v>Pedestrian</v>
      </c>
      <c r="J939" t="str">
        <f>[5]trip_summary_region!J939</f>
        <v>2042/43</v>
      </c>
    </row>
    <row r="940" spans="1:10" x14ac:dyDescent="0.2">
      <c r="A940" t="str">
        <f>[5]trip_summary_region!A940</f>
        <v>14 OTAGO</v>
      </c>
      <c r="B940">
        <f>[5]trip_summary_region!B940</f>
        <v>1</v>
      </c>
      <c r="C940">
        <f>[5]trip_summary_region!C940</f>
        <v>2013</v>
      </c>
      <c r="D940">
        <f>[5]trip_summary_region!D940</f>
        <v>52</v>
      </c>
      <c r="E940">
        <f>[5]trip_summary_region!E940</f>
        <v>151</v>
      </c>
      <c r="F940">
        <f>[5]trip_summary_region!F940</f>
        <v>4.5847179276999999</v>
      </c>
      <c r="G940">
        <f>[5]trip_summary_region!G940</f>
        <v>16.325352069000001</v>
      </c>
      <c r="H940">
        <f>[5]trip_summary_region!H940</f>
        <v>1.6089304994</v>
      </c>
      <c r="I940" t="str">
        <f>[5]trip_summary_region!I940</f>
        <v>Cyclist</v>
      </c>
      <c r="J940" t="str">
        <f>[5]trip_summary_region!J940</f>
        <v>2012/13</v>
      </c>
    </row>
    <row r="941" spans="1:10" x14ac:dyDescent="0.2">
      <c r="A941" t="str">
        <f>[5]trip_summary_region!A941</f>
        <v>14 OTAGO</v>
      </c>
      <c r="B941">
        <f>[5]trip_summary_region!B941</f>
        <v>1</v>
      </c>
      <c r="C941">
        <f>[5]trip_summary_region!C941</f>
        <v>2018</v>
      </c>
      <c r="D941">
        <f>[5]trip_summary_region!D941</f>
        <v>52</v>
      </c>
      <c r="E941">
        <f>[5]trip_summary_region!E941</f>
        <v>151</v>
      </c>
      <c r="F941">
        <f>[5]trip_summary_region!F941</f>
        <v>4.7224126380999998</v>
      </c>
      <c r="G941">
        <f>[5]trip_summary_region!G941</f>
        <v>17.897255758</v>
      </c>
      <c r="H941">
        <f>[5]trip_summary_region!H941</f>
        <v>1.7306934026</v>
      </c>
      <c r="I941" t="str">
        <f>[5]trip_summary_region!I941</f>
        <v>Cyclist</v>
      </c>
      <c r="J941" t="str">
        <f>[5]trip_summary_region!J941</f>
        <v>2017/18</v>
      </c>
    </row>
    <row r="942" spans="1:10" x14ac:dyDescent="0.2">
      <c r="A942" t="str">
        <f>[5]trip_summary_region!A942</f>
        <v>14 OTAGO</v>
      </c>
      <c r="B942">
        <f>[5]trip_summary_region!B942</f>
        <v>1</v>
      </c>
      <c r="C942">
        <f>[5]trip_summary_region!C942</f>
        <v>2023</v>
      </c>
      <c r="D942">
        <f>[5]trip_summary_region!D942</f>
        <v>52</v>
      </c>
      <c r="E942">
        <f>[5]trip_summary_region!E942</f>
        <v>151</v>
      </c>
      <c r="F942">
        <f>[5]trip_summary_region!F942</f>
        <v>4.7374659691999996</v>
      </c>
      <c r="G942">
        <f>[5]trip_summary_region!G942</f>
        <v>18.852491256</v>
      </c>
      <c r="H942">
        <f>[5]trip_summary_region!H942</f>
        <v>1.7978921591999999</v>
      </c>
      <c r="I942" t="str">
        <f>[5]trip_summary_region!I942</f>
        <v>Cyclist</v>
      </c>
      <c r="J942" t="str">
        <f>[5]trip_summary_region!J942</f>
        <v>2022/23</v>
      </c>
    </row>
    <row r="943" spans="1:10" x14ac:dyDescent="0.2">
      <c r="A943" t="str">
        <f>[5]trip_summary_region!A943</f>
        <v>14 OTAGO</v>
      </c>
      <c r="B943">
        <f>[5]trip_summary_region!B943</f>
        <v>1</v>
      </c>
      <c r="C943">
        <f>[5]trip_summary_region!C943</f>
        <v>2028</v>
      </c>
      <c r="D943">
        <f>[5]trip_summary_region!D943</f>
        <v>52</v>
      </c>
      <c r="E943">
        <f>[5]trip_summary_region!E943</f>
        <v>151</v>
      </c>
      <c r="F943">
        <f>[5]trip_summary_region!F943</f>
        <v>4.6323708082000001</v>
      </c>
      <c r="G943">
        <f>[5]trip_summary_region!G943</f>
        <v>19.271251419999999</v>
      </c>
      <c r="H943">
        <f>[5]trip_summary_region!H943</f>
        <v>1.8072652897000001</v>
      </c>
      <c r="I943" t="str">
        <f>[5]trip_summary_region!I943</f>
        <v>Cyclist</v>
      </c>
      <c r="J943" t="str">
        <f>[5]trip_summary_region!J943</f>
        <v>2027/28</v>
      </c>
    </row>
    <row r="944" spans="1:10" x14ac:dyDescent="0.2">
      <c r="A944" t="str">
        <f>[5]trip_summary_region!A944</f>
        <v>14 OTAGO</v>
      </c>
      <c r="B944">
        <f>[5]trip_summary_region!B944</f>
        <v>1</v>
      </c>
      <c r="C944">
        <f>[5]trip_summary_region!C944</f>
        <v>2033</v>
      </c>
      <c r="D944">
        <f>[5]trip_summary_region!D944</f>
        <v>52</v>
      </c>
      <c r="E944">
        <f>[5]trip_summary_region!E944</f>
        <v>151</v>
      </c>
      <c r="F944">
        <f>[5]trip_summary_region!F944</f>
        <v>4.6058430689999996</v>
      </c>
      <c r="G944">
        <f>[5]trip_summary_region!G944</f>
        <v>19.547776195000001</v>
      </c>
      <c r="H944">
        <f>[5]trip_summary_region!H944</f>
        <v>1.8230672439</v>
      </c>
      <c r="I944" t="str">
        <f>[5]trip_summary_region!I944</f>
        <v>Cyclist</v>
      </c>
      <c r="J944" t="str">
        <f>[5]trip_summary_region!J944</f>
        <v>2032/33</v>
      </c>
    </row>
    <row r="945" spans="1:10" x14ac:dyDescent="0.2">
      <c r="A945" t="str">
        <f>[5]trip_summary_region!A945</f>
        <v>14 OTAGO</v>
      </c>
      <c r="B945">
        <f>[5]trip_summary_region!B945</f>
        <v>1</v>
      </c>
      <c r="C945">
        <f>[5]trip_summary_region!C945</f>
        <v>2038</v>
      </c>
      <c r="D945">
        <f>[5]trip_summary_region!D945</f>
        <v>52</v>
      </c>
      <c r="E945">
        <f>[5]trip_summary_region!E945</f>
        <v>151</v>
      </c>
      <c r="F945">
        <f>[5]trip_summary_region!F945</f>
        <v>4.6472943015999997</v>
      </c>
      <c r="G945">
        <f>[5]trip_summary_region!G945</f>
        <v>19.948596792</v>
      </c>
      <c r="H945">
        <f>[5]trip_summary_region!H945</f>
        <v>1.8643638678000001</v>
      </c>
      <c r="I945" t="str">
        <f>[5]trip_summary_region!I945</f>
        <v>Cyclist</v>
      </c>
      <c r="J945" t="str">
        <f>[5]trip_summary_region!J945</f>
        <v>2037/38</v>
      </c>
    </row>
    <row r="946" spans="1:10" x14ac:dyDescent="0.2">
      <c r="A946" t="str">
        <f>[5]trip_summary_region!A946</f>
        <v>14 OTAGO</v>
      </c>
      <c r="B946">
        <f>[5]trip_summary_region!B946</f>
        <v>1</v>
      </c>
      <c r="C946">
        <f>[5]trip_summary_region!C946</f>
        <v>2043</v>
      </c>
      <c r="D946">
        <f>[5]trip_summary_region!D946</f>
        <v>52</v>
      </c>
      <c r="E946">
        <f>[5]trip_summary_region!E946</f>
        <v>151</v>
      </c>
      <c r="F946">
        <f>[5]trip_summary_region!F946</f>
        <v>4.6714132283999996</v>
      </c>
      <c r="G946">
        <f>[5]trip_summary_region!G946</f>
        <v>20.285144434999999</v>
      </c>
      <c r="H946">
        <f>[5]trip_summary_region!H946</f>
        <v>1.9010399229999999</v>
      </c>
      <c r="I946" t="str">
        <f>[5]trip_summary_region!I946</f>
        <v>Cyclist</v>
      </c>
      <c r="J946" t="str">
        <f>[5]trip_summary_region!J946</f>
        <v>2042/43</v>
      </c>
    </row>
    <row r="947" spans="1:10" x14ac:dyDescent="0.2">
      <c r="A947" t="str">
        <f>[5]trip_summary_region!A947</f>
        <v>14 OTAGO</v>
      </c>
      <c r="B947">
        <f>[5]trip_summary_region!B947</f>
        <v>2</v>
      </c>
      <c r="C947">
        <f>[5]trip_summary_region!C947</f>
        <v>2013</v>
      </c>
      <c r="D947">
        <f>[5]trip_summary_region!D947</f>
        <v>734</v>
      </c>
      <c r="E947">
        <f>[5]trip_summary_region!E947</f>
        <v>5488</v>
      </c>
      <c r="F947">
        <f>[5]trip_summary_region!F947</f>
        <v>150.49144967999999</v>
      </c>
      <c r="G947">
        <f>[5]trip_summary_region!G947</f>
        <v>1192.1699989000001</v>
      </c>
      <c r="H947">
        <f>[5]trip_summary_region!H947</f>
        <v>32.522387277</v>
      </c>
      <c r="I947" t="str">
        <f>[5]trip_summary_region!I947</f>
        <v>Light Vehicle Driver</v>
      </c>
      <c r="J947" t="str">
        <f>[5]trip_summary_region!J947</f>
        <v>2012/13</v>
      </c>
    </row>
    <row r="948" spans="1:10" x14ac:dyDescent="0.2">
      <c r="A948" t="str">
        <f>[5]trip_summary_region!A948</f>
        <v>14 OTAGO</v>
      </c>
      <c r="B948">
        <f>[5]trip_summary_region!B948</f>
        <v>2</v>
      </c>
      <c r="C948">
        <f>[5]trip_summary_region!C948</f>
        <v>2018</v>
      </c>
      <c r="D948">
        <f>[5]trip_summary_region!D948</f>
        <v>734</v>
      </c>
      <c r="E948">
        <f>[5]trip_summary_region!E948</f>
        <v>5488</v>
      </c>
      <c r="F948">
        <f>[5]trip_summary_region!F948</f>
        <v>155.76117059000001</v>
      </c>
      <c r="G948">
        <f>[5]trip_summary_region!G948</f>
        <v>1269.3984828</v>
      </c>
      <c r="H948">
        <f>[5]trip_summary_region!H948</f>
        <v>34.226528285999997</v>
      </c>
      <c r="I948" t="str">
        <f>[5]trip_summary_region!I948</f>
        <v>Light Vehicle Driver</v>
      </c>
      <c r="J948" t="str">
        <f>[5]trip_summary_region!J948</f>
        <v>2017/18</v>
      </c>
    </row>
    <row r="949" spans="1:10" x14ac:dyDescent="0.2">
      <c r="A949" t="str">
        <f>[5]trip_summary_region!A949</f>
        <v>14 OTAGO</v>
      </c>
      <c r="B949">
        <f>[5]trip_summary_region!B949</f>
        <v>2</v>
      </c>
      <c r="C949">
        <f>[5]trip_summary_region!C949</f>
        <v>2023</v>
      </c>
      <c r="D949">
        <f>[5]trip_summary_region!D949</f>
        <v>734</v>
      </c>
      <c r="E949">
        <f>[5]trip_summary_region!E949</f>
        <v>5488</v>
      </c>
      <c r="F949">
        <f>[5]trip_summary_region!F949</f>
        <v>159.66543447000001</v>
      </c>
      <c r="G949">
        <f>[5]trip_summary_region!G949</f>
        <v>1328.2172836</v>
      </c>
      <c r="H949">
        <f>[5]trip_summary_region!H949</f>
        <v>35.484973881000002</v>
      </c>
      <c r="I949" t="str">
        <f>[5]trip_summary_region!I949</f>
        <v>Light Vehicle Driver</v>
      </c>
      <c r="J949" t="str">
        <f>[5]trip_summary_region!J949</f>
        <v>2022/23</v>
      </c>
    </row>
    <row r="950" spans="1:10" x14ac:dyDescent="0.2">
      <c r="A950" t="str">
        <f>[5]trip_summary_region!A950</f>
        <v>14 OTAGO</v>
      </c>
      <c r="B950">
        <f>[5]trip_summary_region!B950</f>
        <v>2</v>
      </c>
      <c r="C950">
        <f>[5]trip_summary_region!C950</f>
        <v>2028</v>
      </c>
      <c r="D950">
        <f>[5]trip_summary_region!D950</f>
        <v>734</v>
      </c>
      <c r="E950">
        <f>[5]trip_summary_region!E950</f>
        <v>5488</v>
      </c>
      <c r="F950">
        <f>[5]trip_summary_region!F950</f>
        <v>164.55229989</v>
      </c>
      <c r="G950">
        <f>[5]trip_summary_region!G950</f>
        <v>1385.4128954</v>
      </c>
      <c r="H950">
        <f>[5]trip_summary_region!H950</f>
        <v>36.825446634000002</v>
      </c>
      <c r="I950" t="str">
        <f>[5]trip_summary_region!I950</f>
        <v>Light Vehicle Driver</v>
      </c>
      <c r="J950" t="str">
        <f>[5]trip_summary_region!J950</f>
        <v>2027/28</v>
      </c>
    </row>
    <row r="951" spans="1:10" x14ac:dyDescent="0.2">
      <c r="A951" t="str">
        <f>[5]trip_summary_region!A951</f>
        <v>14 OTAGO</v>
      </c>
      <c r="B951">
        <f>[5]trip_summary_region!B951</f>
        <v>2</v>
      </c>
      <c r="C951">
        <f>[5]trip_summary_region!C951</f>
        <v>2033</v>
      </c>
      <c r="D951">
        <f>[5]trip_summary_region!D951</f>
        <v>734</v>
      </c>
      <c r="E951">
        <f>[5]trip_summary_region!E951</f>
        <v>5488</v>
      </c>
      <c r="F951">
        <f>[5]trip_summary_region!F951</f>
        <v>168.68247399000001</v>
      </c>
      <c r="G951">
        <f>[5]trip_summary_region!G951</f>
        <v>1441.9992013999999</v>
      </c>
      <c r="H951">
        <f>[5]trip_summary_region!H951</f>
        <v>38.056396661000001</v>
      </c>
      <c r="I951" t="str">
        <f>[5]trip_summary_region!I951</f>
        <v>Light Vehicle Driver</v>
      </c>
      <c r="J951" t="str">
        <f>[5]trip_summary_region!J951</f>
        <v>2032/33</v>
      </c>
    </row>
    <row r="952" spans="1:10" x14ac:dyDescent="0.2">
      <c r="A952" t="str">
        <f>[5]trip_summary_region!A952</f>
        <v>14 OTAGO</v>
      </c>
      <c r="B952">
        <f>[5]trip_summary_region!B952</f>
        <v>2</v>
      </c>
      <c r="C952">
        <f>[5]trip_summary_region!C952</f>
        <v>2038</v>
      </c>
      <c r="D952">
        <f>[5]trip_summary_region!D952</f>
        <v>734</v>
      </c>
      <c r="E952">
        <f>[5]trip_summary_region!E952</f>
        <v>5488</v>
      </c>
      <c r="F952">
        <f>[5]trip_summary_region!F952</f>
        <v>169.77477941000001</v>
      </c>
      <c r="G952">
        <f>[5]trip_summary_region!G952</f>
        <v>1491.2338166</v>
      </c>
      <c r="H952">
        <f>[5]trip_summary_region!H952</f>
        <v>38.872660947</v>
      </c>
      <c r="I952" t="str">
        <f>[5]trip_summary_region!I952</f>
        <v>Light Vehicle Driver</v>
      </c>
      <c r="J952" t="str">
        <f>[5]trip_summary_region!J952</f>
        <v>2037/38</v>
      </c>
    </row>
    <row r="953" spans="1:10" x14ac:dyDescent="0.2">
      <c r="A953" t="str">
        <f>[5]trip_summary_region!A953</f>
        <v>14 OTAGO</v>
      </c>
      <c r="B953">
        <f>[5]trip_summary_region!B953</f>
        <v>2</v>
      </c>
      <c r="C953">
        <f>[5]trip_summary_region!C953</f>
        <v>2043</v>
      </c>
      <c r="D953">
        <f>[5]trip_summary_region!D953</f>
        <v>734</v>
      </c>
      <c r="E953">
        <f>[5]trip_summary_region!E953</f>
        <v>5488</v>
      </c>
      <c r="F953">
        <f>[5]trip_summary_region!F953</f>
        <v>170.42068201999999</v>
      </c>
      <c r="G953">
        <f>[5]trip_summary_region!G953</f>
        <v>1540.8847410000001</v>
      </c>
      <c r="H953">
        <f>[5]trip_summary_region!H953</f>
        <v>39.623718298</v>
      </c>
      <c r="I953" t="str">
        <f>[5]trip_summary_region!I953</f>
        <v>Light Vehicle Driver</v>
      </c>
      <c r="J953" t="str">
        <f>[5]trip_summary_region!J953</f>
        <v>2042/43</v>
      </c>
    </row>
    <row r="954" spans="1:10" x14ac:dyDescent="0.2">
      <c r="A954" t="str">
        <f>[5]trip_summary_region!A954</f>
        <v>14 OTAGO</v>
      </c>
      <c r="B954">
        <f>[5]trip_summary_region!B954</f>
        <v>3</v>
      </c>
      <c r="C954">
        <f>[5]trip_summary_region!C954</f>
        <v>2013</v>
      </c>
      <c r="D954">
        <f>[5]trip_summary_region!D954</f>
        <v>543</v>
      </c>
      <c r="E954">
        <f>[5]trip_summary_region!E954</f>
        <v>2595</v>
      </c>
      <c r="F954">
        <f>[5]trip_summary_region!F954</f>
        <v>71.232164202000007</v>
      </c>
      <c r="G954">
        <f>[5]trip_summary_region!G954</f>
        <v>849.31688999999994</v>
      </c>
      <c r="H954">
        <f>[5]trip_summary_region!H954</f>
        <v>19.901766343999999</v>
      </c>
      <c r="I954" t="str">
        <f>[5]trip_summary_region!I954</f>
        <v>Light Vehicle Passenger</v>
      </c>
      <c r="J954" t="str">
        <f>[5]trip_summary_region!J954</f>
        <v>2012/13</v>
      </c>
    </row>
    <row r="955" spans="1:10" x14ac:dyDescent="0.2">
      <c r="A955" t="str">
        <f>[5]trip_summary_region!A955</f>
        <v>14 OTAGO</v>
      </c>
      <c r="B955">
        <f>[5]trip_summary_region!B955</f>
        <v>3</v>
      </c>
      <c r="C955">
        <f>[5]trip_summary_region!C955</f>
        <v>2018</v>
      </c>
      <c r="D955">
        <f>[5]trip_summary_region!D955</f>
        <v>543</v>
      </c>
      <c r="E955">
        <f>[5]trip_summary_region!E955</f>
        <v>2595</v>
      </c>
      <c r="F955">
        <f>[5]trip_summary_region!F955</f>
        <v>70.709647580999999</v>
      </c>
      <c r="G955">
        <f>[5]trip_summary_region!G955</f>
        <v>869.31760354000005</v>
      </c>
      <c r="H955">
        <f>[5]trip_summary_region!H955</f>
        <v>20.161454876000001</v>
      </c>
      <c r="I955" t="str">
        <f>[5]trip_summary_region!I955</f>
        <v>Light Vehicle Passenger</v>
      </c>
      <c r="J955" t="str">
        <f>[5]trip_summary_region!J955</f>
        <v>2017/18</v>
      </c>
    </row>
    <row r="956" spans="1:10" x14ac:dyDescent="0.2">
      <c r="A956" t="str">
        <f>[5]trip_summary_region!A956</f>
        <v>14 OTAGO</v>
      </c>
      <c r="B956">
        <f>[5]trip_summary_region!B956</f>
        <v>3</v>
      </c>
      <c r="C956">
        <f>[5]trip_summary_region!C956</f>
        <v>2023</v>
      </c>
      <c r="D956">
        <f>[5]trip_summary_region!D956</f>
        <v>543</v>
      </c>
      <c r="E956">
        <f>[5]trip_summary_region!E956</f>
        <v>2595</v>
      </c>
      <c r="F956">
        <f>[5]trip_summary_region!F956</f>
        <v>70.079933252000004</v>
      </c>
      <c r="G956">
        <f>[5]trip_summary_region!G956</f>
        <v>877.38891477000004</v>
      </c>
      <c r="H956">
        <f>[5]trip_summary_region!H956</f>
        <v>20.217603817000001</v>
      </c>
      <c r="I956" t="str">
        <f>[5]trip_summary_region!I956</f>
        <v>Light Vehicle Passenger</v>
      </c>
      <c r="J956" t="str">
        <f>[5]trip_summary_region!J956</f>
        <v>2022/23</v>
      </c>
    </row>
    <row r="957" spans="1:10" x14ac:dyDescent="0.2">
      <c r="A957" t="str">
        <f>[5]trip_summary_region!A957</f>
        <v>14 OTAGO</v>
      </c>
      <c r="B957">
        <f>[5]trip_summary_region!B957</f>
        <v>3</v>
      </c>
      <c r="C957">
        <f>[5]trip_summary_region!C957</f>
        <v>2028</v>
      </c>
      <c r="D957">
        <f>[5]trip_summary_region!D957</f>
        <v>543</v>
      </c>
      <c r="E957">
        <f>[5]trip_summary_region!E957</f>
        <v>2595</v>
      </c>
      <c r="F957">
        <f>[5]trip_summary_region!F957</f>
        <v>69.735588512999996</v>
      </c>
      <c r="G957">
        <f>[5]trip_summary_region!G957</f>
        <v>899.08560800999999</v>
      </c>
      <c r="H957">
        <f>[5]trip_summary_region!H957</f>
        <v>20.539123129</v>
      </c>
      <c r="I957" t="str">
        <f>[5]trip_summary_region!I957</f>
        <v>Light Vehicle Passenger</v>
      </c>
      <c r="J957" t="str">
        <f>[5]trip_summary_region!J957</f>
        <v>2027/28</v>
      </c>
    </row>
    <row r="958" spans="1:10" x14ac:dyDescent="0.2">
      <c r="A958" t="str">
        <f>[5]trip_summary_region!A958</f>
        <v>14 OTAGO</v>
      </c>
      <c r="B958">
        <f>[5]trip_summary_region!B958</f>
        <v>3</v>
      </c>
      <c r="C958">
        <f>[5]trip_summary_region!C958</f>
        <v>2033</v>
      </c>
      <c r="D958">
        <f>[5]trip_summary_region!D958</f>
        <v>543</v>
      </c>
      <c r="E958">
        <f>[5]trip_summary_region!E958</f>
        <v>2595</v>
      </c>
      <c r="F958">
        <f>[5]trip_summary_region!F958</f>
        <v>69.690397922000002</v>
      </c>
      <c r="G958">
        <f>[5]trip_summary_region!G958</f>
        <v>906.58069427999999</v>
      </c>
      <c r="H958">
        <f>[5]trip_summary_region!H958</f>
        <v>20.618900693000001</v>
      </c>
      <c r="I958" t="str">
        <f>[5]trip_summary_region!I958</f>
        <v>Light Vehicle Passenger</v>
      </c>
      <c r="J958" t="str">
        <f>[5]trip_summary_region!J958</f>
        <v>2032/33</v>
      </c>
    </row>
    <row r="959" spans="1:10" x14ac:dyDescent="0.2">
      <c r="A959" t="str">
        <f>[5]trip_summary_region!A959</f>
        <v>14 OTAGO</v>
      </c>
      <c r="B959">
        <f>[5]trip_summary_region!B959</f>
        <v>3</v>
      </c>
      <c r="C959">
        <f>[5]trip_summary_region!C959</f>
        <v>2038</v>
      </c>
      <c r="D959">
        <f>[5]trip_summary_region!D959</f>
        <v>543</v>
      </c>
      <c r="E959">
        <f>[5]trip_summary_region!E959</f>
        <v>2595</v>
      </c>
      <c r="F959">
        <f>[5]trip_summary_region!F959</f>
        <v>69.142697260000006</v>
      </c>
      <c r="G959">
        <f>[5]trip_summary_region!G959</f>
        <v>915.95567274999996</v>
      </c>
      <c r="H959">
        <f>[5]trip_summary_region!H959</f>
        <v>20.761563936000002</v>
      </c>
      <c r="I959" t="str">
        <f>[5]trip_summary_region!I959</f>
        <v>Light Vehicle Passenger</v>
      </c>
      <c r="J959" t="str">
        <f>[5]trip_summary_region!J959</f>
        <v>2037/38</v>
      </c>
    </row>
    <row r="960" spans="1:10" x14ac:dyDescent="0.2">
      <c r="A960" t="str">
        <f>[5]trip_summary_region!A960</f>
        <v>14 OTAGO</v>
      </c>
      <c r="B960">
        <f>[5]trip_summary_region!B960</f>
        <v>3</v>
      </c>
      <c r="C960">
        <f>[5]trip_summary_region!C960</f>
        <v>2043</v>
      </c>
      <c r="D960">
        <f>[5]trip_summary_region!D960</f>
        <v>543</v>
      </c>
      <c r="E960">
        <f>[5]trip_summary_region!E960</f>
        <v>2595</v>
      </c>
      <c r="F960">
        <f>[5]trip_summary_region!F960</f>
        <v>68.387910547999994</v>
      </c>
      <c r="G960">
        <f>[5]trip_summary_region!G960</f>
        <v>922.47352473000001</v>
      </c>
      <c r="H960">
        <f>[5]trip_summary_region!H960</f>
        <v>20.830138805000001</v>
      </c>
      <c r="I960" t="str">
        <f>[5]trip_summary_region!I960</f>
        <v>Light Vehicle Passenger</v>
      </c>
      <c r="J960" t="str">
        <f>[5]trip_summary_region!J960</f>
        <v>2042/43</v>
      </c>
    </row>
    <row r="961" spans="1:10" x14ac:dyDescent="0.2">
      <c r="A961" t="str">
        <f>[5]trip_summary_region!A961</f>
        <v>14 OTAGO</v>
      </c>
      <c r="B961">
        <f>[5]trip_summary_region!B961</f>
        <v>4</v>
      </c>
      <c r="C961">
        <f>[5]trip_summary_region!C961</f>
        <v>2013</v>
      </c>
      <c r="D961">
        <f>[5]trip_summary_region!D961</f>
        <v>21</v>
      </c>
      <c r="E961">
        <f>[5]trip_summary_region!E961</f>
        <v>36</v>
      </c>
      <c r="F961">
        <f>[5]trip_summary_region!F961</f>
        <v>0.85820748670000002</v>
      </c>
      <c r="G961">
        <f>[5]trip_summary_region!G961</f>
        <v>7.2892681777000004</v>
      </c>
      <c r="H961">
        <f>[5]trip_summary_region!H961</f>
        <v>0.23496676969999999</v>
      </c>
      <c r="I961" t="s">
        <v>116</v>
      </c>
      <c r="J961" t="str">
        <f>[5]trip_summary_region!J961</f>
        <v>2012/13</v>
      </c>
    </row>
    <row r="962" spans="1:10" x14ac:dyDescent="0.2">
      <c r="A962" t="str">
        <f>[5]trip_summary_region!A962</f>
        <v>14 OTAGO</v>
      </c>
      <c r="B962">
        <f>[5]trip_summary_region!B962</f>
        <v>4</v>
      </c>
      <c r="C962">
        <f>[5]trip_summary_region!C962</f>
        <v>2018</v>
      </c>
      <c r="D962">
        <f>[5]trip_summary_region!D962</f>
        <v>21</v>
      </c>
      <c r="E962">
        <f>[5]trip_summary_region!E962</f>
        <v>36</v>
      </c>
      <c r="F962">
        <f>[5]trip_summary_region!F962</f>
        <v>0.85490765729999996</v>
      </c>
      <c r="G962">
        <f>[5]trip_summary_region!G962</f>
        <v>7.2358640941000001</v>
      </c>
      <c r="H962">
        <f>[5]trip_summary_region!H962</f>
        <v>0.2353204072</v>
      </c>
      <c r="I962" t="s">
        <v>116</v>
      </c>
      <c r="J962" t="str">
        <f>[5]trip_summary_region!J962</f>
        <v>2017/18</v>
      </c>
    </row>
    <row r="963" spans="1:10" x14ac:dyDescent="0.2">
      <c r="A963" t="str">
        <f>[5]trip_summary_region!A963</f>
        <v>14 OTAGO</v>
      </c>
      <c r="B963">
        <f>[5]trip_summary_region!B963</f>
        <v>4</v>
      </c>
      <c r="C963">
        <f>[5]trip_summary_region!C963</f>
        <v>2023</v>
      </c>
      <c r="D963">
        <f>[5]trip_summary_region!D963</f>
        <v>21</v>
      </c>
      <c r="E963">
        <f>[5]trip_summary_region!E963</f>
        <v>36</v>
      </c>
      <c r="F963">
        <f>[5]trip_summary_region!F963</f>
        <v>0.83647690210000003</v>
      </c>
      <c r="G963">
        <f>[5]trip_summary_region!G963</f>
        <v>7.2775217691999998</v>
      </c>
      <c r="H963">
        <f>[5]trip_summary_region!H963</f>
        <v>0.2388372326</v>
      </c>
      <c r="I963" t="s">
        <v>116</v>
      </c>
      <c r="J963" t="str">
        <f>[5]trip_summary_region!J963</f>
        <v>2022/23</v>
      </c>
    </row>
    <row r="964" spans="1:10" x14ac:dyDescent="0.2">
      <c r="A964" t="str">
        <f>[5]trip_summary_region!A964</f>
        <v>14 OTAGO</v>
      </c>
      <c r="B964">
        <f>[5]trip_summary_region!B964</f>
        <v>4</v>
      </c>
      <c r="C964">
        <f>[5]trip_summary_region!C964</f>
        <v>2028</v>
      </c>
      <c r="D964">
        <f>[5]trip_summary_region!D964</f>
        <v>21</v>
      </c>
      <c r="E964">
        <f>[5]trip_summary_region!E964</f>
        <v>36</v>
      </c>
      <c r="F964">
        <f>[5]trip_summary_region!F964</f>
        <v>0.84931381549999996</v>
      </c>
      <c r="G964">
        <f>[5]trip_summary_region!G964</f>
        <v>7.5606976450000003</v>
      </c>
      <c r="H964">
        <f>[5]trip_summary_region!H964</f>
        <v>0.24939746339999999</v>
      </c>
      <c r="I964" t="s">
        <v>116</v>
      </c>
      <c r="J964" t="str">
        <f>[5]trip_summary_region!J964</f>
        <v>2027/28</v>
      </c>
    </row>
    <row r="965" spans="1:10" x14ac:dyDescent="0.2">
      <c r="A965" t="str">
        <f>[5]trip_summary_region!A965</f>
        <v>14 OTAGO</v>
      </c>
      <c r="B965">
        <f>[5]trip_summary_region!B965</f>
        <v>4</v>
      </c>
      <c r="C965">
        <f>[5]trip_summary_region!C965</f>
        <v>2033</v>
      </c>
      <c r="D965">
        <f>[5]trip_summary_region!D965</f>
        <v>21</v>
      </c>
      <c r="E965">
        <f>[5]trip_summary_region!E965</f>
        <v>36</v>
      </c>
      <c r="F965">
        <f>[5]trip_summary_region!F965</f>
        <v>0.87476323040000004</v>
      </c>
      <c r="G965">
        <f>[5]trip_summary_region!G965</f>
        <v>7.9759218277999997</v>
      </c>
      <c r="H965">
        <f>[5]trip_summary_region!H965</f>
        <v>0.26327321679999999</v>
      </c>
      <c r="I965" t="s">
        <v>116</v>
      </c>
      <c r="J965" t="str">
        <f>[5]trip_summary_region!J965</f>
        <v>2032/33</v>
      </c>
    </row>
    <row r="966" spans="1:10" x14ac:dyDescent="0.2">
      <c r="A966" t="str">
        <f>[5]trip_summary_region!A966</f>
        <v>14 OTAGO</v>
      </c>
      <c r="B966">
        <f>[5]trip_summary_region!B966</f>
        <v>4</v>
      </c>
      <c r="C966">
        <f>[5]trip_summary_region!C966</f>
        <v>2038</v>
      </c>
      <c r="D966">
        <f>[5]trip_summary_region!D966</f>
        <v>21</v>
      </c>
      <c r="E966">
        <f>[5]trip_summary_region!E966</f>
        <v>36</v>
      </c>
      <c r="F966">
        <f>[5]trip_summary_region!F966</f>
        <v>0.85805893929999999</v>
      </c>
      <c r="G966">
        <f>[5]trip_summary_region!G966</f>
        <v>8.0632806699999993</v>
      </c>
      <c r="H966">
        <f>[5]trip_summary_region!H966</f>
        <v>0.26686054999999997</v>
      </c>
      <c r="I966" t="s">
        <v>116</v>
      </c>
      <c r="J966" t="str">
        <f>[5]trip_summary_region!J966</f>
        <v>2037/38</v>
      </c>
    </row>
    <row r="967" spans="1:10" x14ac:dyDescent="0.2">
      <c r="A967" t="str">
        <f>[5]trip_summary_region!A967</f>
        <v>14 OTAGO</v>
      </c>
      <c r="B967">
        <f>[5]trip_summary_region!B967</f>
        <v>4</v>
      </c>
      <c r="C967">
        <f>[5]trip_summary_region!C967</f>
        <v>2043</v>
      </c>
      <c r="D967">
        <f>[5]trip_summary_region!D967</f>
        <v>21</v>
      </c>
      <c r="E967">
        <f>[5]trip_summary_region!E967</f>
        <v>36</v>
      </c>
      <c r="F967">
        <f>[5]trip_summary_region!F967</f>
        <v>0.84131340129999999</v>
      </c>
      <c r="G967">
        <f>[5]trip_summary_region!G967</f>
        <v>8.1655936729</v>
      </c>
      <c r="H967">
        <f>[5]trip_summary_region!H967</f>
        <v>0.27046917120000002</v>
      </c>
      <c r="I967" t="s">
        <v>116</v>
      </c>
      <c r="J967" t="str">
        <f>[5]trip_summary_region!J967</f>
        <v>2042/43</v>
      </c>
    </row>
    <row r="968" spans="1:10" x14ac:dyDescent="0.2">
      <c r="A968" t="str">
        <f>[5]trip_summary_region!A968</f>
        <v>14 OTAGO</v>
      </c>
      <c r="B968">
        <f>[5]trip_summary_region!B968</f>
        <v>5</v>
      </c>
      <c r="C968">
        <f>[5]trip_summary_region!C968</f>
        <v>2013</v>
      </c>
      <c r="D968">
        <f>[5]trip_summary_region!D968</f>
        <v>12</v>
      </c>
      <c r="E968">
        <f>[5]trip_summary_region!E968</f>
        <v>57</v>
      </c>
      <c r="F968">
        <f>[5]trip_summary_region!F968</f>
        <v>2.0937246197000001</v>
      </c>
      <c r="G968">
        <f>[5]trip_summary_region!G968</f>
        <v>18.503357486999999</v>
      </c>
      <c r="H968">
        <f>[5]trip_summary_region!H968</f>
        <v>0.42545310469999997</v>
      </c>
      <c r="I968" t="str">
        <f>[5]trip_summary_region!I968</f>
        <v>Motorcyclist</v>
      </c>
      <c r="J968" t="str">
        <f>[5]trip_summary_region!J968</f>
        <v>2012/13</v>
      </c>
    </row>
    <row r="969" spans="1:10" x14ac:dyDescent="0.2">
      <c r="A969" t="str">
        <f>[5]trip_summary_region!A969</f>
        <v>14 OTAGO</v>
      </c>
      <c r="B969">
        <f>[5]trip_summary_region!B969</f>
        <v>5</v>
      </c>
      <c r="C969">
        <f>[5]trip_summary_region!C969</f>
        <v>2018</v>
      </c>
      <c r="D969">
        <f>[5]trip_summary_region!D969</f>
        <v>12</v>
      </c>
      <c r="E969">
        <f>[5]trip_summary_region!E969</f>
        <v>57</v>
      </c>
      <c r="F969">
        <f>[5]trip_summary_region!F969</f>
        <v>2.1595813456999999</v>
      </c>
      <c r="G969">
        <f>[5]trip_summary_region!G969</f>
        <v>20.229088187999999</v>
      </c>
      <c r="H969">
        <f>[5]trip_summary_region!H969</f>
        <v>0.45298336030000003</v>
      </c>
      <c r="I969" t="str">
        <f>[5]trip_summary_region!I969</f>
        <v>Motorcyclist</v>
      </c>
      <c r="J969" t="str">
        <f>[5]trip_summary_region!J969</f>
        <v>2017/18</v>
      </c>
    </row>
    <row r="970" spans="1:10" x14ac:dyDescent="0.2">
      <c r="A970" t="str">
        <f>[5]trip_summary_region!A970</f>
        <v>14 OTAGO</v>
      </c>
      <c r="B970">
        <f>[5]trip_summary_region!B970</f>
        <v>5</v>
      </c>
      <c r="C970">
        <f>[5]trip_summary_region!C970</f>
        <v>2023</v>
      </c>
      <c r="D970">
        <f>[5]trip_summary_region!D970</f>
        <v>12</v>
      </c>
      <c r="E970">
        <f>[5]trip_summary_region!E970</f>
        <v>57</v>
      </c>
      <c r="F970">
        <f>[5]trip_summary_region!F970</f>
        <v>2.1329598157</v>
      </c>
      <c r="G970">
        <f>[5]trip_summary_region!G970</f>
        <v>21.239075960000001</v>
      </c>
      <c r="H970">
        <f>[5]trip_summary_region!H970</f>
        <v>0.46405251980000001</v>
      </c>
      <c r="I970" t="str">
        <f>[5]trip_summary_region!I970</f>
        <v>Motorcyclist</v>
      </c>
      <c r="J970" t="str">
        <f>[5]trip_summary_region!J970</f>
        <v>2022/23</v>
      </c>
    </row>
    <row r="971" spans="1:10" x14ac:dyDescent="0.2">
      <c r="A971" t="str">
        <f>[5]trip_summary_region!A971</f>
        <v>14 OTAGO</v>
      </c>
      <c r="B971">
        <f>[5]trip_summary_region!B971</f>
        <v>5</v>
      </c>
      <c r="C971">
        <f>[5]trip_summary_region!C971</f>
        <v>2028</v>
      </c>
      <c r="D971">
        <f>[5]trip_summary_region!D971</f>
        <v>12</v>
      </c>
      <c r="E971">
        <f>[5]trip_summary_region!E971</f>
        <v>57</v>
      </c>
      <c r="F971">
        <f>[5]trip_summary_region!F971</f>
        <v>2.0864375024999999</v>
      </c>
      <c r="G971">
        <f>[5]trip_summary_region!G971</f>
        <v>22.336036694000001</v>
      </c>
      <c r="H971">
        <f>[5]trip_summary_region!H971</f>
        <v>0.4755615836</v>
      </c>
      <c r="I971" t="str">
        <f>[5]trip_summary_region!I971</f>
        <v>Motorcyclist</v>
      </c>
      <c r="J971" t="str">
        <f>[5]trip_summary_region!J971</f>
        <v>2027/28</v>
      </c>
    </row>
    <row r="972" spans="1:10" x14ac:dyDescent="0.2">
      <c r="A972" t="str">
        <f>[5]trip_summary_region!A972</f>
        <v>14 OTAGO</v>
      </c>
      <c r="B972">
        <f>[5]trip_summary_region!B972</f>
        <v>5</v>
      </c>
      <c r="C972">
        <f>[5]trip_summary_region!C972</f>
        <v>2033</v>
      </c>
      <c r="D972">
        <f>[5]trip_summary_region!D972</f>
        <v>12</v>
      </c>
      <c r="E972">
        <f>[5]trip_summary_region!E972</f>
        <v>57</v>
      </c>
      <c r="F972">
        <f>[5]trip_summary_region!F972</f>
        <v>1.9785240113</v>
      </c>
      <c r="G972">
        <f>[5]trip_summary_region!G972</f>
        <v>22.796132050000001</v>
      </c>
      <c r="H972">
        <f>[5]trip_summary_region!H972</f>
        <v>0.4758286196</v>
      </c>
      <c r="I972" t="str">
        <f>[5]trip_summary_region!I972</f>
        <v>Motorcyclist</v>
      </c>
      <c r="J972" t="str">
        <f>[5]trip_summary_region!J972</f>
        <v>2032/33</v>
      </c>
    </row>
    <row r="973" spans="1:10" x14ac:dyDescent="0.2">
      <c r="A973" t="str">
        <f>[5]trip_summary_region!A973</f>
        <v>14 OTAGO</v>
      </c>
      <c r="B973">
        <f>[5]trip_summary_region!B973</f>
        <v>5</v>
      </c>
      <c r="C973">
        <f>[5]trip_summary_region!C973</f>
        <v>2038</v>
      </c>
      <c r="D973">
        <f>[5]trip_summary_region!D973</f>
        <v>12</v>
      </c>
      <c r="E973">
        <f>[5]trip_summary_region!E973</f>
        <v>57</v>
      </c>
      <c r="F973">
        <f>[5]trip_summary_region!F973</f>
        <v>1.8339902144</v>
      </c>
      <c r="G973">
        <f>[5]trip_summary_region!G973</f>
        <v>22.479969472000001</v>
      </c>
      <c r="H973">
        <f>[5]trip_summary_region!H973</f>
        <v>0.46332487360000002</v>
      </c>
      <c r="I973" t="str">
        <f>[5]trip_summary_region!I973</f>
        <v>Motorcyclist</v>
      </c>
      <c r="J973" t="str">
        <f>[5]trip_summary_region!J973</f>
        <v>2037/38</v>
      </c>
    </row>
    <row r="974" spans="1:10" x14ac:dyDescent="0.2">
      <c r="A974" t="str">
        <f>[5]trip_summary_region!A974</f>
        <v>14 OTAGO</v>
      </c>
      <c r="B974">
        <f>[5]trip_summary_region!B974</f>
        <v>5</v>
      </c>
      <c r="C974">
        <f>[5]trip_summary_region!C974</f>
        <v>2043</v>
      </c>
      <c r="D974">
        <f>[5]trip_summary_region!D974</f>
        <v>12</v>
      </c>
      <c r="E974">
        <f>[5]trip_summary_region!E974</f>
        <v>57</v>
      </c>
      <c r="F974">
        <f>[5]trip_summary_region!F974</f>
        <v>1.6859748844</v>
      </c>
      <c r="G974">
        <f>[5]trip_summary_region!G974</f>
        <v>22.022195029999999</v>
      </c>
      <c r="H974">
        <f>[5]trip_summary_region!H974</f>
        <v>0.44815206600000002</v>
      </c>
      <c r="I974" t="str">
        <f>[5]trip_summary_region!I974</f>
        <v>Motorcyclist</v>
      </c>
      <c r="J974" t="str">
        <f>[5]trip_summary_region!J974</f>
        <v>2042/43</v>
      </c>
    </row>
    <row r="975" spans="1:10" x14ac:dyDescent="0.2">
      <c r="A975" t="str">
        <f>[5]trip_summary_region!A975</f>
        <v>14 OTAGO</v>
      </c>
      <c r="B975">
        <f>[5]trip_summary_region!B975</f>
        <v>7</v>
      </c>
      <c r="C975">
        <f>[5]trip_summary_region!C975</f>
        <v>2013</v>
      </c>
      <c r="D975">
        <f>[5]trip_summary_region!D975</f>
        <v>70</v>
      </c>
      <c r="E975">
        <f>[5]trip_summary_region!E975</f>
        <v>148</v>
      </c>
      <c r="F975">
        <f>[5]trip_summary_region!F975</f>
        <v>4.2627057848999996</v>
      </c>
      <c r="G975">
        <f>[5]trip_summary_region!G975</f>
        <v>27.157477096000001</v>
      </c>
      <c r="H975">
        <f>[5]trip_summary_region!H975</f>
        <v>1.347401772</v>
      </c>
      <c r="I975" t="str">
        <f>[5]trip_summary_region!I975</f>
        <v>Local Bus</v>
      </c>
      <c r="J975" t="str">
        <f>[5]trip_summary_region!J975</f>
        <v>2012/13</v>
      </c>
    </row>
    <row r="976" spans="1:10" x14ac:dyDescent="0.2">
      <c r="A976" t="str">
        <f>[5]trip_summary_region!A976</f>
        <v>14 OTAGO</v>
      </c>
      <c r="B976">
        <f>[5]trip_summary_region!B976</f>
        <v>7</v>
      </c>
      <c r="C976">
        <f>[5]trip_summary_region!C976</f>
        <v>2018</v>
      </c>
      <c r="D976">
        <f>[5]trip_summary_region!D976</f>
        <v>70</v>
      </c>
      <c r="E976">
        <f>[5]trip_summary_region!E976</f>
        <v>148</v>
      </c>
      <c r="F976">
        <f>[5]trip_summary_region!F976</f>
        <v>4.0908786401999997</v>
      </c>
      <c r="G976">
        <f>[5]trip_summary_region!G976</f>
        <v>26.89196798</v>
      </c>
      <c r="H976">
        <f>[5]trip_summary_region!H976</f>
        <v>1.3025870008</v>
      </c>
      <c r="I976" t="str">
        <f>[5]trip_summary_region!I976</f>
        <v>Local Bus</v>
      </c>
      <c r="J976" t="str">
        <f>[5]trip_summary_region!J976</f>
        <v>2017/18</v>
      </c>
    </row>
    <row r="977" spans="1:10" x14ac:dyDescent="0.2">
      <c r="A977" t="str">
        <f>[5]trip_summary_region!A977</f>
        <v>14 OTAGO</v>
      </c>
      <c r="B977">
        <f>[5]trip_summary_region!B977</f>
        <v>7</v>
      </c>
      <c r="C977">
        <f>[5]trip_summary_region!C977</f>
        <v>2023</v>
      </c>
      <c r="D977">
        <f>[5]trip_summary_region!D977</f>
        <v>70</v>
      </c>
      <c r="E977">
        <f>[5]trip_summary_region!E977</f>
        <v>148</v>
      </c>
      <c r="F977">
        <f>[5]trip_summary_region!F977</f>
        <v>3.9445429821000002</v>
      </c>
      <c r="G977">
        <f>[5]trip_summary_region!G977</f>
        <v>26.746666088000001</v>
      </c>
      <c r="H977">
        <f>[5]trip_summary_region!H977</f>
        <v>1.268856065</v>
      </c>
      <c r="I977" t="str">
        <f>[5]trip_summary_region!I977</f>
        <v>Local Bus</v>
      </c>
      <c r="J977" t="str">
        <f>[5]trip_summary_region!J977</f>
        <v>2022/23</v>
      </c>
    </row>
    <row r="978" spans="1:10" x14ac:dyDescent="0.2">
      <c r="A978" t="str">
        <f>[5]trip_summary_region!A978</f>
        <v>14 OTAGO</v>
      </c>
      <c r="B978">
        <f>[5]trip_summary_region!B978</f>
        <v>7</v>
      </c>
      <c r="C978">
        <f>[5]trip_summary_region!C978</f>
        <v>2028</v>
      </c>
      <c r="D978">
        <f>[5]trip_summary_region!D978</f>
        <v>70</v>
      </c>
      <c r="E978">
        <f>[5]trip_summary_region!E978</f>
        <v>148</v>
      </c>
      <c r="F978">
        <f>[5]trip_summary_region!F978</f>
        <v>3.8454742006</v>
      </c>
      <c r="G978">
        <f>[5]trip_summary_region!G978</f>
        <v>26.776148590999998</v>
      </c>
      <c r="H978">
        <f>[5]trip_summary_region!H978</f>
        <v>1.2456658062999999</v>
      </c>
      <c r="I978" t="str">
        <f>[5]trip_summary_region!I978</f>
        <v>Local Bus</v>
      </c>
      <c r="J978" t="str">
        <f>[5]trip_summary_region!J978</f>
        <v>2027/28</v>
      </c>
    </row>
    <row r="979" spans="1:10" x14ac:dyDescent="0.2">
      <c r="A979" t="str">
        <f>[5]trip_summary_region!A979</f>
        <v>14 OTAGO</v>
      </c>
      <c r="B979">
        <f>[5]trip_summary_region!B979</f>
        <v>7</v>
      </c>
      <c r="C979">
        <f>[5]trip_summary_region!C979</f>
        <v>2033</v>
      </c>
      <c r="D979">
        <f>[5]trip_summary_region!D979</f>
        <v>70</v>
      </c>
      <c r="E979">
        <f>[5]trip_summary_region!E979</f>
        <v>148</v>
      </c>
      <c r="F979">
        <f>[5]trip_summary_region!F979</f>
        <v>3.7695295379</v>
      </c>
      <c r="G979">
        <f>[5]trip_summary_region!G979</f>
        <v>26.642286701</v>
      </c>
      <c r="H979">
        <f>[5]trip_summary_region!H979</f>
        <v>1.2238981595</v>
      </c>
      <c r="I979" t="str">
        <f>[5]trip_summary_region!I979</f>
        <v>Local Bus</v>
      </c>
      <c r="J979" t="str">
        <f>[5]trip_summary_region!J979</f>
        <v>2032/33</v>
      </c>
    </row>
    <row r="980" spans="1:10" x14ac:dyDescent="0.2">
      <c r="A980" t="str">
        <f>[5]trip_summary_region!A980</f>
        <v>14 OTAGO</v>
      </c>
      <c r="B980">
        <f>[5]trip_summary_region!B980</f>
        <v>7</v>
      </c>
      <c r="C980">
        <f>[5]trip_summary_region!C980</f>
        <v>2038</v>
      </c>
      <c r="D980">
        <f>[5]trip_summary_region!D980</f>
        <v>70</v>
      </c>
      <c r="E980">
        <f>[5]trip_summary_region!E980</f>
        <v>148</v>
      </c>
      <c r="F980">
        <f>[5]trip_summary_region!F980</f>
        <v>3.6017926560000002</v>
      </c>
      <c r="G980">
        <f>[5]trip_summary_region!G980</f>
        <v>25.719305601999999</v>
      </c>
      <c r="H980">
        <f>[5]trip_summary_region!H980</f>
        <v>1.1762128768</v>
      </c>
      <c r="I980" t="str">
        <f>[5]trip_summary_region!I980</f>
        <v>Local Bus</v>
      </c>
      <c r="J980" t="str">
        <f>[5]trip_summary_region!J980</f>
        <v>2037/38</v>
      </c>
    </row>
    <row r="981" spans="1:10" x14ac:dyDescent="0.2">
      <c r="A981" t="str">
        <f>[5]trip_summary_region!A981</f>
        <v>14 OTAGO</v>
      </c>
      <c r="B981">
        <f>[5]trip_summary_region!B981</f>
        <v>7</v>
      </c>
      <c r="C981">
        <f>[5]trip_summary_region!C981</f>
        <v>2043</v>
      </c>
      <c r="D981">
        <f>[5]trip_summary_region!D981</f>
        <v>70</v>
      </c>
      <c r="E981">
        <f>[5]trip_summary_region!E981</f>
        <v>148</v>
      </c>
      <c r="F981">
        <f>[5]trip_summary_region!F981</f>
        <v>3.4215779472999999</v>
      </c>
      <c r="G981">
        <f>[5]trip_summary_region!G981</f>
        <v>24.686077663999999</v>
      </c>
      <c r="H981">
        <f>[5]trip_summary_region!H981</f>
        <v>1.1244768152</v>
      </c>
      <c r="I981" t="str">
        <f>[5]trip_summary_region!I981</f>
        <v>Local Bus</v>
      </c>
      <c r="J981" t="str">
        <f>[5]trip_summary_region!J981</f>
        <v>2042/43</v>
      </c>
    </row>
    <row r="982" spans="1:10" x14ac:dyDescent="0.2">
      <c r="A982" t="str">
        <f>[5]trip_summary_region!A982</f>
        <v>14 OTAGO</v>
      </c>
      <c r="B982">
        <f>[5]trip_summary_region!B982</f>
        <v>9</v>
      </c>
      <c r="C982">
        <f>[5]trip_summary_region!C982</f>
        <v>2013</v>
      </c>
      <c r="D982">
        <f>[5]trip_summary_region!D982</f>
        <v>11</v>
      </c>
      <c r="E982">
        <f>[5]trip_summary_region!E982</f>
        <v>38</v>
      </c>
      <c r="F982">
        <f>[5]trip_summary_region!F982</f>
        <v>0.77539158779999995</v>
      </c>
      <c r="G982">
        <f>[5]trip_summary_region!G982</f>
        <v>0</v>
      </c>
      <c r="H982">
        <f>[5]trip_summary_region!H982</f>
        <v>0.25154479130000001</v>
      </c>
      <c r="I982" t="str">
        <f>[5]trip_summary_region!I982</f>
        <v>Other Household Travel</v>
      </c>
      <c r="J982" t="str">
        <f>[5]trip_summary_region!J982</f>
        <v>2012/13</v>
      </c>
    </row>
    <row r="983" spans="1:10" x14ac:dyDescent="0.2">
      <c r="A983" t="str">
        <f>[5]trip_summary_region!A983</f>
        <v>14 OTAGO</v>
      </c>
      <c r="B983">
        <f>[5]trip_summary_region!B983</f>
        <v>9</v>
      </c>
      <c r="C983">
        <f>[5]trip_summary_region!C983</f>
        <v>2018</v>
      </c>
      <c r="D983">
        <f>[5]trip_summary_region!D983</f>
        <v>11</v>
      </c>
      <c r="E983">
        <f>[5]trip_summary_region!E983</f>
        <v>38</v>
      </c>
      <c r="F983">
        <f>[5]trip_summary_region!F983</f>
        <v>0.80922005829999999</v>
      </c>
      <c r="G983">
        <f>[5]trip_summary_region!G983</f>
        <v>0</v>
      </c>
      <c r="H983">
        <f>[5]trip_summary_region!H983</f>
        <v>0.27249561500000002</v>
      </c>
      <c r="I983" t="str">
        <f>[5]trip_summary_region!I983</f>
        <v>Other Household Travel</v>
      </c>
      <c r="J983" t="str">
        <f>[5]trip_summary_region!J983</f>
        <v>2017/18</v>
      </c>
    </row>
    <row r="984" spans="1:10" x14ac:dyDescent="0.2">
      <c r="A984" t="str">
        <f>[5]trip_summary_region!A984</f>
        <v>14 OTAGO</v>
      </c>
      <c r="B984">
        <f>[5]trip_summary_region!B984</f>
        <v>9</v>
      </c>
      <c r="C984">
        <f>[5]trip_summary_region!C984</f>
        <v>2023</v>
      </c>
      <c r="D984">
        <f>[5]trip_summary_region!D984</f>
        <v>11</v>
      </c>
      <c r="E984">
        <f>[5]trip_summary_region!E984</f>
        <v>38</v>
      </c>
      <c r="F984">
        <f>[5]trip_summary_region!F984</f>
        <v>0.84320674070000001</v>
      </c>
      <c r="G984">
        <f>[5]trip_summary_region!G984</f>
        <v>0</v>
      </c>
      <c r="H984">
        <f>[5]trip_summary_region!H984</f>
        <v>0.29012877199999998</v>
      </c>
      <c r="I984" t="str">
        <f>[5]trip_summary_region!I984</f>
        <v>Other Household Travel</v>
      </c>
      <c r="J984" t="str">
        <f>[5]trip_summary_region!J984</f>
        <v>2022/23</v>
      </c>
    </row>
    <row r="985" spans="1:10" x14ac:dyDescent="0.2">
      <c r="A985" t="str">
        <f>[5]trip_summary_region!A985</f>
        <v>14 OTAGO</v>
      </c>
      <c r="B985">
        <f>[5]trip_summary_region!B985</f>
        <v>9</v>
      </c>
      <c r="C985">
        <f>[5]trip_summary_region!C985</f>
        <v>2028</v>
      </c>
      <c r="D985">
        <f>[5]trip_summary_region!D985</f>
        <v>11</v>
      </c>
      <c r="E985">
        <f>[5]trip_summary_region!E985</f>
        <v>38</v>
      </c>
      <c r="F985">
        <f>[5]trip_summary_region!F985</f>
        <v>0.8688361724</v>
      </c>
      <c r="G985">
        <f>[5]trip_summary_region!G985</f>
        <v>0</v>
      </c>
      <c r="H985">
        <f>[5]trip_summary_region!H985</f>
        <v>0.30289364460000001</v>
      </c>
      <c r="I985" t="str">
        <f>[5]trip_summary_region!I985</f>
        <v>Other Household Travel</v>
      </c>
      <c r="J985" t="str">
        <f>[5]trip_summary_region!J985</f>
        <v>2027/28</v>
      </c>
    </row>
    <row r="986" spans="1:10" x14ac:dyDescent="0.2">
      <c r="A986" t="str">
        <f>[5]trip_summary_region!A986</f>
        <v>14 OTAGO</v>
      </c>
      <c r="B986">
        <f>[5]trip_summary_region!B986</f>
        <v>9</v>
      </c>
      <c r="C986">
        <f>[5]trip_summary_region!C986</f>
        <v>2033</v>
      </c>
      <c r="D986">
        <f>[5]trip_summary_region!D986</f>
        <v>11</v>
      </c>
      <c r="E986">
        <f>[5]trip_summary_region!E986</f>
        <v>38</v>
      </c>
      <c r="F986">
        <f>[5]trip_summary_region!F986</f>
        <v>0.86867540580000002</v>
      </c>
      <c r="G986">
        <f>[5]trip_summary_region!G986</f>
        <v>0</v>
      </c>
      <c r="H986">
        <f>[5]trip_summary_region!H986</f>
        <v>0.3089069854</v>
      </c>
      <c r="I986" t="str">
        <f>[5]trip_summary_region!I986</f>
        <v>Other Household Travel</v>
      </c>
      <c r="J986" t="str">
        <f>[5]trip_summary_region!J986</f>
        <v>2032/33</v>
      </c>
    </row>
    <row r="987" spans="1:10" x14ac:dyDescent="0.2">
      <c r="A987" t="str">
        <f>[5]trip_summary_region!A987</f>
        <v>14 OTAGO</v>
      </c>
      <c r="B987">
        <f>[5]trip_summary_region!B987</f>
        <v>9</v>
      </c>
      <c r="C987">
        <f>[5]trip_summary_region!C987</f>
        <v>2038</v>
      </c>
      <c r="D987">
        <f>[5]trip_summary_region!D987</f>
        <v>11</v>
      </c>
      <c r="E987">
        <f>[5]trip_summary_region!E987</f>
        <v>38</v>
      </c>
      <c r="F987">
        <f>[5]trip_summary_region!F987</f>
        <v>0.85675198649999995</v>
      </c>
      <c r="G987">
        <f>[5]trip_summary_region!G987</f>
        <v>0</v>
      </c>
      <c r="H987">
        <f>[5]trip_summary_region!H987</f>
        <v>0.31460680070000002</v>
      </c>
      <c r="I987" t="str">
        <f>[5]trip_summary_region!I987</f>
        <v>Other Household Travel</v>
      </c>
      <c r="J987" t="str">
        <f>[5]trip_summary_region!J987</f>
        <v>2037/38</v>
      </c>
    </row>
    <row r="988" spans="1:10" x14ac:dyDescent="0.2">
      <c r="A988" t="str">
        <f>[5]trip_summary_region!A988</f>
        <v>14 OTAGO</v>
      </c>
      <c r="B988">
        <f>[5]trip_summary_region!B988</f>
        <v>9</v>
      </c>
      <c r="C988">
        <f>[5]trip_summary_region!C988</f>
        <v>2043</v>
      </c>
      <c r="D988">
        <f>[5]trip_summary_region!D988</f>
        <v>11</v>
      </c>
      <c r="E988">
        <f>[5]trip_summary_region!E988</f>
        <v>38</v>
      </c>
      <c r="F988">
        <f>[5]trip_summary_region!F988</f>
        <v>0.8440252452</v>
      </c>
      <c r="G988">
        <f>[5]trip_summary_region!G988</f>
        <v>0</v>
      </c>
      <c r="H988">
        <f>[5]trip_summary_region!H988</f>
        <v>0.32067638529999998</v>
      </c>
      <c r="I988" t="str">
        <f>[5]trip_summary_region!I988</f>
        <v>Other Household Travel</v>
      </c>
      <c r="J988" t="str">
        <f>[5]trip_summary_region!J988</f>
        <v>2042/43</v>
      </c>
    </row>
    <row r="989" spans="1:10" x14ac:dyDescent="0.2">
      <c r="A989" t="str">
        <f>[5]trip_summary_region!A989</f>
        <v>14 OTAGO</v>
      </c>
      <c r="B989">
        <f>[5]trip_summary_region!B989</f>
        <v>10</v>
      </c>
      <c r="C989">
        <f>[5]trip_summary_region!C989</f>
        <v>2013</v>
      </c>
      <c r="D989">
        <f>[5]trip_summary_region!D989</f>
        <v>12</v>
      </c>
      <c r="E989">
        <f>[5]trip_summary_region!E989</f>
        <v>16</v>
      </c>
      <c r="F989">
        <f>[5]trip_summary_region!F989</f>
        <v>0.45393948140000001</v>
      </c>
      <c r="G989">
        <f>[5]trip_summary_region!G989</f>
        <v>32.668222239000002</v>
      </c>
      <c r="H989">
        <f>[5]trip_summary_region!H989</f>
        <v>1.0816055304000001</v>
      </c>
      <c r="I989" t="str">
        <f>[5]trip_summary_region!I989</f>
        <v>Air/Non-Local PT</v>
      </c>
      <c r="J989" t="str">
        <f>[5]trip_summary_region!J989</f>
        <v>2012/13</v>
      </c>
    </row>
    <row r="990" spans="1:10" x14ac:dyDescent="0.2">
      <c r="A990" t="str">
        <f>[5]trip_summary_region!A990</f>
        <v>14 OTAGO</v>
      </c>
      <c r="B990">
        <f>[5]trip_summary_region!B990</f>
        <v>10</v>
      </c>
      <c r="C990">
        <f>[5]trip_summary_region!C990</f>
        <v>2018</v>
      </c>
      <c r="D990">
        <f>[5]trip_summary_region!D990</f>
        <v>12</v>
      </c>
      <c r="E990">
        <f>[5]trip_summary_region!E990</f>
        <v>16</v>
      </c>
      <c r="F990">
        <f>[5]trip_summary_region!F990</f>
        <v>0.51481890789999996</v>
      </c>
      <c r="G990">
        <f>[5]trip_summary_region!G990</f>
        <v>37.135333521</v>
      </c>
      <c r="H990">
        <f>[5]trip_summary_region!H990</f>
        <v>1.2116536280000001</v>
      </c>
      <c r="I990" t="str">
        <f>[5]trip_summary_region!I990</f>
        <v>Air/Non-Local PT</v>
      </c>
      <c r="J990" t="str">
        <f>[5]trip_summary_region!J990</f>
        <v>2017/18</v>
      </c>
    </row>
    <row r="991" spans="1:10" x14ac:dyDescent="0.2">
      <c r="A991" t="str">
        <f>[5]trip_summary_region!A991</f>
        <v>14 OTAGO</v>
      </c>
      <c r="B991">
        <f>[5]trip_summary_region!B991</f>
        <v>10</v>
      </c>
      <c r="C991">
        <f>[5]trip_summary_region!C991</f>
        <v>2023</v>
      </c>
      <c r="D991">
        <f>[5]trip_summary_region!D991</f>
        <v>12</v>
      </c>
      <c r="E991">
        <f>[5]trip_summary_region!E991</f>
        <v>16</v>
      </c>
      <c r="F991">
        <f>[5]trip_summary_region!F991</f>
        <v>0.56737892000000001</v>
      </c>
      <c r="G991">
        <f>[5]trip_summary_region!G991</f>
        <v>40.155415099999999</v>
      </c>
      <c r="H991">
        <f>[5]trip_summary_region!H991</f>
        <v>1.3120354104</v>
      </c>
      <c r="I991" t="str">
        <f>[5]trip_summary_region!I991</f>
        <v>Air/Non-Local PT</v>
      </c>
      <c r="J991" t="str">
        <f>[5]trip_summary_region!J991</f>
        <v>2022/23</v>
      </c>
    </row>
    <row r="992" spans="1:10" x14ac:dyDescent="0.2">
      <c r="A992" t="str">
        <f>[5]trip_summary_region!A992</f>
        <v>14 OTAGO</v>
      </c>
      <c r="B992">
        <f>[5]trip_summary_region!B992</f>
        <v>10</v>
      </c>
      <c r="C992">
        <f>[5]trip_summary_region!C992</f>
        <v>2028</v>
      </c>
      <c r="D992">
        <f>[5]trip_summary_region!D992</f>
        <v>12</v>
      </c>
      <c r="E992">
        <f>[5]trip_summary_region!E992</f>
        <v>16</v>
      </c>
      <c r="F992">
        <f>[5]trip_summary_region!F992</f>
        <v>0.61294909050000002</v>
      </c>
      <c r="G992">
        <f>[5]trip_summary_region!G992</f>
        <v>42.179661807999999</v>
      </c>
      <c r="H992">
        <f>[5]trip_summary_region!H992</f>
        <v>1.3977257214000001</v>
      </c>
      <c r="I992" t="str">
        <f>[5]trip_summary_region!I992</f>
        <v>Air/Non-Local PT</v>
      </c>
      <c r="J992" t="str">
        <f>[5]trip_summary_region!J992</f>
        <v>2027/28</v>
      </c>
    </row>
    <row r="993" spans="1:10" x14ac:dyDescent="0.2">
      <c r="A993" t="str">
        <f>[5]trip_summary_region!A993</f>
        <v>14 OTAGO</v>
      </c>
      <c r="B993">
        <f>[5]trip_summary_region!B993</f>
        <v>10</v>
      </c>
      <c r="C993">
        <f>[5]trip_summary_region!C993</f>
        <v>2033</v>
      </c>
      <c r="D993">
        <f>[5]trip_summary_region!D993</f>
        <v>12</v>
      </c>
      <c r="E993">
        <f>[5]trip_summary_region!E993</f>
        <v>16</v>
      </c>
      <c r="F993">
        <f>[5]trip_summary_region!F993</f>
        <v>0.6546969493</v>
      </c>
      <c r="G993">
        <f>[5]trip_summary_region!G993</f>
        <v>44.053987640999999</v>
      </c>
      <c r="H993">
        <f>[5]trip_summary_region!H993</f>
        <v>1.4866228816</v>
      </c>
      <c r="I993" t="str">
        <f>[5]trip_summary_region!I993</f>
        <v>Air/Non-Local PT</v>
      </c>
      <c r="J993" t="str">
        <f>[5]trip_summary_region!J993</f>
        <v>2032/33</v>
      </c>
    </row>
    <row r="994" spans="1:10" x14ac:dyDescent="0.2">
      <c r="A994" t="str">
        <f>[5]trip_summary_region!A994</f>
        <v>14 OTAGO</v>
      </c>
      <c r="B994">
        <f>[5]trip_summary_region!B994</f>
        <v>10</v>
      </c>
      <c r="C994">
        <f>[5]trip_summary_region!C994</f>
        <v>2038</v>
      </c>
      <c r="D994">
        <f>[5]trip_summary_region!D994</f>
        <v>12</v>
      </c>
      <c r="E994">
        <f>[5]trip_summary_region!E994</f>
        <v>16</v>
      </c>
      <c r="F994">
        <f>[5]trip_summary_region!F994</f>
        <v>0.68676869409999997</v>
      </c>
      <c r="G994">
        <f>[5]trip_summary_region!G994</f>
        <v>44.855706630999997</v>
      </c>
      <c r="H994">
        <f>[5]trip_summary_region!H994</f>
        <v>1.5370444526</v>
      </c>
      <c r="I994" t="str">
        <f>[5]trip_summary_region!I994</f>
        <v>Air/Non-Local PT</v>
      </c>
      <c r="J994" t="str">
        <f>[5]trip_summary_region!J994</f>
        <v>2037/38</v>
      </c>
    </row>
    <row r="995" spans="1:10" x14ac:dyDescent="0.2">
      <c r="A995" t="str">
        <f>[5]trip_summary_region!A995</f>
        <v>14 OTAGO</v>
      </c>
      <c r="B995">
        <f>[5]trip_summary_region!B995</f>
        <v>10</v>
      </c>
      <c r="C995">
        <f>[5]trip_summary_region!C995</f>
        <v>2043</v>
      </c>
      <c r="D995">
        <f>[5]trip_summary_region!D995</f>
        <v>12</v>
      </c>
      <c r="E995">
        <f>[5]trip_summary_region!E995</f>
        <v>16</v>
      </c>
      <c r="F995">
        <f>[5]trip_summary_region!F995</f>
        <v>0.71662801200000004</v>
      </c>
      <c r="G995">
        <f>[5]trip_summary_region!G995</f>
        <v>45.291767348999997</v>
      </c>
      <c r="H995">
        <f>[5]trip_summary_region!H995</f>
        <v>1.5802622340000001</v>
      </c>
      <c r="I995" t="str">
        <f>[5]trip_summary_region!I995</f>
        <v>Air/Non-Local PT</v>
      </c>
      <c r="J995" t="str">
        <f>[5]trip_summary_region!J995</f>
        <v>2042/43</v>
      </c>
    </row>
    <row r="996" spans="1:10" x14ac:dyDescent="0.2">
      <c r="A996" t="str">
        <f>[5]trip_summary_region!A996</f>
        <v>14 OTAGO</v>
      </c>
      <c r="B996">
        <f>[5]trip_summary_region!B996</f>
        <v>11</v>
      </c>
      <c r="C996">
        <f>[5]trip_summary_region!C996</f>
        <v>2013</v>
      </c>
      <c r="D996">
        <f>[5]trip_summary_region!D996</f>
        <v>8</v>
      </c>
      <c r="E996">
        <f>[5]trip_summary_region!E996</f>
        <v>23</v>
      </c>
      <c r="F996">
        <f>[5]trip_summary_region!F996</f>
        <v>0.69501361849999999</v>
      </c>
      <c r="G996">
        <f>[5]trip_summary_region!G996</f>
        <v>6.1172965614999999</v>
      </c>
      <c r="H996">
        <f>[5]trip_summary_region!H996</f>
        <v>0.18529166999999999</v>
      </c>
      <c r="I996" t="str">
        <f>[5]trip_summary_region!I996</f>
        <v>Non-Household Travel</v>
      </c>
      <c r="J996" t="str">
        <f>[5]trip_summary_region!J996</f>
        <v>2012/13</v>
      </c>
    </row>
    <row r="997" spans="1:10" x14ac:dyDescent="0.2">
      <c r="A997" t="str">
        <f>[5]trip_summary_region!A997</f>
        <v>14 OTAGO</v>
      </c>
      <c r="B997">
        <f>[5]trip_summary_region!B997</f>
        <v>11</v>
      </c>
      <c r="C997">
        <f>[5]trip_summary_region!C997</f>
        <v>2018</v>
      </c>
      <c r="D997">
        <f>[5]trip_summary_region!D997</f>
        <v>8</v>
      </c>
      <c r="E997">
        <f>[5]trip_summary_region!E997</f>
        <v>23</v>
      </c>
      <c r="F997">
        <f>[5]trip_summary_region!F997</f>
        <v>0.78664819730000002</v>
      </c>
      <c r="G997">
        <f>[5]trip_summary_region!G997</f>
        <v>7.3837697751000002</v>
      </c>
      <c r="H997">
        <f>[5]trip_summary_region!H997</f>
        <v>0.22132746810000001</v>
      </c>
      <c r="I997" t="str">
        <f>[5]trip_summary_region!I997</f>
        <v>Non-Household Travel</v>
      </c>
      <c r="J997" t="str">
        <f>[5]trip_summary_region!J997</f>
        <v>2017/18</v>
      </c>
    </row>
    <row r="998" spans="1:10" x14ac:dyDescent="0.2">
      <c r="A998" t="str">
        <f>[5]trip_summary_region!A998</f>
        <v>14 OTAGO</v>
      </c>
      <c r="B998">
        <f>[5]trip_summary_region!B998</f>
        <v>11</v>
      </c>
      <c r="C998">
        <f>[5]trip_summary_region!C998</f>
        <v>2023</v>
      </c>
      <c r="D998">
        <f>[5]trip_summary_region!D998</f>
        <v>8</v>
      </c>
      <c r="E998">
        <f>[5]trip_summary_region!E998</f>
        <v>23</v>
      </c>
      <c r="F998">
        <f>[5]trip_summary_region!F998</f>
        <v>0.88920484850000003</v>
      </c>
      <c r="G998">
        <f>[5]trip_summary_region!G998</f>
        <v>8.5738621421999994</v>
      </c>
      <c r="H998">
        <f>[5]trip_summary_region!H998</f>
        <v>0.25697993679999998</v>
      </c>
      <c r="I998" t="str">
        <f>[5]trip_summary_region!I998</f>
        <v>Non-Household Travel</v>
      </c>
      <c r="J998" t="str">
        <f>[5]trip_summary_region!J998</f>
        <v>2022/23</v>
      </c>
    </row>
    <row r="999" spans="1:10" x14ac:dyDescent="0.2">
      <c r="A999" t="str">
        <f>[5]trip_summary_region!A999</f>
        <v>14 OTAGO</v>
      </c>
      <c r="B999">
        <f>[5]trip_summary_region!B999</f>
        <v>11</v>
      </c>
      <c r="C999">
        <f>[5]trip_summary_region!C999</f>
        <v>2028</v>
      </c>
      <c r="D999">
        <f>[5]trip_summary_region!D999</f>
        <v>8</v>
      </c>
      <c r="E999">
        <f>[5]trip_summary_region!E999</f>
        <v>23</v>
      </c>
      <c r="F999">
        <f>[5]trip_summary_region!F999</f>
        <v>1.0339665969</v>
      </c>
      <c r="G999">
        <f>[5]trip_summary_region!G999</f>
        <v>9.7835442191999995</v>
      </c>
      <c r="H999">
        <f>[5]trip_summary_region!H999</f>
        <v>0.2989814066</v>
      </c>
      <c r="I999" t="str">
        <f>[5]trip_summary_region!I999</f>
        <v>Non-Household Travel</v>
      </c>
      <c r="J999" t="str">
        <f>[5]trip_summary_region!J999</f>
        <v>2027/28</v>
      </c>
    </row>
    <row r="1000" spans="1:10" x14ac:dyDescent="0.2">
      <c r="A1000" t="str">
        <f>[5]trip_summary_region!A1000</f>
        <v>14 OTAGO</v>
      </c>
      <c r="B1000">
        <f>[5]trip_summary_region!B1000</f>
        <v>11</v>
      </c>
      <c r="C1000">
        <f>[5]trip_summary_region!C1000</f>
        <v>2033</v>
      </c>
      <c r="D1000">
        <f>[5]trip_summary_region!D1000</f>
        <v>8</v>
      </c>
      <c r="E1000">
        <f>[5]trip_summary_region!E1000</f>
        <v>23</v>
      </c>
      <c r="F1000">
        <f>[5]trip_summary_region!F1000</f>
        <v>1.1399694176999999</v>
      </c>
      <c r="G1000">
        <f>[5]trip_summary_region!G1000</f>
        <v>10.45409879</v>
      </c>
      <c r="H1000">
        <f>[5]trip_summary_region!H1000</f>
        <v>0.32789044449999999</v>
      </c>
      <c r="I1000" t="str">
        <f>[5]trip_summary_region!I1000</f>
        <v>Non-Household Travel</v>
      </c>
      <c r="J1000" t="str">
        <f>[5]trip_summary_region!J1000</f>
        <v>2032/33</v>
      </c>
    </row>
    <row r="1001" spans="1:10" x14ac:dyDescent="0.2">
      <c r="A1001" t="str">
        <f>[5]trip_summary_region!A1001</f>
        <v>14 OTAGO</v>
      </c>
      <c r="B1001">
        <f>[5]trip_summary_region!B1001</f>
        <v>11</v>
      </c>
      <c r="C1001">
        <f>[5]trip_summary_region!C1001</f>
        <v>2038</v>
      </c>
      <c r="D1001">
        <f>[5]trip_summary_region!D1001</f>
        <v>8</v>
      </c>
      <c r="E1001">
        <f>[5]trip_summary_region!E1001</f>
        <v>23</v>
      </c>
      <c r="F1001">
        <f>[5]trip_summary_region!F1001</f>
        <v>1.1937866888999999</v>
      </c>
      <c r="G1001">
        <f>[5]trip_summary_region!G1001</f>
        <v>10.773838673</v>
      </c>
      <c r="H1001">
        <f>[5]trip_summary_region!H1001</f>
        <v>0.34364379439999998</v>
      </c>
      <c r="I1001" t="str">
        <f>[5]trip_summary_region!I1001</f>
        <v>Non-Household Travel</v>
      </c>
      <c r="J1001" t="str">
        <f>[5]trip_summary_region!J1001</f>
        <v>2037/38</v>
      </c>
    </row>
    <row r="1002" spans="1:10" x14ac:dyDescent="0.2">
      <c r="A1002" t="str">
        <f>[5]trip_summary_region!A1002</f>
        <v>14 OTAGO</v>
      </c>
      <c r="B1002">
        <f>[5]trip_summary_region!B1002</f>
        <v>11</v>
      </c>
      <c r="C1002">
        <f>[5]trip_summary_region!C1002</f>
        <v>2043</v>
      </c>
      <c r="D1002">
        <f>[5]trip_summary_region!D1002</f>
        <v>8</v>
      </c>
      <c r="E1002">
        <f>[5]trip_summary_region!E1002</f>
        <v>23</v>
      </c>
      <c r="F1002">
        <f>[5]trip_summary_region!F1002</f>
        <v>1.2576649803</v>
      </c>
      <c r="G1002">
        <f>[5]trip_summary_region!G1002</f>
        <v>11.101229568999999</v>
      </c>
      <c r="H1002">
        <f>[5]trip_summary_region!H1002</f>
        <v>0.3612151341</v>
      </c>
      <c r="I1002" t="str">
        <f>[5]trip_summary_region!I1002</f>
        <v>Non-Household Travel</v>
      </c>
      <c r="J1002" t="str">
        <f>[5]trip_summary_region!J1002</f>
        <v>2042/43</v>
      </c>
    </row>
    <row r="1003" spans="1:10" x14ac:dyDescent="0.2">
      <c r="A1003" t="str">
        <f>[5]trip_summary_region!A1003</f>
        <v>15 SOUTHLAND</v>
      </c>
      <c r="B1003">
        <f>[5]trip_summary_region!B1003</f>
        <v>0</v>
      </c>
      <c r="C1003">
        <f>[5]trip_summary_region!C1003</f>
        <v>2013</v>
      </c>
      <c r="D1003">
        <f>[5]trip_summary_region!D1003</f>
        <v>180</v>
      </c>
      <c r="E1003">
        <f>[5]trip_summary_region!E1003</f>
        <v>617</v>
      </c>
      <c r="F1003">
        <f>[5]trip_summary_region!F1003</f>
        <v>12.52065131</v>
      </c>
      <c r="G1003">
        <f>[5]trip_summary_region!G1003</f>
        <v>8.8466785109000003</v>
      </c>
      <c r="H1003">
        <f>[5]trip_summary_region!H1003</f>
        <v>2.2528617661000001</v>
      </c>
      <c r="I1003" t="str">
        <f>[5]trip_summary_region!I1003</f>
        <v>Pedestrian</v>
      </c>
      <c r="J1003" t="str">
        <f>[5]trip_summary_region!J1003</f>
        <v>2012/13</v>
      </c>
    </row>
    <row r="1004" spans="1:10" x14ac:dyDescent="0.2">
      <c r="A1004" t="str">
        <f>[5]trip_summary_region!A1004</f>
        <v>15 SOUTHLAND</v>
      </c>
      <c r="B1004">
        <f>[5]trip_summary_region!B1004</f>
        <v>0</v>
      </c>
      <c r="C1004">
        <f>[5]trip_summary_region!C1004</f>
        <v>2018</v>
      </c>
      <c r="D1004">
        <f>[5]trip_summary_region!D1004</f>
        <v>180</v>
      </c>
      <c r="E1004">
        <f>[5]trip_summary_region!E1004</f>
        <v>617</v>
      </c>
      <c r="F1004">
        <f>[5]trip_summary_region!F1004</f>
        <v>12.785017452</v>
      </c>
      <c r="G1004">
        <f>[5]trip_summary_region!G1004</f>
        <v>9.0768356375000003</v>
      </c>
      <c r="H1004">
        <f>[5]trip_summary_region!H1004</f>
        <v>2.3099048944999998</v>
      </c>
      <c r="I1004" t="str">
        <f>[5]trip_summary_region!I1004</f>
        <v>Pedestrian</v>
      </c>
      <c r="J1004" t="str">
        <f>[5]trip_summary_region!J1004</f>
        <v>2017/18</v>
      </c>
    </row>
    <row r="1005" spans="1:10" x14ac:dyDescent="0.2">
      <c r="A1005" t="str">
        <f>[5]trip_summary_region!A1005</f>
        <v>15 SOUTHLAND</v>
      </c>
      <c r="B1005">
        <f>[5]trip_summary_region!B1005</f>
        <v>0</v>
      </c>
      <c r="C1005">
        <f>[5]trip_summary_region!C1005</f>
        <v>2023</v>
      </c>
      <c r="D1005">
        <f>[5]trip_summary_region!D1005</f>
        <v>180</v>
      </c>
      <c r="E1005">
        <f>[5]trip_summary_region!E1005</f>
        <v>617</v>
      </c>
      <c r="F1005">
        <f>[5]trip_summary_region!F1005</f>
        <v>12.904021147</v>
      </c>
      <c r="G1005">
        <f>[5]trip_summary_region!G1005</f>
        <v>9.1731655010999997</v>
      </c>
      <c r="H1005">
        <f>[5]trip_summary_region!H1005</f>
        <v>2.3308286669</v>
      </c>
      <c r="I1005" t="str">
        <f>[5]trip_summary_region!I1005</f>
        <v>Pedestrian</v>
      </c>
      <c r="J1005" t="str">
        <f>[5]trip_summary_region!J1005</f>
        <v>2022/23</v>
      </c>
    </row>
    <row r="1006" spans="1:10" x14ac:dyDescent="0.2">
      <c r="A1006" t="str">
        <f>[5]trip_summary_region!A1006</f>
        <v>15 SOUTHLAND</v>
      </c>
      <c r="B1006">
        <f>[5]trip_summary_region!B1006</f>
        <v>0</v>
      </c>
      <c r="C1006">
        <f>[5]trip_summary_region!C1006</f>
        <v>2028</v>
      </c>
      <c r="D1006">
        <f>[5]trip_summary_region!D1006</f>
        <v>180</v>
      </c>
      <c r="E1006">
        <f>[5]trip_summary_region!E1006</f>
        <v>617</v>
      </c>
      <c r="F1006">
        <f>[5]trip_summary_region!F1006</f>
        <v>13.124469397</v>
      </c>
      <c r="G1006">
        <f>[5]trip_summary_region!G1006</f>
        <v>9.3761854544999998</v>
      </c>
      <c r="H1006">
        <f>[5]trip_summary_region!H1006</f>
        <v>2.3652563046999999</v>
      </c>
      <c r="I1006" t="str">
        <f>[5]trip_summary_region!I1006</f>
        <v>Pedestrian</v>
      </c>
      <c r="J1006" t="str">
        <f>[5]trip_summary_region!J1006</f>
        <v>2027/28</v>
      </c>
    </row>
    <row r="1007" spans="1:10" x14ac:dyDescent="0.2">
      <c r="A1007" t="str">
        <f>[5]trip_summary_region!A1007</f>
        <v>15 SOUTHLAND</v>
      </c>
      <c r="B1007">
        <f>[5]trip_summary_region!B1007</f>
        <v>0</v>
      </c>
      <c r="C1007">
        <f>[5]trip_summary_region!C1007</f>
        <v>2033</v>
      </c>
      <c r="D1007">
        <f>[5]trip_summary_region!D1007</f>
        <v>180</v>
      </c>
      <c r="E1007">
        <f>[5]trip_summary_region!E1007</f>
        <v>617</v>
      </c>
      <c r="F1007">
        <f>[5]trip_summary_region!F1007</f>
        <v>13.147560262000001</v>
      </c>
      <c r="G1007">
        <f>[5]trip_summary_region!G1007</f>
        <v>9.3743542585000004</v>
      </c>
      <c r="H1007">
        <f>[5]trip_summary_region!H1007</f>
        <v>2.3688236627000001</v>
      </c>
      <c r="I1007" t="str">
        <f>[5]trip_summary_region!I1007</f>
        <v>Pedestrian</v>
      </c>
      <c r="J1007" t="str">
        <f>[5]trip_summary_region!J1007</f>
        <v>2032/33</v>
      </c>
    </row>
    <row r="1008" spans="1:10" x14ac:dyDescent="0.2">
      <c r="A1008" t="str">
        <f>[5]trip_summary_region!A1008</f>
        <v>15 SOUTHLAND</v>
      </c>
      <c r="B1008">
        <f>[5]trip_summary_region!B1008</f>
        <v>0</v>
      </c>
      <c r="C1008">
        <f>[5]trip_summary_region!C1008</f>
        <v>2038</v>
      </c>
      <c r="D1008">
        <f>[5]trip_summary_region!D1008</f>
        <v>180</v>
      </c>
      <c r="E1008">
        <f>[5]trip_summary_region!E1008</f>
        <v>617</v>
      </c>
      <c r="F1008">
        <f>[5]trip_summary_region!F1008</f>
        <v>13.02233861</v>
      </c>
      <c r="G1008">
        <f>[5]trip_summary_region!G1008</f>
        <v>9.3616090568000008</v>
      </c>
      <c r="H1008">
        <f>[5]trip_summary_region!H1008</f>
        <v>2.3568019641000002</v>
      </c>
      <c r="I1008" t="str">
        <f>[5]trip_summary_region!I1008</f>
        <v>Pedestrian</v>
      </c>
      <c r="J1008" t="str">
        <f>[5]trip_summary_region!J1008</f>
        <v>2037/38</v>
      </c>
    </row>
    <row r="1009" spans="1:10" x14ac:dyDescent="0.2">
      <c r="A1009" t="str">
        <f>[5]trip_summary_region!A1009</f>
        <v>15 SOUTHLAND</v>
      </c>
      <c r="B1009">
        <f>[5]trip_summary_region!B1009</f>
        <v>0</v>
      </c>
      <c r="C1009">
        <f>[5]trip_summary_region!C1009</f>
        <v>2043</v>
      </c>
      <c r="D1009">
        <f>[5]trip_summary_region!D1009</f>
        <v>180</v>
      </c>
      <c r="E1009">
        <f>[5]trip_summary_region!E1009</f>
        <v>617</v>
      </c>
      <c r="F1009">
        <f>[5]trip_summary_region!F1009</f>
        <v>12.819824722</v>
      </c>
      <c r="G1009">
        <f>[5]trip_summary_region!G1009</f>
        <v>9.2714577141000003</v>
      </c>
      <c r="H1009">
        <f>[5]trip_summary_region!H1009</f>
        <v>2.3254653783000001</v>
      </c>
      <c r="I1009" t="str">
        <f>[5]trip_summary_region!I1009</f>
        <v>Pedestrian</v>
      </c>
      <c r="J1009" t="str">
        <f>[5]trip_summary_region!J1009</f>
        <v>2042/43</v>
      </c>
    </row>
    <row r="1010" spans="1:10" x14ac:dyDescent="0.2">
      <c r="A1010" t="str">
        <f>[5]trip_summary_region!A1010</f>
        <v>15 SOUTHLAND</v>
      </c>
      <c r="B1010">
        <f>[5]trip_summary_region!B1010</f>
        <v>1</v>
      </c>
      <c r="C1010">
        <f>[5]trip_summary_region!C1010</f>
        <v>2013</v>
      </c>
      <c r="D1010">
        <f>[5]trip_summary_region!D1010</f>
        <v>19</v>
      </c>
      <c r="E1010">
        <f>[5]trip_summary_region!E1010</f>
        <v>72</v>
      </c>
      <c r="F1010">
        <f>[5]trip_summary_region!F1010</f>
        <v>1.0312878256</v>
      </c>
      <c r="G1010">
        <f>[5]trip_summary_region!G1010</f>
        <v>7.5402861329000004</v>
      </c>
      <c r="H1010">
        <f>[5]trip_summary_region!H1010</f>
        <v>0.50294231479999996</v>
      </c>
      <c r="I1010" t="str">
        <f>[5]trip_summary_region!I1010</f>
        <v>Cyclist</v>
      </c>
      <c r="J1010" t="str">
        <f>[5]trip_summary_region!J1010</f>
        <v>2012/13</v>
      </c>
    </row>
    <row r="1011" spans="1:10" x14ac:dyDescent="0.2">
      <c r="A1011" t="str">
        <f>[5]trip_summary_region!A1011</f>
        <v>15 SOUTHLAND</v>
      </c>
      <c r="B1011">
        <f>[5]trip_summary_region!B1011</f>
        <v>1</v>
      </c>
      <c r="C1011">
        <f>[5]trip_summary_region!C1011</f>
        <v>2018</v>
      </c>
      <c r="D1011">
        <f>[5]trip_summary_region!D1011</f>
        <v>19</v>
      </c>
      <c r="E1011">
        <f>[5]trip_summary_region!E1011</f>
        <v>72</v>
      </c>
      <c r="F1011">
        <f>[5]trip_summary_region!F1011</f>
        <v>1.0778693742000001</v>
      </c>
      <c r="G1011">
        <f>[5]trip_summary_region!G1011</f>
        <v>8.3561988314000004</v>
      </c>
      <c r="H1011">
        <f>[5]trip_summary_region!H1011</f>
        <v>0.54808515440000005</v>
      </c>
      <c r="I1011" t="str">
        <f>[5]trip_summary_region!I1011</f>
        <v>Cyclist</v>
      </c>
      <c r="J1011" t="str">
        <f>[5]trip_summary_region!J1011</f>
        <v>2017/18</v>
      </c>
    </row>
    <row r="1012" spans="1:10" x14ac:dyDescent="0.2">
      <c r="A1012" t="str">
        <f>[5]trip_summary_region!A1012</f>
        <v>15 SOUTHLAND</v>
      </c>
      <c r="B1012">
        <f>[5]trip_summary_region!B1012</f>
        <v>1</v>
      </c>
      <c r="C1012">
        <f>[5]trip_summary_region!C1012</f>
        <v>2023</v>
      </c>
      <c r="D1012">
        <f>[5]trip_summary_region!D1012</f>
        <v>19</v>
      </c>
      <c r="E1012">
        <f>[5]trip_summary_region!E1012</f>
        <v>72</v>
      </c>
      <c r="F1012">
        <f>[5]trip_summary_region!F1012</f>
        <v>1.0779283877000001</v>
      </c>
      <c r="G1012">
        <f>[5]trip_summary_region!G1012</f>
        <v>8.5714201772000003</v>
      </c>
      <c r="H1012">
        <f>[5]trip_summary_region!H1012</f>
        <v>0.56052972710000004</v>
      </c>
      <c r="I1012" t="str">
        <f>[5]trip_summary_region!I1012</f>
        <v>Cyclist</v>
      </c>
      <c r="J1012" t="str">
        <f>[5]trip_summary_region!J1012</f>
        <v>2022/23</v>
      </c>
    </row>
    <row r="1013" spans="1:10" x14ac:dyDescent="0.2">
      <c r="A1013" t="str">
        <f>[5]trip_summary_region!A1013</f>
        <v>15 SOUTHLAND</v>
      </c>
      <c r="B1013">
        <f>[5]trip_summary_region!B1013</f>
        <v>1</v>
      </c>
      <c r="C1013">
        <f>[5]trip_summary_region!C1013</f>
        <v>2028</v>
      </c>
      <c r="D1013">
        <f>[5]trip_summary_region!D1013</f>
        <v>19</v>
      </c>
      <c r="E1013">
        <f>[5]trip_summary_region!E1013</f>
        <v>72</v>
      </c>
      <c r="F1013">
        <f>[5]trip_summary_region!F1013</f>
        <v>1.079707594</v>
      </c>
      <c r="G1013">
        <f>[5]trip_summary_region!G1013</f>
        <v>8.2099335884000002</v>
      </c>
      <c r="H1013">
        <f>[5]trip_summary_region!H1013</f>
        <v>0.5441730709</v>
      </c>
      <c r="I1013" t="str">
        <f>[5]trip_summary_region!I1013</f>
        <v>Cyclist</v>
      </c>
      <c r="J1013" t="str">
        <f>[5]trip_summary_region!J1013</f>
        <v>2027/28</v>
      </c>
    </row>
    <row r="1014" spans="1:10" x14ac:dyDescent="0.2">
      <c r="A1014" t="str">
        <f>[5]trip_summary_region!A1014</f>
        <v>15 SOUTHLAND</v>
      </c>
      <c r="B1014">
        <f>[5]trip_summary_region!B1014</f>
        <v>1</v>
      </c>
      <c r="C1014">
        <f>[5]trip_summary_region!C1014</f>
        <v>2033</v>
      </c>
      <c r="D1014">
        <f>[5]trip_summary_region!D1014</f>
        <v>19</v>
      </c>
      <c r="E1014">
        <f>[5]trip_summary_region!E1014</f>
        <v>72</v>
      </c>
      <c r="F1014">
        <f>[5]trip_summary_region!F1014</f>
        <v>1.0854158451</v>
      </c>
      <c r="G1014">
        <f>[5]trip_summary_region!G1014</f>
        <v>8.0006895006000001</v>
      </c>
      <c r="H1014">
        <f>[5]trip_summary_region!H1014</f>
        <v>0.53186193349999999</v>
      </c>
      <c r="I1014" t="str">
        <f>[5]trip_summary_region!I1014</f>
        <v>Cyclist</v>
      </c>
      <c r="J1014" t="str">
        <f>[5]trip_summary_region!J1014</f>
        <v>2032/33</v>
      </c>
    </row>
    <row r="1015" spans="1:10" x14ac:dyDescent="0.2">
      <c r="A1015" t="str">
        <f>[5]trip_summary_region!A1015</f>
        <v>15 SOUTHLAND</v>
      </c>
      <c r="B1015">
        <f>[5]trip_summary_region!B1015</f>
        <v>1</v>
      </c>
      <c r="C1015">
        <f>[5]trip_summary_region!C1015</f>
        <v>2038</v>
      </c>
      <c r="D1015">
        <f>[5]trip_summary_region!D1015</f>
        <v>19</v>
      </c>
      <c r="E1015">
        <f>[5]trip_summary_region!E1015</f>
        <v>72</v>
      </c>
      <c r="F1015">
        <f>[5]trip_summary_region!F1015</f>
        <v>1.0426914031000001</v>
      </c>
      <c r="G1015">
        <f>[5]trip_summary_region!G1015</f>
        <v>7.8807868372999996</v>
      </c>
      <c r="H1015">
        <f>[5]trip_summary_region!H1015</f>
        <v>0.51604387309999999</v>
      </c>
      <c r="I1015" t="str">
        <f>[5]trip_summary_region!I1015</f>
        <v>Cyclist</v>
      </c>
      <c r="J1015" t="str">
        <f>[5]trip_summary_region!J1015</f>
        <v>2037/38</v>
      </c>
    </row>
    <row r="1016" spans="1:10" x14ac:dyDescent="0.2">
      <c r="A1016" t="str">
        <f>[5]trip_summary_region!A1016</f>
        <v>15 SOUTHLAND</v>
      </c>
      <c r="B1016">
        <f>[5]trip_summary_region!B1016</f>
        <v>1</v>
      </c>
      <c r="C1016">
        <f>[5]trip_summary_region!C1016</f>
        <v>2043</v>
      </c>
      <c r="D1016">
        <f>[5]trip_summary_region!D1016</f>
        <v>19</v>
      </c>
      <c r="E1016">
        <f>[5]trip_summary_region!E1016</f>
        <v>72</v>
      </c>
      <c r="F1016">
        <f>[5]trip_summary_region!F1016</f>
        <v>0.99337122639999997</v>
      </c>
      <c r="G1016">
        <f>[5]trip_summary_region!G1016</f>
        <v>7.7117394051000003</v>
      </c>
      <c r="H1016">
        <f>[5]trip_summary_region!H1016</f>
        <v>0.49769841500000001</v>
      </c>
      <c r="I1016" t="str">
        <f>[5]trip_summary_region!I1016</f>
        <v>Cyclist</v>
      </c>
      <c r="J1016" t="str">
        <f>[5]trip_summary_region!J1016</f>
        <v>2042/43</v>
      </c>
    </row>
    <row r="1017" spans="1:10" x14ac:dyDescent="0.2">
      <c r="A1017" t="str">
        <f>[5]trip_summary_region!A1017</f>
        <v>15 SOUTHLAND</v>
      </c>
      <c r="B1017">
        <f>[5]trip_summary_region!B1017</f>
        <v>2</v>
      </c>
      <c r="C1017">
        <f>[5]trip_summary_region!C1017</f>
        <v>2013</v>
      </c>
      <c r="D1017">
        <f>[5]trip_summary_region!D1017</f>
        <v>442</v>
      </c>
      <c r="E1017">
        <f>[5]trip_summary_region!E1017</f>
        <v>3080</v>
      </c>
      <c r="F1017">
        <f>[5]trip_summary_region!F1017</f>
        <v>66.981547285000005</v>
      </c>
      <c r="G1017">
        <f>[5]trip_summary_region!G1017</f>
        <v>657.74873722999996</v>
      </c>
      <c r="H1017">
        <f>[5]trip_summary_region!H1017</f>
        <v>14.603785903</v>
      </c>
      <c r="I1017" t="str">
        <f>[5]trip_summary_region!I1017</f>
        <v>Light Vehicle Driver</v>
      </c>
      <c r="J1017" t="str">
        <f>[5]trip_summary_region!J1017</f>
        <v>2012/13</v>
      </c>
    </row>
    <row r="1018" spans="1:10" x14ac:dyDescent="0.2">
      <c r="A1018" t="str">
        <f>[5]trip_summary_region!A1018</f>
        <v>15 SOUTHLAND</v>
      </c>
      <c r="B1018">
        <f>[5]trip_summary_region!B1018</f>
        <v>2</v>
      </c>
      <c r="C1018">
        <f>[5]trip_summary_region!C1018</f>
        <v>2018</v>
      </c>
      <c r="D1018">
        <f>[5]trip_summary_region!D1018</f>
        <v>442</v>
      </c>
      <c r="E1018">
        <f>[5]trip_summary_region!E1018</f>
        <v>3080</v>
      </c>
      <c r="F1018">
        <f>[5]trip_summary_region!F1018</f>
        <v>70.869768739999998</v>
      </c>
      <c r="G1018">
        <f>[5]trip_summary_region!G1018</f>
        <v>716.16525173000002</v>
      </c>
      <c r="H1018">
        <f>[5]trip_summary_region!H1018</f>
        <v>15.764158567999999</v>
      </c>
      <c r="I1018" t="str">
        <f>[5]trip_summary_region!I1018</f>
        <v>Light Vehicle Driver</v>
      </c>
      <c r="J1018" t="str">
        <f>[5]trip_summary_region!J1018</f>
        <v>2017/18</v>
      </c>
    </row>
    <row r="1019" spans="1:10" x14ac:dyDescent="0.2">
      <c r="A1019" t="str">
        <f>[5]trip_summary_region!A1019</f>
        <v>15 SOUTHLAND</v>
      </c>
      <c r="B1019">
        <f>[5]trip_summary_region!B1019</f>
        <v>2</v>
      </c>
      <c r="C1019">
        <f>[5]trip_summary_region!C1019</f>
        <v>2023</v>
      </c>
      <c r="D1019">
        <f>[5]trip_summary_region!D1019</f>
        <v>442</v>
      </c>
      <c r="E1019">
        <f>[5]trip_summary_region!E1019</f>
        <v>3080</v>
      </c>
      <c r="F1019">
        <f>[5]trip_summary_region!F1019</f>
        <v>72.332040285999994</v>
      </c>
      <c r="G1019">
        <f>[5]trip_summary_region!G1019</f>
        <v>749.93360002999998</v>
      </c>
      <c r="H1019">
        <f>[5]trip_summary_region!H1019</f>
        <v>16.367179683</v>
      </c>
      <c r="I1019" t="str">
        <f>[5]trip_summary_region!I1019</f>
        <v>Light Vehicle Driver</v>
      </c>
      <c r="J1019" t="str">
        <f>[5]trip_summary_region!J1019</f>
        <v>2022/23</v>
      </c>
    </row>
    <row r="1020" spans="1:10" x14ac:dyDescent="0.2">
      <c r="A1020" t="str">
        <f>[5]trip_summary_region!A1020</f>
        <v>15 SOUTHLAND</v>
      </c>
      <c r="B1020">
        <f>[5]trip_summary_region!B1020</f>
        <v>2</v>
      </c>
      <c r="C1020">
        <f>[5]trip_summary_region!C1020</f>
        <v>2028</v>
      </c>
      <c r="D1020">
        <f>[5]trip_summary_region!D1020</f>
        <v>442</v>
      </c>
      <c r="E1020">
        <f>[5]trip_summary_region!E1020</f>
        <v>3080</v>
      </c>
      <c r="F1020">
        <f>[5]trip_summary_region!F1020</f>
        <v>72.539831293000006</v>
      </c>
      <c r="G1020">
        <f>[5]trip_summary_region!G1020</f>
        <v>768.89111684</v>
      </c>
      <c r="H1020">
        <f>[5]trip_summary_region!H1020</f>
        <v>16.642924782000001</v>
      </c>
      <c r="I1020" t="str">
        <f>[5]trip_summary_region!I1020</f>
        <v>Light Vehicle Driver</v>
      </c>
      <c r="J1020" t="str">
        <f>[5]trip_summary_region!J1020</f>
        <v>2027/28</v>
      </c>
    </row>
    <row r="1021" spans="1:10" x14ac:dyDescent="0.2">
      <c r="A1021" t="str">
        <f>[5]trip_summary_region!A1021</f>
        <v>15 SOUTHLAND</v>
      </c>
      <c r="B1021">
        <f>[5]trip_summary_region!B1021</f>
        <v>2</v>
      </c>
      <c r="C1021">
        <f>[5]trip_summary_region!C1021</f>
        <v>2033</v>
      </c>
      <c r="D1021">
        <f>[5]trip_summary_region!D1021</f>
        <v>442</v>
      </c>
      <c r="E1021">
        <f>[5]trip_summary_region!E1021</f>
        <v>3080</v>
      </c>
      <c r="F1021">
        <f>[5]trip_summary_region!F1021</f>
        <v>73.162621907000002</v>
      </c>
      <c r="G1021">
        <f>[5]trip_summary_region!G1021</f>
        <v>787.79016984999998</v>
      </c>
      <c r="H1021">
        <f>[5]trip_summary_region!H1021</f>
        <v>16.957569839000001</v>
      </c>
      <c r="I1021" t="str">
        <f>[5]trip_summary_region!I1021</f>
        <v>Light Vehicle Driver</v>
      </c>
      <c r="J1021" t="str">
        <f>[5]trip_summary_region!J1021</f>
        <v>2032/33</v>
      </c>
    </row>
    <row r="1022" spans="1:10" x14ac:dyDescent="0.2">
      <c r="A1022" t="str">
        <f>[5]trip_summary_region!A1022</f>
        <v>15 SOUTHLAND</v>
      </c>
      <c r="B1022">
        <f>[5]trip_summary_region!B1022</f>
        <v>2</v>
      </c>
      <c r="C1022">
        <f>[5]trip_summary_region!C1022</f>
        <v>2038</v>
      </c>
      <c r="D1022">
        <f>[5]trip_summary_region!D1022</f>
        <v>442</v>
      </c>
      <c r="E1022">
        <f>[5]trip_summary_region!E1022</f>
        <v>3080</v>
      </c>
      <c r="F1022">
        <f>[5]trip_summary_region!F1022</f>
        <v>73.322096023</v>
      </c>
      <c r="G1022">
        <f>[5]trip_summary_region!G1022</f>
        <v>799.87898043999996</v>
      </c>
      <c r="H1022">
        <f>[5]trip_summary_region!H1022</f>
        <v>17.159267236000002</v>
      </c>
      <c r="I1022" t="str">
        <f>[5]trip_summary_region!I1022</f>
        <v>Light Vehicle Driver</v>
      </c>
      <c r="J1022" t="str">
        <f>[5]trip_summary_region!J1022</f>
        <v>2037/38</v>
      </c>
    </row>
    <row r="1023" spans="1:10" x14ac:dyDescent="0.2">
      <c r="A1023" t="str">
        <f>[5]trip_summary_region!A1023</f>
        <v>15 SOUTHLAND</v>
      </c>
      <c r="B1023">
        <f>[5]trip_summary_region!B1023</f>
        <v>2</v>
      </c>
      <c r="C1023">
        <f>[5]trip_summary_region!C1023</f>
        <v>2043</v>
      </c>
      <c r="D1023">
        <f>[5]trip_summary_region!D1023</f>
        <v>442</v>
      </c>
      <c r="E1023">
        <f>[5]trip_summary_region!E1023</f>
        <v>3080</v>
      </c>
      <c r="F1023">
        <f>[5]trip_summary_region!F1023</f>
        <v>73.318307434999994</v>
      </c>
      <c r="G1023">
        <f>[5]trip_summary_region!G1023</f>
        <v>810.76458399000001</v>
      </c>
      <c r="H1023">
        <f>[5]trip_summary_region!H1023</f>
        <v>17.322447091000001</v>
      </c>
      <c r="I1023" t="str">
        <f>[5]trip_summary_region!I1023</f>
        <v>Light Vehicle Driver</v>
      </c>
      <c r="J1023" t="str">
        <f>[5]trip_summary_region!J1023</f>
        <v>2042/43</v>
      </c>
    </row>
    <row r="1024" spans="1:10" x14ac:dyDescent="0.2">
      <c r="A1024" t="str">
        <f>[5]trip_summary_region!A1024</f>
        <v>15 SOUTHLAND</v>
      </c>
      <c r="B1024">
        <f>[5]trip_summary_region!B1024</f>
        <v>3</v>
      </c>
      <c r="C1024">
        <f>[5]trip_summary_region!C1024</f>
        <v>2013</v>
      </c>
      <c r="D1024">
        <f>[5]trip_summary_region!D1024</f>
        <v>289</v>
      </c>
      <c r="E1024">
        <f>[5]trip_summary_region!E1024</f>
        <v>1411</v>
      </c>
      <c r="F1024">
        <f>[5]trip_summary_region!F1024</f>
        <v>28.419434702</v>
      </c>
      <c r="G1024">
        <f>[5]trip_summary_region!G1024</f>
        <v>380.70733008000002</v>
      </c>
      <c r="H1024">
        <f>[5]trip_summary_region!H1024</f>
        <v>7.5859087797999996</v>
      </c>
      <c r="I1024" t="str">
        <f>[5]trip_summary_region!I1024</f>
        <v>Light Vehicle Passenger</v>
      </c>
      <c r="J1024" t="str">
        <f>[5]trip_summary_region!J1024</f>
        <v>2012/13</v>
      </c>
    </row>
    <row r="1025" spans="1:10" x14ac:dyDescent="0.2">
      <c r="A1025" t="str">
        <f>[5]trip_summary_region!A1025</f>
        <v>15 SOUTHLAND</v>
      </c>
      <c r="B1025">
        <f>[5]trip_summary_region!B1025</f>
        <v>3</v>
      </c>
      <c r="C1025">
        <f>[5]trip_summary_region!C1025</f>
        <v>2018</v>
      </c>
      <c r="D1025">
        <f>[5]trip_summary_region!D1025</f>
        <v>289</v>
      </c>
      <c r="E1025">
        <f>[5]trip_summary_region!E1025</f>
        <v>1411</v>
      </c>
      <c r="F1025">
        <f>[5]trip_summary_region!F1025</f>
        <v>27.631413936000001</v>
      </c>
      <c r="G1025">
        <f>[5]trip_summary_region!G1025</f>
        <v>394.79115058999997</v>
      </c>
      <c r="H1025">
        <f>[5]trip_summary_region!H1025</f>
        <v>7.7101972741999996</v>
      </c>
      <c r="I1025" t="str">
        <f>[5]trip_summary_region!I1025</f>
        <v>Light Vehicle Passenger</v>
      </c>
      <c r="J1025" t="str">
        <f>[5]trip_summary_region!J1025</f>
        <v>2017/18</v>
      </c>
    </row>
    <row r="1026" spans="1:10" x14ac:dyDescent="0.2">
      <c r="A1026" t="str">
        <f>[5]trip_summary_region!A1026</f>
        <v>15 SOUTHLAND</v>
      </c>
      <c r="B1026">
        <f>[5]trip_summary_region!B1026</f>
        <v>3</v>
      </c>
      <c r="C1026">
        <f>[5]trip_summary_region!C1026</f>
        <v>2023</v>
      </c>
      <c r="D1026">
        <f>[5]trip_summary_region!D1026</f>
        <v>289</v>
      </c>
      <c r="E1026">
        <f>[5]trip_summary_region!E1026</f>
        <v>1411</v>
      </c>
      <c r="F1026">
        <f>[5]trip_summary_region!F1026</f>
        <v>26.787203116000001</v>
      </c>
      <c r="G1026">
        <f>[5]trip_summary_region!G1026</f>
        <v>404.69506409000002</v>
      </c>
      <c r="H1026">
        <f>[5]trip_summary_region!H1026</f>
        <v>7.7882716501999996</v>
      </c>
      <c r="I1026" t="str">
        <f>[5]trip_summary_region!I1026</f>
        <v>Light Vehicle Passenger</v>
      </c>
      <c r="J1026" t="str">
        <f>[5]trip_summary_region!J1026</f>
        <v>2022/23</v>
      </c>
    </row>
    <row r="1027" spans="1:10" x14ac:dyDescent="0.2">
      <c r="A1027" t="str">
        <f>[5]trip_summary_region!A1027</f>
        <v>15 SOUTHLAND</v>
      </c>
      <c r="B1027">
        <f>[5]trip_summary_region!B1027</f>
        <v>3</v>
      </c>
      <c r="C1027">
        <f>[5]trip_summary_region!C1027</f>
        <v>2028</v>
      </c>
      <c r="D1027">
        <f>[5]trip_summary_region!D1027</f>
        <v>289</v>
      </c>
      <c r="E1027">
        <f>[5]trip_summary_region!E1027</f>
        <v>1411</v>
      </c>
      <c r="F1027">
        <f>[5]trip_summary_region!F1027</f>
        <v>26.096847983</v>
      </c>
      <c r="G1027">
        <f>[5]trip_summary_region!G1027</f>
        <v>409.98662594000001</v>
      </c>
      <c r="H1027">
        <f>[5]trip_summary_region!H1027</f>
        <v>7.8350579275000003</v>
      </c>
      <c r="I1027" t="str">
        <f>[5]trip_summary_region!I1027</f>
        <v>Light Vehicle Passenger</v>
      </c>
      <c r="J1027" t="str">
        <f>[5]trip_summary_region!J1027</f>
        <v>2027/28</v>
      </c>
    </row>
    <row r="1028" spans="1:10" x14ac:dyDescent="0.2">
      <c r="A1028" t="str">
        <f>[5]trip_summary_region!A1028</f>
        <v>15 SOUTHLAND</v>
      </c>
      <c r="B1028">
        <f>[5]trip_summary_region!B1028</f>
        <v>3</v>
      </c>
      <c r="C1028">
        <f>[5]trip_summary_region!C1028</f>
        <v>2033</v>
      </c>
      <c r="D1028">
        <f>[5]trip_summary_region!D1028</f>
        <v>289</v>
      </c>
      <c r="E1028">
        <f>[5]trip_summary_region!E1028</f>
        <v>1411</v>
      </c>
      <c r="F1028">
        <f>[5]trip_summary_region!F1028</f>
        <v>25.351993895</v>
      </c>
      <c r="G1028">
        <f>[5]trip_summary_region!G1028</f>
        <v>409.75458447</v>
      </c>
      <c r="H1028">
        <f>[5]trip_summary_region!H1028</f>
        <v>7.8042094655999996</v>
      </c>
      <c r="I1028" t="str">
        <f>[5]trip_summary_region!I1028</f>
        <v>Light Vehicle Passenger</v>
      </c>
      <c r="J1028" t="str">
        <f>[5]trip_summary_region!J1028</f>
        <v>2032/33</v>
      </c>
    </row>
    <row r="1029" spans="1:10" x14ac:dyDescent="0.2">
      <c r="A1029" t="str">
        <f>[5]trip_summary_region!A1029</f>
        <v>15 SOUTHLAND</v>
      </c>
      <c r="B1029">
        <f>[5]trip_summary_region!B1029</f>
        <v>3</v>
      </c>
      <c r="C1029">
        <f>[5]trip_summary_region!C1029</f>
        <v>2038</v>
      </c>
      <c r="D1029">
        <f>[5]trip_summary_region!D1029</f>
        <v>289</v>
      </c>
      <c r="E1029">
        <f>[5]trip_summary_region!E1029</f>
        <v>1411</v>
      </c>
      <c r="F1029">
        <f>[5]trip_summary_region!F1029</f>
        <v>24.526253276999999</v>
      </c>
      <c r="G1029">
        <f>[5]trip_summary_region!G1029</f>
        <v>405.28527001999998</v>
      </c>
      <c r="H1029">
        <f>[5]trip_summary_region!H1029</f>
        <v>7.6980202857000002</v>
      </c>
      <c r="I1029" t="str">
        <f>[5]trip_summary_region!I1029</f>
        <v>Light Vehicle Passenger</v>
      </c>
      <c r="J1029" t="str">
        <f>[5]trip_summary_region!J1029</f>
        <v>2037/38</v>
      </c>
    </row>
    <row r="1030" spans="1:10" x14ac:dyDescent="0.2">
      <c r="A1030" t="str">
        <f>[5]trip_summary_region!A1030</f>
        <v>15 SOUTHLAND</v>
      </c>
      <c r="B1030">
        <f>[5]trip_summary_region!B1030</f>
        <v>3</v>
      </c>
      <c r="C1030">
        <f>[5]trip_summary_region!C1030</f>
        <v>2043</v>
      </c>
      <c r="D1030">
        <f>[5]trip_summary_region!D1030</f>
        <v>289</v>
      </c>
      <c r="E1030">
        <f>[5]trip_summary_region!E1030</f>
        <v>1411</v>
      </c>
      <c r="F1030">
        <f>[5]trip_summary_region!F1030</f>
        <v>23.57958614</v>
      </c>
      <c r="G1030">
        <f>[5]trip_summary_region!G1030</f>
        <v>397.95287323000002</v>
      </c>
      <c r="H1030">
        <f>[5]trip_summary_region!H1030</f>
        <v>7.5395165228999996</v>
      </c>
      <c r="I1030" t="str">
        <f>[5]trip_summary_region!I1030</f>
        <v>Light Vehicle Passenger</v>
      </c>
      <c r="J1030" t="str">
        <f>[5]trip_summary_region!J1030</f>
        <v>2042/43</v>
      </c>
    </row>
    <row r="1031" spans="1:10" x14ac:dyDescent="0.2">
      <c r="A1031" t="str">
        <f>[5]trip_summary_region!A1031</f>
        <v>15 SOUTHLAND</v>
      </c>
      <c r="B1031">
        <f>[5]trip_summary_region!B1031</f>
        <v>4</v>
      </c>
      <c r="C1031">
        <f>[5]trip_summary_region!C1031</f>
        <v>2013</v>
      </c>
      <c r="D1031">
        <f>[5]trip_summary_region!D1031</f>
        <v>4</v>
      </c>
      <c r="E1031">
        <f>[5]trip_summary_region!E1031</f>
        <v>15</v>
      </c>
      <c r="F1031">
        <f>[5]trip_summary_region!F1031</f>
        <v>0.47613164409999997</v>
      </c>
      <c r="G1031">
        <f>[5]trip_summary_region!G1031</f>
        <v>1.2430116738999999</v>
      </c>
      <c r="H1031">
        <f>[5]trip_summary_region!H1031</f>
        <v>6.6688903300000005E-2</v>
      </c>
      <c r="I1031" t="s">
        <v>116</v>
      </c>
      <c r="J1031" t="str">
        <f>[5]trip_summary_region!J1031</f>
        <v>2012/13</v>
      </c>
    </row>
    <row r="1032" spans="1:10" x14ac:dyDescent="0.2">
      <c r="A1032" t="str">
        <f>[5]trip_summary_region!A1032</f>
        <v>15 SOUTHLAND</v>
      </c>
      <c r="B1032">
        <f>[5]trip_summary_region!B1032</f>
        <v>4</v>
      </c>
      <c r="C1032">
        <f>[5]trip_summary_region!C1032</f>
        <v>2018</v>
      </c>
      <c r="D1032">
        <f>[5]trip_summary_region!D1032</f>
        <v>4</v>
      </c>
      <c r="E1032">
        <f>[5]trip_summary_region!E1032</f>
        <v>15</v>
      </c>
      <c r="F1032">
        <f>[5]trip_summary_region!F1032</f>
        <v>0.51869747359999996</v>
      </c>
      <c r="G1032">
        <f>[5]trip_summary_region!G1032</f>
        <v>1.4584611878</v>
      </c>
      <c r="H1032">
        <f>[5]trip_summary_region!H1032</f>
        <v>7.6673302499999998E-2</v>
      </c>
      <c r="I1032" t="s">
        <v>116</v>
      </c>
      <c r="J1032" t="str">
        <f>[5]trip_summary_region!J1032</f>
        <v>2017/18</v>
      </c>
    </row>
    <row r="1033" spans="1:10" x14ac:dyDescent="0.2">
      <c r="A1033" t="str">
        <f>[5]trip_summary_region!A1033</f>
        <v>15 SOUTHLAND</v>
      </c>
      <c r="B1033">
        <f>[5]trip_summary_region!B1033</f>
        <v>4</v>
      </c>
      <c r="C1033">
        <f>[5]trip_summary_region!C1033</f>
        <v>2023</v>
      </c>
      <c r="D1033">
        <f>[5]trip_summary_region!D1033</f>
        <v>4</v>
      </c>
      <c r="E1033">
        <f>[5]trip_summary_region!E1033</f>
        <v>15</v>
      </c>
      <c r="F1033">
        <f>[5]trip_summary_region!F1033</f>
        <v>0.55092188689999999</v>
      </c>
      <c r="G1033">
        <f>[5]trip_summary_region!G1033</f>
        <v>1.6150494734</v>
      </c>
      <c r="H1033">
        <f>[5]trip_summary_region!H1033</f>
        <v>8.3946531000000005E-2</v>
      </c>
      <c r="I1033" t="s">
        <v>116</v>
      </c>
      <c r="J1033" t="str">
        <f>[5]trip_summary_region!J1033</f>
        <v>2022/23</v>
      </c>
    </row>
    <row r="1034" spans="1:10" x14ac:dyDescent="0.2">
      <c r="A1034" t="str">
        <f>[5]trip_summary_region!A1034</f>
        <v>15 SOUTHLAND</v>
      </c>
      <c r="B1034">
        <f>[5]trip_summary_region!B1034</f>
        <v>4</v>
      </c>
      <c r="C1034">
        <f>[5]trip_summary_region!C1034</f>
        <v>2028</v>
      </c>
      <c r="D1034">
        <f>[5]trip_summary_region!D1034</f>
        <v>4</v>
      </c>
      <c r="E1034">
        <f>[5]trip_summary_region!E1034</f>
        <v>15</v>
      </c>
      <c r="F1034">
        <f>[5]trip_summary_region!F1034</f>
        <v>0.56322286060000004</v>
      </c>
      <c r="G1034">
        <f>[5]trip_summary_region!G1034</f>
        <v>1.6778092978000001</v>
      </c>
      <c r="H1034">
        <f>[5]trip_summary_region!H1034</f>
        <v>8.6789243399999993E-2</v>
      </c>
      <c r="I1034" t="s">
        <v>116</v>
      </c>
      <c r="J1034" t="str">
        <f>[5]trip_summary_region!J1034</f>
        <v>2027/28</v>
      </c>
    </row>
    <row r="1035" spans="1:10" x14ac:dyDescent="0.2">
      <c r="A1035" t="str">
        <f>[5]trip_summary_region!A1035</f>
        <v>15 SOUTHLAND</v>
      </c>
      <c r="B1035">
        <f>[5]trip_summary_region!B1035</f>
        <v>4</v>
      </c>
      <c r="C1035">
        <f>[5]trip_summary_region!C1035</f>
        <v>2033</v>
      </c>
      <c r="D1035">
        <f>[5]trip_summary_region!D1035</f>
        <v>4</v>
      </c>
      <c r="E1035">
        <f>[5]trip_summary_region!E1035</f>
        <v>15</v>
      </c>
      <c r="F1035">
        <f>[5]trip_summary_region!F1035</f>
        <v>0.57521784539999998</v>
      </c>
      <c r="G1035">
        <f>[5]trip_summary_region!G1035</f>
        <v>1.7116579802</v>
      </c>
      <c r="H1035">
        <f>[5]trip_summary_region!H1035</f>
        <v>8.84954253E-2</v>
      </c>
      <c r="I1035" t="s">
        <v>116</v>
      </c>
      <c r="J1035" t="str">
        <f>[5]trip_summary_region!J1035</f>
        <v>2032/33</v>
      </c>
    </row>
    <row r="1036" spans="1:10" x14ac:dyDescent="0.2">
      <c r="A1036" t="str">
        <f>[5]trip_summary_region!A1036</f>
        <v>15 SOUTHLAND</v>
      </c>
      <c r="B1036">
        <f>[5]trip_summary_region!B1036</f>
        <v>4</v>
      </c>
      <c r="C1036">
        <f>[5]trip_summary_region!C1036</f>
        <v>2038</v>
      </c>
      <c r="D1036">
        <f>[5]trip_summary_region!D1036</f>
        <v>4</v>
      </c>
      <c r="E1036">
        <f>[5]trip_summary_region!E1036</f>
        <v>15</v>
      </c>
      <c r="F1036">
        <f>[5]trip_summary_region!F1036</f>
        <v>0.5755003957</v>
      </c>
      <c r="G1036">
        <f>[5]trip_summary_region!G1036</f>
        <v>1.7070032287000001</v>
      </c>
      <c r="H1036">
        <f>[5]trip_summary_region!H1036</f>
        <v>8.8267494799999999E-2</v>
      </c>
      <c r="I1036" t="s">
        <v>116</v>
      </c>
      <c r="J1036" t="str">
        <f>[5]trip_summary_region!J1036</f>
        <v>2037/38</v>
      </c>
    </row>
    <row r="1037" spans="1:10" x14ac:dyDescent="0.2">
      <c r="A1037" t="str">
        <f>[5]trip_summary_region!A1037</f>
        <v>15 SOUTHLAND</v>
      </c>
      <c r="B1037">
        <f>[5]trip_summary_region!B1037</f>
        <v>4</v>
      </c>
      <c r="C1037">
        <f>[5]trip_summary_region!C1037</f>
        <v>2043</v>
      </c>
      <c r="D1037">
        <f>[5]trip_summary_region!D1037</f>
        <v>4</v>
      </c>
      <c r="E1037">
        <f>[5]trip_summary_region!E1037</f>
        <v>15</v>
      </c>
      <c r="F1037">
        <f>[5]trip_summary_region!F1037</f>
        <v>0.57408327729999997</v>
      </c>
      <c r="G1037">
        <f>[5]trip_summary_region!G1037</f>
        <v>1.6950931744</v>
      </c>
      <c r="H1037">
        <f>[5]trip_summary_region!H1037</f>
        <v>8.7698902100000004E-2</v>
      </c>
      <c r="I1037" t="s">
        <v>116</v>
      </c>
      <c r="J1037" t="str">
        <f>[5]trip_summary_region!J1037</f>
        <v>2042/43</v>
      </c>
    </row>
    <row r="1038" spans="1:10" x14ac:dyDescent="0.2">
      <c r="A1038" t="str">
        <f>[5]trip_summary_region!A1038</f>
        <v>15 SOUTHLAND</v>
      </c>
      <c r="B1038">
        <f>[5]trip_summary_region!B1038</f>
        <v>5</v>
      </c>
      <c r="C1038">
        <f>[5]trip_summary_region!C1038</f>
        <v>2013</v>
      </c>
      <c r="D1038">
        <f>[5]trip_summary_region!D1038</f>
        <v>8</v>
      </c>
      <c r="E1038">
        <f>[5]trip_summary_region!E1038</f>
        <v>32</v>
      </c>
      <c r="F1038">
        <f>[5]trip_summary_region!F1038</f>
        <v>0.62652592730000001</v>
      </c>
      <c r="G1038">
        <f>[5]trip_summary_region!G1038</f>
        <v>18.926640866</v>
      </c>
      <c r="H1038">
        <f>[5]trip_summary_region!H1038</f>
        <v>0.2609239458</v>
      </c>
      <c r="I1038" t="str">
        <f>[5]trip_summary_region!I1038</f>
        <v>Motorcyclist</v>
      </c>
      <c r="J1038" t="str">
        <f>[5]trip_summary_region!J1038</f>
        <v>2012/13</v>
      </c>
    </row>
    <row r="1039" spans="1:10" x14ac:dyDescent="0.2">
      <c r="A1039" t="str">
        <f>[5]trip_summary_region!A1039</f>
        <v>15 SOUTHLAND</v>
      </c>
      <c r="B1039">
        <f>[5]trip_summary_region!B1039</f>
        <v>5</v>
      </c>
      <c r="C1039">
        <f>[5]trip_summary_region!C1039</f>
        <v>2018</v>
      </c>
      <c r="D1039">
        <f>[5]trip_summary_region!D1039</f>
        <v>8</v>
      </c>
      <c r="E1039">
        <f>[5]trip_summary_region!E1039</f>
        <v>32</v>
      </c>
      <c r="F1039">
        <f>[5]trip_summary_region!F1039</f>
        <v>0.72460535829999995</v>
      </c>
      <c r="G1039">
        <f>[5]trip_summary_region!G1039</f>
        <v>24.685326618000001</v>
      </c>
      <c r="H1039">
        <f>[5]trip_summary_region!H1039</f>
        <v>0.33244553160000001</v>
      </c>
      <c r="I1039" t="str">
        <f>[5]trip_summary_region!I1039</f>
        <v>Motorcyclist</v>
      </c>
      <c r="J1039" t="str">
        <f>[5]trip_summary_region!J1039</f>
        <v>2017/18</v>
      </c>
    </row>
    <row r="1040" spans="1:10" x14ac:dyDescent="0.2">
      <c r="A1040" t="str">
        <f>[5]trip_summary_region!A1040</f>
        <v>15 SOUTHLAND</v>
      </c>
      <c r="B1040">
        <f>[5]trip_summary_region!B1040</f>
        <v>5</v>
      </c>
      <c r="C1040">
        <f>[5]trip_summary_region!C1040</f>
        <v>2023</v>
      </c>
      <c r="D1040">
        <f>[5]trip_summary_region!D1040</f>
        <v>8</v>
      </c>
      <c r="E1040">
        <f>[5]trip_summary_region!E1040</f>
        <v>32</v>
      </c>
      <c r="F1040">
        <f>[5]trip_summary_region!F1040</f>
        <v>0.79244962360000004</v>
      </c>
      <c r="G1040">
        <f>[5]trip_summary_region!G1040</f>
        <v>28.950088713</v>
      </c>
      <c r="H1040">
        <f>[5]trip_summary_region!H1040</f>
        <v>0.38517696350000002</v>
      </c>
      <c r="I1040" t="str">
        <f>[5]trip_summary_region!I1040</f>
        <v>Motorcyclist</v>
      </c>
      <c r="J1040" t="str">
        <f>[5]trip_summary_region!J1040</f>
        <v>2022/23</v>
      </c>
    </row>
    <row r="1041" spans="1:10" x14ac:dyDescent="0.2">
      <c r="A1041" t="str">
        <f>[5]trip_summary_region!A1041</f>
        <v>15 SOUTHLAND</v>
      </c>
      <c r="B1041">
        <f>[5]trip_summary_region!B1041</f>
        <v>5</v>
      </c>
      <c r="C1041">
        <f>[5]trip_summary_region!C1041</f>
        <v>2028</v>
      </c>
      <c r="D1041">
        <f>[5]trip_summary_region!D1041</f>
        <v>8</v>
      </c>
      <c r="E1041">
        <f>[5]trip_summary_region!E1041</f>
        <v>32</v>
      </c>
      <c r="F1041">
        <f>[5]trip_summary_region!F1041</f>
        <v>0.81552316979999995</v>
      </c>
      <c r="G1041">
        <f>[5]trip_summary_region!G1041</f>
        <v>30.930959166000001</v>
      </c>
      <c r="H1041">
        <f>[5]trip_summary_region!H1041</f>
        <v>0.40892927750000002</v>
      </c>
      <c r="I1041" t="str">
        <f>[5]trip_summary_region!I1041</f>
        <v>Motorcyclist</v>
      </c>
      <c r="J1041" t="str">
        <f>[5]trip_summary_region!J1041</f>
        <v>2027/28</v>
      </c>
    </row>
    <row r="1042" spans="1:10" x14ac:dyDescent="0.2">
      <c r="A1042" t="str">
        <f>[5]trip_summary_region!A1042</f>
        <v>15 SOUTHLAND</v>
      </c>
      <c r="B1042">
        <f>[5]trip_summary_region!B1042</f>
        <v>5</v>
      </c>
      <c r="C1042">
        <f>[5]trip_summary_region!C1042</f>
        <v>2033</v>
      </c>
      <c r="D1042">
        <f>[5]trip_summary_region!D1042</f>
        <v>8</v>
      </c>
      <c r="E1042">
        <f>[5]trip_summary_region!E1042</f>
        <v>32</v>
      </c>
      <c r="F1042">
        <f>[5]trip_summary_region!F1042</f>
        <v>0.81177587600000001</v>
      </c>
      <c r="G1042">
        <f>[5]trip_summary_region!G1042</f>
        <v>31.670173677000001</v>
      </c>
      <c r="H1042">
        <f>[5]trip_summary_region!H1042</f>
        <v>0.4167848938</v>
      </c>
      <c r="I1042" t="str">
        <f>[5]trip_summary_region!I1042</f>
        <v>Motorcyclist</v>
      </c>
      <c r="J1042" t="str">
        <f>[5]trip_summary_region!J1042</f>
        <v>2032/33</v>
      </c>
    </row>
    <row r="1043" spans="1:10" x14ac:dyDescent="0.2">
      <c r="A1043" t="str">
        <f>[5]trip_summary_region!A1043</f>
        <v>15 SOUTHLAND</v>
      </c>
      <c r="B1043">
        <f>[5]trip_summary_region!B1043</f>
        <v>5</v>
      </c>
      <c r="C1043">
        <f>[5]trip_summary_region!C1043</f>
        <v>2038</v>
      </c>
      <c r="D1043">
        <f>[5]trip_summary_region!D1043</f>
        <v>8</v>
      </c>
      <c r="E1043">
        <f>[5]trip_summary_region!E1043</f>
        <v>32</v>
      </c>
      <c r="F1043">
        <f>[5]trip_summary_region!F1043</f>
        <v>0.7912327039</v>
      </c>
      <c r="G1043">
        <f>[5]trip_summary_region!G1043</f>
        <v>31.577603265</v>
      </c>
      <c r="H1043">
        <f>[5]trip_summary_region!H1043</f>
        <v>0.41425419279999998</v>
      </c>
      <c r="I1043" t="str">
        <f>[5]trip_summary_region!I1043</f>
        <v>Motorcyclist</v>
      </c>
      <c r="J1043" t="str">
        <f>[5]trip_summary_region!J1043</f>
        <v>2037/38</v>
      </c>
    </row>
    <row r="1044" spans="1:10" x14ac:dyDescent="0.2">
      <c r="A1044" t="str">
        <f>[5]trip_summary_region!A1044</f>
        <v>15 SOUTHLAND</v>
      </c>
      <c r="B1044">
        <f>[5]trip_summary_region!B1044</f>
        <v>5</v>
      </c>
      <c r="C1044">
        <f>[5]trip_summary_region!C1044</f>
        <v>2043</v>
      </c>
      <c r="D1044">
        <f>[5]trip_summary_region!D1044</f>
        <v>8</v>
      </c>
      <c r="E1044">
        <f>[5]trip_summary_region!E1044</f>
        <v>32</v>
      </c>
      <c r="F1044">
        <f>[5]trip_summary_region!F1044</f>
        <v>0.76406726849999995</v>
      </c>
      <c r="G1044">
        <f>[5]trip_summary_region!G1044</f>
        <v>31.224073591</v>
      </c>
      <c r="H1044">
        <f>[5]trip_summary_region!H1044</f>
        <v>0.40826204700000002</v>
      </c>
      <c r="I1044" t="str">
        <f>[5]trip_summary_region!I1044</f>
        <v>Motorcyclist</v>
      </c>
      <c r="J1044" t="str">
        <f>[5]trip_summary_region!J1044</f>
        <v>2042/43</v>
      </c>
    </row>
    <row r="1045" spans="1:10" x14ac:dyDescent="0.2">
      <c r="A1045" t="str">
        <f>[5]trip_summary_region!A1045</f>
        <v>15 SOUTHLAND</v>
      </c>
      <c r="B1045">
        <f>[5]trip_summary_region!B1045</f>
        <v>7</v>
      </c>
      <c r="C1045">
        <f>[5]trip_summary_region!C1045</f>
        <v>2013</v>
      </c>
      <c r="D1045">
        <f>[5]trip_summary_region!D1045</f>
        <v>37</v>
      </c>
      <c r="E1045">
        <f>[5]trip_summary_region!E1045</f>
        <v>119</v>
      </c>
      <c r="F1045">
        <f>[5]trip_summary_region!F1045</f>
        <v>2.6369167839999998</v>
      </c>
      <c r="G1045">
        <f>[5]trip_summary_region!G1045</f>
        <v>30.182609224</v>
      </c>
      <c r="H1045">
        <f>[5]trip_summary_region!H1045</f>
        <v>1.2152660816</v>
      </c>
      <c r="I1045" t="str">
        <f>[5]trip_summary_region!I1045</f>
        <v>Local Bus</v>
      </c>
      <c r="J1045" t="str">
        <f>[5]trip_summary_region!J1045</f>
        <v>2012/13</v>
      </c>
    </row>
    <row r="1046" spans="1:10" x14ac:dyDescent="0.2">
      <c r="A1046" t="str">
        <f>[5]trip_summary_region!A1046</f>
        <v>15 SOUTHLAND</v>
      </c>
      <c r="B1046">
        <f>[5]trip_summary_region!B1046</f>
        <v>7</v>
      </c>
      <c r="C1046">
        <f>[5]trip_summary_region!C1046</f>
        <v>2018</v>
      </c>
      <c r="D1046">
        <f>[5]trip_summary_region!D1046</f>
        <v>37</v>
      </c>
      <c r="E1046">
        <f>[5]trip_summary_region!E1046</f>
        <v>119</v>
      </c>
      <c r="F1046">
        <f>[5]trip_summary_region!F1046</f>
        <v>2.6786484999</v>
      </c>
      <c r="G1046">
        <f>[5]trip_summary_region!G1046</f>
        <v>30.507393851</v>
      </c>
      <c r="H1046">
        <f>[5]trip_summary_region!H1046</f>
        <v>1.2249456878</v>
      </c>
      <c r="I1046" t="str">
        <f>[5]trip_summary_region!I1046</f>
        <v>Local Bus</v>
      </c>
      <c r="J1046" t="str">
        <f>[5]trip_summary_region!J1046</f>
        <v>2017/18</v>
      </c>
    </row>
    <row r="1047" spans="1:10" x14ac:dyDescent="0.2">
      <c r="A1047" t="str">
        <f>[5]trip_summary_region!A1047</f>
        <v>15 SOUTHLAND</v>
      </c>
      <c r="B1047">
        <f>[5]trip_summary_region!B1047</f>
        <v>7</v>
      </c>
      <c r="C1047">
        <f>[5]trip_summary_region!C1047</f>
        <v>2023</v>
      </c>
      <c r="D1047">
        <f>[5]trip_summary_region!D1047</f>
        <v>37</v>
      </c>
      <c r="E1047">
        <f>[5]trip_summary_region!E1047</f>
        <v>119</v>
      </c>
      <c r="F1047">
        <f>[5]trip_summary_region!F1047</f>
        <v>2.719518952</v>
      </c>
      <c r="G1047">
        <f>[5]trip_summary_region!G1047</f>
        <v>31.195169922000002</v>
      </c>
      <c r="H1047">
        <f>[5]trip_summary_region!H1047</f>
        <v>1.2547907474</v>
      </c>
      <c r="I1047" t="str">
        <f>[5]trip_summary_region!I1047</f>
        <v>Local Bus</v>
      </c>
      <c r="J1047" t="str">
        <f>[5]trip_summary_region!J1047</f>
        <v>2022/23</v>
      </c>
    </row>
    <row r="1048" spans="1:10" x14ac:dyDescent="0.2">
      <c r="A1048" t="str">
        <f>[5]trip_summary_region!A1048</f>
        <v>15 SOUTHLAND</v>
      </c>
      <c r="B1048">
        <f>[5]trip_summary_region!B1048</f>
        <v>7</v>
      </c>
      <c r="C1048">
        <f>[5]trip_summary_region!C1048</f>
        <v>2028</v>
      </c>
      <c r="D1048">
        <f>[5]trip_summary_region!D1048</f>
        <v>37</v>
      </c>
      <c r="E1048">
        <f>[5]trip_summary_region!E1048</f>
        <v>119</v>
      </c>
      <c r="F1048">
        <f>[5]trip_summary_region!F1048</f>
        <v>2.7798858183999999</v>
      </c>
      <c r="G1048">
        <f>[5]trip_summary_region!G1048</f>
        <v>32.140559287999999</v>
      </c>
      <c r="H1048">
        <f>[5]trip_summary_region!H1048</f>
        <v>1.2937955350999999</v>
      </c>
      <c r="I1048" t="str">
        <f>[5]trip_summary_region!I1048</f>
        <v>Local Bus</v>
      </c>
      <c r="J1048" t="str">
        <f>[5]trip_summary_region!J1048</f>
        <v>2027/28</v>
      </c>
    </row>
    <row r="1049" spans="1:10" x14ac:dyDescent="0.2">
      <c r="A1049" t="str">
        <f>[5]trip_summary_region!A1049</f>
        <v>15 SOUTHLAND</v>
      </c>
      <c r="B1049">
        <f>[5]trip_summary_region!B1049</f>
        <v>7</v>
      </c>
      <c r="C1049">
        <f>[5]trip_summary_region!C1049</f>
        <v>2033</v>
      </c>
      <c r="D1049">
        <f>[5]trip_summary_region!D1049</f>
        <v>37</v>
      </c>
      <c r="E1049">
        <f>[5]trip_summary_region!E1049</f>
        <v>119</v>
      </c>
      <c r="F1049">
        <f>[5]trip_summary_region!F1049</f>
        <v>2.724391759</v>
      </c>
      <c r="G1049">
        <f>[5]trip_summary_region!G1049</f>
        <v>31.701848872999999</v>
      </c>
      <c r="H1049">
        <f>[5]trip_summary_region!H1049</f>
        <v>1.2771679663</v>
      </c>
      <c r="I1049" t="str">
        <f>[5]trip_summary_region!I1049</f>
        <v>Local Bus</v>
      </c>
      <c r="J1049" t="str">
        <f>[5]trip_summary_region!J1049</f>
        <v>2032/33</v>
      </c>
    </row>
    <row r="1050" spans="1:10" x14ac:dyDescent="0.2">
      <c r="A1050" t="str">
        <f>[5]trip_summary_region!A1050</f>
        <v>15 SOUTHLAND</v>
      </c>
      <c r="B1050">
        <f>[5]trip_summary_region!B1050</f>
        <v>7</v>
      </c>
      <c r="C1050">
        <f>[5]trip_summary_region!C1050</f>
        <v>2038</v>
      </c>
      <c r="D1050">
        <f>[5]trip_summary_region!D1050</f>
        <v>37</v>
      </c>
      <c r="E1050">
        <f>[5]trip_summary_region!E1050</f>
        <v>119</v>
      </c>
      <c r="F1050">
        <f>[5]trip_summary_region!F1050</f>
        <v>2.6492214843999999</v>
      </c>
      <c r="G1050">
        <f>[5]trip_summary_region!G1050</f>
        <v>30.709982422</v>
      </c>
      <c r="H1050">
        <f>[5]trip_summary_region!H1050</f>
        <v>1.2458233125</v>
      </c>
      <c r="I1050" t="str">
        <f>[5]trip_summary_region!I1050</f>
        <v>Local Bus</v>
      </c>
      <c r="J1050" t="str">
        <f>[5]trip_summary_region!J1050</f>
        <v>2037/38</v>
      </c>
    </row>
    <row r="1051" spans="1:10" x14ac:dyDescent="0.2">
      <c r="A1051" t="str">
        <f>[5]trip_summary_region!A1051</f>
        <v>15 SOUTHLAND</v>
      </c>
      <c r="B1051">
        <f>[5]trip_summary_region!B1051</f>
        <v>7</v>
      </c>
      <c r="C1051">
        <f>[5]trip_summary_region!C1051</f>
        <v>2043</v>
      </c>
      <c r="D1051">
        <f>[5]trip_summary_region!D1051</f>
        <v>37</v>
      </c>
      <c r="E1051">
        <f>[5]trip_summary_region!E1051</f>
        <v>119</v>
      </c>
      <c r="F1051">
        <f>[5]trip_summary_region!F1051</f>
        <v>2.5498404781000001</v>
      </c>
      <c r="G1051">
        <f>[5]trip_summary_region!G1051</f>
        <v>29.441409641</v>
      </c>
      <c r="H1051">
        <f>[5]trip_summary_region!H1051</f>
        <v>1.2034048404</v>
      </c>
      <c r="I1051" t="str">
        <f>[5]trip_summary_region!I1051</f>
        <v>Local Bus</v>
      </c>
      <c r="J1051" t="str">
        <f>[5]trip_summary_region!J1051</f>
        <v>2042/43</v>
      </c>
    </row>
    <row r="1052" spans="1:10" x14ac:dyDescent="0.2">
      <c r="A1052" t="str">
        <f>[5]trip_summary_region!A1052</f>
        <v>15 SOUTHLAND</v>
      </c>
      <c r="B1052">
        <f>[5]trip_summary_region!B1052</f>
        <v>9</v>
      </c>
      <c r="C1052">
        <f>[5]trip_summary_region!C1052</f>
        <v>2013</v>
      </c>
      <c r="D1052">
        <f>[5]trip_summary_region!D1052</f>
        <v>3</v>
      </c>
      <c r="E1052">
        <f>[5]trip_summary_region!E1052</f>
        <v>20</v>
      </c>
      <c r="F1052">
        <f>[5]trip_summary_region!F1052</f>
        <v>0.42937289560000003</v>
      </c>
      <c r="G1052">
        <f>[5]trip_summary_region!G1052</f>
        <v>0</v>
      </c>
      <c r="H1052">
        <f>[5]trip_summary_region!H1052</f>
        <v>8.5162673699999997E-2</v>
      </c>
      <c r="I1052" t="str">
        <f>[5]trip_summary_region!I1052</f>
        <v>Other Household Travel</v>
      </c>
      <c r="J1052" t="str">
        <f>[5]trip_summary_region!J1052</f>
        <v>2012/13</v>
      </c>
    </row>
    <row r="1053" spans="1:10" x14ac:dyDescent="0.2">
      <c r="A1053" t="str">
        <f>[5]trip_summary_region!A1053</f>
        <v>15 SOUTHLAND</v>
      </c>
      <c r="B1053">
        <f>[5]trip_summary_region!B1053</f>
        <v>9</v>
      </c>
      <c r="C1053">
        <f>[5]trip_summary_region!C1053</f>
        <v>2018</v>
      </c>
      <c r="D1053">
        <f>[5]trip_summary_region!D1053</f>
        <v>3</v>
      </c>
      <c r="E1053">
        <f>[5]trip_summary_region!E1053</f>
        <v>20</v>
      </c>
      <c r="F1053">
        <f>[5]trip_summary_region!F1053</f>
        <v>0.47900553140000002</v>
      </c>
      <c r="G1053">
        <f>[5]trip_summary_region!G1053</f>
        <v>0</v>
      </c>
      <c r="H1053">
        <f>[5]trip_summary_region!H1053</f>
        <v>9.5292722900000001E-2</v>
      </c>
      <c r="I1053" t="str">
        <f>[5]trip_summary_region!I1053</f>
        <v>Other Household Travel</v>
      </c>
      <c r="J1053" t="str">
        <f>[5]trip_summary_region!J1053</f>
        <v>2017/18</v>
      </c>
    </row>
    <row r="1054" spans="1:10" x14ac:dyDescent="0.2">
      <c r="A1054" t="str">
        <f>[5]trip_summary_region!A1054</f>
        <v>15 SOUTHLAND</v>
      </c>
      <c r="B1054">
        <f>[5]trip_summary_region!B1054</f>
        <v>9</v>
      </c>
      <c r="C1054">
        <f>[5]trip_summary_region!C1054</f>
        <v>2023</v>
      </c>
      <c r="D1054">
        <f>[5]trip_summary_region!D1054</f>
        <v>3</v>
      </c>
      <c r="E1054">
        <f>[5]trip_summary_region!E1054</f>
        <v>20</v>
      </c>
      <c r="F1054">
        <f>[5]trip_summary_region!F1054</f>
        <v>0.51261855170000004</v>
      </c>
      <c r="G1054">
        <f>[5]trip_summary_region!G1054</f>
        <v>0</v>
      </c>
      <c r="H1054">
        <f>[5]trip_summary_region!H1054</f>
        <v>0.1024965132</v>
      </c>
      <c r="I1054" t="str">
        <f>[5]trip_summary_region!I1054</f>
        <v>Other Household Travel</v>
      </c>
      <c r="J1054" t="str">
        <f>[5]trip_summary_region!J1054</f>
        <v>2022/23</v>
      </c>
    </row>
    <row r="1055" spans="1:10" x14ac:dyDescent="0.2">
      <c r="A1055" t="str">
        <f>[5]trip_summary_region!A1055</f>
        <v>15 SOUTHLAND</v>
      </c>
      <c r="B1055">
        <f>[5]trip_summary_region!B1055</f>
        <v>9</v>
      </c>
      <c r="C1055">
        <f>[5]trip_summary_region!C1055</f>
        <v>2028</v>
      </c>
      <c r="D1055">
        <f>[5]trip_summary_region!D1055</f>
        <v>3</v>
      </c>
      <c r="E1055">
        <f>[5]trip_summary_region!E1055</f>
        <v>20</v>
      </c>
      <c r="F1055">
        <f>[5]trip_summary_region!F1055</f>
        <v>0.54839507519999997</v>
      </c>
      <c r="G1055">
        <f>[5]trip_summary_region!G1055</f>
        <v>0</v>
      </c>
      <c r="H1055">
        <f>[5]trip_summary_region!H1055</f>
        <v>0.1108568816</v>
      </c>
      <c r="I1055" t="str">
        <f>[5]trip_summary_region!I1055</f>
        <v>Other Household Travel</v>
      </c>
      <c r="J1055" t="str">
        <f>[5]trip_summary_region!J1055</f>
        <v>2027/28</v>
      </c>
    </row>
    <row r="1056" spans="1:10" x14ac:dyDescent="0.2">
      <c r="A1056" t="str">
        <f>[5]trip_summary_region!A1056</f>
        <v>15 SOUTHLAND</v>
      </c>
      <c r="B1056">
        <f>[5]trip_summary_region!B1056</f>
        <v>9</v>
      </c>
      <c r="C1056">
        <f>[5]trip_summary_region!C1056</f>
        <v>2033</v>
      </c>
      <c r="D1056">
        <f>[5]trip_summary_region!D1056</f>
        <v>3</v>
      </c>
      <c r="E1056">
        <f>[5]trip_summary_region!E1056</f>
        <v>20</v>
      </c>
      <c r="F1056">
        <f>[5]trip_summary_region!F1056</f>
        <v>0.58596459619999997</v>
      </c>
      <c r="G1056">
        <f>[5]trip_summary_region!G1056</f>
        <v>0</v>
      </c>
      <c r="H1056">
        <f>[5]trip_summary_region!H1056</f>
        <v>0.1203267103</v>
      </c>
      <c r="I1056" t="str">
        <f>[5]trip_summary_region!I1056</f>
        <v>Other Household Travel</v>
      </c>
      <c r="J1056" t="str">
        <f>[5]trip_summary_region!J1056</f>
        <v>2032/33</v>
      </c>
    </row>
    <row r="1057" spans="1:10" x14ac:dyDescent="0.2">
      <c r="A1057" t="str">
        <f>[5]trip_summary_region!A1057</f>
        <v>15 SOUTHLAND</v>
      </c>
      <c r="B1057">
        <f>[5]trip_summary_region!B1057</f>
        <v>9</v>
      </c>
      <c r="C1057">
        <f>[5]trip_summary_region!C1057</f>
        <v>2038</v>
      </c>
      <c r="D1057">
        <f>[5]trip_summary_region!D1057</f>
        <v>3</v>
      </c>
      <c r="E1057">
        <f>[5]trip_summary_region!E1057</f>
        <v>20</v>
      </c>
      <c r="F1057">
        <f>[5]trip_summary_region!F1057</f>
        <v>0.60540931740000004</v>
      </c>
      <c r="G1057">
        <f>[5]trip_summary_region!G1057</f>
        <v>0</v>
      </c>
      <c r="H1057">
        <f>[5]trip_summary_region!H1057</f>
        <v>0.1260387473</v>
      </c>
      <c r="I1057" t="str">
        <f>[5]trip_summary_region!I1057</f>
        <v>Other Household Travel</v>
      </c>
      <c r="J1057" t="str">
        <f>[5]trip_summary_region!J1057</f>
        <v>2037/38</v>
      </c>
    </row>
    <row r="1058" spans="1:10" x14ac:dyDescent="0.2">
      <c r="A1058" t="str">
        <f>[5]trip_summary_region!A1058</f>
        <v>15 SOUTHLAND</v>
      </c>
      <c r="B1058">
        <f>[5]trip_summary_region!B1058</f>
        <v>9</v>
      </c>
      <c r="C1058">
        <f>[5]trip_summary_region!C1058</f>
        <v>2043</v>
      </c>
      <c r="D1058">
        <f>[5]trip_summary_region!D1058</f>
        <v>3</v>
      </c>
      <c r="E1058">
        <f>[5]trip_summary_region!E1058</f>
        <v>20</v>
      </c>
      <c r="F1058">
        <f>[5]trip_summary_region!F1058</f>
        <v>0.61566628509999999</v>
      </c>
      <c r="G1058">
        <f>[5]trip_summary_region!G1058</f>
        <v>0</v>
      </c>
      <c r="H1058">
        <f>[5]trip_summary_region!H1058</f>
        <v>0.12968359260000001</v>
      </c>
      <c r="I1058" t="str">
        <f>[5]trip_summary_region!I1058</f>
        <v>Other Household Travel</v>
      </c>
      <c r="J1058" t="str">
        <f>[5]trip_summary_region!J1058</f>
        <v>2042/43</v>
      </c>
    </row>
    <row r="1059" spans="1:10" x14ac:dyDescent="0.2">
      <c r="A1059" t="str">
        <f>[5]trip_summary_region!A1059</f>
        <v>15 SOUTHLAND</v>
      </c>
      <c r="B1059">
        <f>[5]trip_summary_region!B1059</f>
        <v>10</v>
      </c>
      <c r="C1059">
        <f>[5]trip_summary_region!C1059</f>
        <v>2013</v>
      </c>
      <c r="D1059">
        <f>[5]trip_summary_region!D1059</f>
        <v>4</v>
      </c>
      <c r="E1059">
        <f>[5]trip_summary_region!E1059</f>
        <v>5</v>
      </c>
      <c r="F1059">
        <f>[5]trip_summary_region!F1059</f>
        <v>0.11858970739999999</v>
      </c>
      <c r="G1059">
        <f>[5]trip_summary_region!G1059</f>
        <v>7.7216256564999997</v>
      </c>
      <c r="H1059">
        <f>[5]trip_summary_region!H1059</f>
        <v>0.2054826143</v>
      </c>
      <c r="I1059" t="str">
        <f>[5]trip_summary_region!I1059</f>
        <v>Air/Non-Local PT</v>
      </c>
      <c r="J1059" t="str">
        <f>[5]trip_summary_region!J1059</f>
        <v>2012/13</v>
      </c>
    </row>
    <row r="1060" spans="1:10" x14ac:dyDescent="0.2">
      <c r="A1060" t="str">
        <f>[5]trip_summary_region!A1060</f>
        <v>15 SOUTHLAND</v>
      </c>
      <c r="B1060">
        <f>[5]trip_summary_region!B1060</f>
        <v>10</v>
      </c>
      <c r="C1060">
        <f>[5]trip_summary_region!C1060</f>
        <v>2018</v>
      </c>
      <c r="D1060">
        <f>[5]trip_summary_region!D1060</f>
        <v>4</v>
      </c>
      <c r="E1060">
        <f>[5]trip_summary_region!E1060</f>
        <v>5</v>
      </c>
      <c r="F1060">
        <f>[5]trip_summary_region!F1060</f>
        <v>0.1432275851</v>
      </c>
      <c r="G1060">
        <f>[5]trip_summary_region!G1060</f>
        <v>7.9537356617999997</v>
      </c>
      <c r="H1060">
        <f>[5]trip_summary_region!H1060</f>
        <v>0.23874952939999999</v>
      </c>
      <c r="I1060" t="str">
        <f>[5]trip_summary_region!I1060</f>
        <v>Air/Non-Local PT</v>
      </c>
      <c r="J1060" t="str">
        <f>[5]trip_summary_region!J1060</f>
        <v>2017/18</v>
      </c>
    </row>
    <row r="1061" spans="1:10" x14ac:dyDescent="0.2">
      <c r="A1061" t="str">
        <f>[5]trip_summary_region!A1061</f>
        <v>15 SOUTHLAND</v>
      </c>
      <c r="B1061">
        <f>[5]trip_summary_region!B1061</f>
        <v>10</v>
      </c>
      <c r="C1061">
        <f>[5]trip_summary_region!C1061</f>
        <v>2023</v>
      </c>
      <c r="D1061">
        <f>[5]trip_summary_region!D1061</f>
        <v>4</v>
      </c>
      <c r="E1061">
        <f>[5]trip_summary_region!E1061</f>
        <v>5</v>
      </c>
      <c r="F1061">
        <f>[5]trip_summary_region!F1061</f>
        <v>0.15677619179999999</v>
      </c>
      <c r="G1061">
        <f>[5]trip_summary_region!G1061</f>
        <v>7.5532826714999999</v>
      </c>
      <c r="H1061">
        <f>[5]trip_summary_region!H1061</f>
        <v>0.25375134700000002</v>
      </c>
      <c r="I1061" t="str">
        <f>[5]trip_summary_region!I1061</f>
        <v>Air/Non-Local PT</v>
      </c>
      <c r="J1061" t="str">
        <f>[5]trip_summary_region!J1061</f>
        <v>2022/23</v>
      </c>
    </row>
    <row r="1062" spans="1:10" x14ac:dyDescent="0.2">
      <c r="A1062" t="str">
        <f>[5]trip_summary_region!A1062</f>
        <v>15 SOUTHLAND</v>
      </c>
      <c r="B1062">
        <f>[5]trip_summary_region!B1062</f>
        <v>10</v>
      </c>
      <c r="C1062">
        <f>[5]trip_summary_region!C1062</f>
        <v>2028</v>
      </c>
      <c r="D1062">
        <f>[5]trip_summary_region!D1062</f>
        <v>4</v>
      </c>
      <c r="E1062">
        <f>[5]trip_summary_region!E1062</f>
        <v>5</v>
      </c>
      <c r="F1062">
        <f>[5]trip_summary_region!F1062</f>
        <v>0.16539187750000001</v>
      </c>
      <c r="G1062">
        <f>[5]trip_summary_region!G1062</f>
        <v>7.1592903596999999</v>
      </c>
      <c r="H1062">
        <f>[5]trip_summary_region!H1062</f>
        <v>0.26213899699999998</v>
      </c>
      <c r="I1062" t="str">
        <f>[5]trip_summary_region!I1062</f>
        <v>Air/Non-Local PT</v>
      </c>
      <c r="J1062" t="str">
        <f>[5]trip_summary_region!J1062</f>
        <v>2027/28</v>
      </c>
    </row>
    <row r="1063" spans="1:10" x14ac:dyDescent="0.2">
      <c r="A1063" t="str">
        <f>[5]trip_summary_region!A1063</f>
        <v>15 SOUTHLAND</v>
      </c>
      <c r="B1063">
        <f>[5]trip_summary_region!B1063</f>
        <v>10</v>
      </c>
      <c r="C1063">
        <f>[5]trip_summary_region!C1063</f>
        <v>2033</v>
      </c>
      <c r="D1063">
        <f>[5]trip_summary_region!D1063</f>
        <v>4</v>
      </c>
      <c r="E1063">
        <f>[5]trip_summary_region!E1063</f>
        <v>5</v>
      </c>
      <c r="F1063">
        <f>[5]trip_summary_region!F1063</f>
        <v>0.1686089238</v>
      </c>
      <c r="G1063">
        <f>[5]trip_summary_region!G1063</f>
        <v>7.4124135838000003</v>
      </c>
      <c r="H1063">
        <f>[5]trip_summary_region!H1063</f>
        <v>0.2683091313</v>
      </c>
      <c r="I1063" t="str">
        <f>[5]trip_summary_region!I1063</f>
        <v>Air/Non-Local PT</v>
      </c>
      <c r="J1063" t="str">
        <f>[5]trip_summary_region!J1063</f>
        <v>2032/33</v>
      </c>
    </row>
    <row r="1064" spans="1:10" x14ac:dyDescent="0.2">
      <c r="A1064" t="str">
        <f>[5]trip_summary_region!A1064</f>
        <v>15 SOUTHLAND</v>
      </c>
      <c r="B1064">
        <f>[5]trip_summary_region!B1064</f>
        <v>10</v>
      </c>
      <c r="C1064">
        <f>[5]trip_summary_region!C1064</f>
        <v>2038</v>
      </c>
      <c r="D1064">
        <f>[5]trip_summary_region!D1064</f>
        <v>4</v>
      </c>
      <c r="E1064">
        <f>[5]trip_summary_region!E1064</f>
        <v>5</v>
      </c>
      <c r="F1064">
        <f>[5]trip_summary_region!F1064</f>
        <v>0.172897826</v>
      </c>
      <c r="G1064">
        <f>[5]trip_summary_region!G1064</f>
        <v>7.6657910706000001</v>
      </c>
      <c r="H1064">
        <f>[5]trip_summary_region!H1064</f>
        <v>0.27744513859999997</v>
      </c>
      <c r="I1064" t="str">
        <f>[5]trip_summary_region!I1064</f>
        <v>Air/Non-Local PT</v>
      </c>
      <c r="J1064" t="str">
        <f>[5]trip_summary_region!J1064</f>
        <v>2037/38</v>
      </c>
    </row>
    <row r="1065" spans="1:10" x14ac:dyDescent="0.2">
      <c r="A1065" t="str">
        <f>[5]trip_summary_region!A1065</f>
        <v>15 SOUTHLAND</v>
      </c>
      <c r="B1065">
        <f>[5]trip_summary_region!B1065</f>
        <v>10</v>
      </c>
      <c r="C1065">
        <f>[5]trip_summary_region!C1065</f>
        <v>2043</v>
      </c>
      <c r="D1065">
        <f>[5]trip_summary_region!D1065</f>
        <v>4</v>
      </c>
      <c r="E1065">
        <f>[5]trip_summary_region!E1065</f>
        <v>5</v>
      </c>
      <c r="F1065">
        <f>[5]trip_summary_region!F1065</f>
        <v>0.17662499810000001</v>
      </c>
      <c r="G1065">
        <f>[5]trip_summary_region!G1065</f>
        <v>7.8754399894000002</v>
      </c>
      <c r="H1065">
        <f>[5]trip_summary_region!H1065</f>
        <v>0.28544015740000001</v>
      </c>
      <c r="I1065" t="str">
        <f>[5]trip_summary_region!I1065</f>
        <v>Air/Non-Local PT</v>
      </c>
      <c r="J1065" t="str">
        <f>[5]trip_summary_region!J1065</f>
        <v>2042/43</v>
      </c>
    </row>
    <row r="1066" spans="1:10" x14ac:dyDescent="0.2">
      <c r="A1066" t="str">
        <f>[5]trip_summary_region!A1066</f>
        <v>15 SOUTHLAND</v>
      </c>
      <c r="B1066">
        <f>[5]trip_summary_region!B1066</f>
        <v>11</v>
      </c>
      <c r="C1066">
        <f>[5]trip_summary_region!C1066</f>
        <v>2013</v>
      </c>
      <c r="D1066">
        <f>[5]trip_summary_region!D1066</f>
        <v>3</v>
      </c>
      <c r="E1066">
        <f>[5]trip_summary_region!E1066</f>
        <v>9</v>
      </c>
      <c r="F1066">
        <f>[5]trip_summary_region!F1066</f>
        <v>0.1918163457</v>
      </c>
      <c r="G1066">
        <f>[5]trip_summary_region!G1066</f>
        <v>7.2518167408999998</v>
      </c>
      <c r="H1066">
        <f>[5]trip_summary_region!H1066</f>
        <v>0.26579174360000002</v>
      </c>
      <c r="I1066" t="str">
        <f>[5]trip_summary_region!I1066</f>
        <v>Non-Household Travel</v>
      </c>
      <c r="J1066" t="str">
        <f>[5]trip_summary_region!J1066</f>
        <v>2012/13</v>
      </c>
    </row>
    <row r="1067" spans="1:10" x14ac:dyDescent="0.2">
      <c r="A1067" t="str">
        <f>[5]trip_summary_region!A1067</f>
        <v>15 SOUTHLAND</v>
      </c>
      <c r="B1067">
        <f>[5]trip_summary_region!B1067</f>
        <v>11</v>
      </c>
      <c r="C1067">
        <f>[5]trip_summary_region!C1067</f>
        <v>2018</v>
      </c>
      <c r="D1067">
        <f>[5]trip_summary_region!D1067</f>
        <v>3</v>
      </c>
      <c r="E1067">
        <f>[5]trip_summary_region!E1067</f>
        <v>9</v>
      </c>
      <c r="F1067">
        <f>[5]trip_summary_region!F1067</f>
        <v>0.20441820290000001</v>
      </c>
      <c r="G1067">
        <f>[5]trip_summary_region!G1067</f>
        <v>8.7413470288999999</v>
      </c>
      <c r="H1067">
        <f>[5]trip_summary_region!H1067</f>
        <v>0.36361138749999999</v>
      </c>
      <c r="I1067" t="str">
        <f>[5]trip_summary_region!I1067</f>
        <v>Non-Household Travel</v>
      </c>
      <c r="J1067" t="str">
        <f>[5]trip_summary_region!J1067</f>
        <v>2017/18</v>
      </c>
    </row>
    <row r="1068" spans="1:10" x14ac:dyDescent="0.2">
      <c r="A1068" t="str">
        <f>[5]trip_summary_region!A1068</f>
        <v>15 SOUTHLAND</v>
      </c>
      <c r="B1068">
        <f>[5]trip_summary_region!B1068</f>
        <v>11</v>
      </c>
      <c r="C1068">
        <f>[5]trip_summary_region!C1068</f>
        <v>2023</v>
      </c>
      <c r="D1068">
        <f>[5]trip_summary_region!D1068</f>
        <v>3</v>
      </c>
      <c r="E1068">
        <f>[5]trip_summary_region!E1068</f>
        <v>9</v>
      </c>
      <c r="F1068">
        <f>[5]trip_summary_region!F1068</f>
        <v>0.2214977413</v>
      </c>
      <c r="G1068">
        <f>[5]trip_summary_region!G1068</f>
        <v>10.043582462</v>
      </c>
      <c r="H1068">
        <f>[5]trip_summary_region!H1068</f>
        <v>0.43041552080000001</v>
      </c>
      <c r="I1068" t="str">
        <f>[5]trip_summary_region!I1068</f>
        <v>Non-Household Travel</v>
      </c>
      <c r="J1068" t="str">
        <f>[5]trip_summary_region!J1068</f>
        <v>2022/23</v>
      </c>
    </row>
    <row r="1069" spans="1:10" x14ac:dyDescent="0.2">
      <c r="A1069" t="str">
        <f>[5]trip_summary_region!A1069</f>
        <v>15 SOUTHLAND</v>
      </c>
      <c r="B1069">
        <f>[5]trip_summary_region!B1069</f>
        <v>11</v>
      </c>
      <c r="C1069">
        <f>[5]trip_summary_region!C1069</f>
        <v>2028</v>
      </c>
      <c r="D1069">
        <f>[5]trip_summary_region!D1069</f>
        <v>3</v>
      </c>
      <c r="E1069">
        <f>[5]trip_summary_region!E1069</f>
        <v>9</v>
      </c>
      <c r="F1069">
        <f>[5]trip_summary_region!F1069</f>
        <v>0.25093940460000003</v>
      </c>
      <c r="G1069">
        <f>[5]trip_summary_region!G1069</f>
        <v>11.176968197000001</v>
      </c>
      <c r="H1069">
        <f>[5]trip_summary_region!H1069</f>
        <v>0.4569077641</v>
      </c>
      <c r="I1069" t="str">
        <f>[5]trip_summary_region!I1069</f>
        <v>Non-Household Travel</v>
      </c>
      <c r="J1069" t="str">
        <f>[5]trip_summary_region!J1069</f>
        <v>2027/28</v>
      </c>
    </row>
    <row r="1070" spans="1:10" x14ac:dyDescent="0.2">
      <c r="A1070" t="str">
        <f>[5]trip_summary_region!A1070</f>
        <v>15 SOUTHLAND</v>
      </c>
      <c r="B1070">
        <f>[5]trip_summary_region!B1070</f>
        <v>11</v>
      </c>
      <c r="C1070">
        <f>[5]trip_summary_region!C1070</f>
        <v>2033</v>
      </c>
      <c r="D1070">
        <f>[5]trip_summary_region!D1070</f>
        <v>3</v>
      </c>
      <c r="E1070">
        <f>[5]trip_summary_region!E1070</f>
        <v>9</v>
      </c>
      <c r="F1070">
        <f>[5]trip_summary_region!F1070</f>
        <v>0.2632957299</v>
      </c>
      <c r="G1070">
        <f>[5]trip_summary_region!G1070</f>
        <v>11.91173291</v>
      </c>
      <c r="H1070">
        <f>[5]trip_summary_region!H1070</f>
        <v>0.48372607620000002</v>
      </c>
      <c r="I1070" t="str">
        <f>[5]trip_summary_region!I1070</f>
        <v>Non-Household Travel</v>
      </c>
      <c r="J1070" t="str">
        <f>[5]trip_summary_region!J1070</f>
        <v>2032/33</v>
      </c>
    </row>
    <row r="1071" spans="1:10" x14ac:dyDescent="0.2">
      <c r="A1071" t="str">
        <f>[5]trip_summary_region!A1071</f>
        <v>15 SOUTHLAND</v>
      </c>
      <c r="B1071">
        <f>[5]trip_summary_region!B1071</f>
        <v>11</v>
      </c>
      <c r="C1071">
        <f>[5]trip_summary_region!C1071</f>
        <v>2038</v>
      </c>
      <c r="D1071">
        <f>[5]trip_summary_region!D1071</f>
        <v>3</v>
      </c>
      <c r="E1071">
        <f>[5]trip_summary_region!E1071</f>
        <v>9</v>
      </c>
      <c r="F1071">
        <f>[5]trip_summary_region!F1071</f>
        <v>0.25898429789999999</v>
      </c>
      <c r="G1071">
        <f>[5]trip_summary_region!G1071</f>
        <v>12.245507793</v>
      </c>
      <c r="H1071">
        <f>[5]trip_summary_region!H1071</f>
        <v>0.52134506979999995</v>
      </c>
      <c r="I1071" t="str">
        <f>[5]trip_summary_region!I1071</f>
        <v>Non-Household Travel</v>
      </c>
      <c r="J1071" t="str">
        <f>[5]trip_summary_region!J1071</f>
        <v>2037/38</v>
      </c>
    </row>
    <row r="1072" spans="1:10" x14ac:dyDescent="0.2">
      <c r="A1072" t="str">
        <f>[5]trip_summary_region!A1072</f>
        <v>15 SOUTHLAND</v>
      </c>
      <c r="B1072">
        <f>[5]trip_summary_region!B1072</f>
        <v>11</v>
      </c>
      <c r="C1072">
        <f>[5]trip_summary_region!C1072</f>
        <v>2043</v>
      </c>
      <c r="D1072">
        <f>[5]trip_summary_region!D1072</f>
        <v>3</v>
      </c>
      <c r="E1072">
        <f>[5]trip_summary_region!E1072</f>
        <v>9</v>
      </c>
      <c r="F1072">
        <f>[5]trip_summary_region!F1072</f>
        <v>0.25219247779999998</v>
      </c>
      <c r="G1072">
        <f>[5]trip_summary_region!G1072</f>
        <v>12.53051028</v>
      </c>
      <c r="H1072">
        <f>[5]trip_summary_region!H1072</f>
        <v>0.56036564119999999</v>
      </c>
      <c r="I1072" t="str">
        <f>[5]trip_summary_region!I1072</f>
        <v>Non-Household Travel</v>
      </c>
      <c r="J1072" t="str">
        <f>[5]trip_summary_region!J1072</f>
        <v>2042/43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2:K25"/>
  <sheetViews>
    <sheetView zoomScaleNormal="100" workbookViewId="0">
      <selection activeCell="C21" sqref="C21"/>
    </sheetView>
  </sheetViews>
  <sheetFormatPr defaultRowHeight="12.75" x14ac:dyDescent="0.2"/>
  <cols>
    <col min="1" max="1" width="59.5703125" customWidth="1"/>
    <col min="2" max="11" width="17.85546875" customWidth="1"/>
  </cols>
  <sheetData>
    <row r="2" spans="1:11" ht="13.5" thickBot="1" x14ac:dyDescent="0.25"/>
    <row r="3" spans="1:11" ht="16.5" thickTop="1" x14ac:dyDescent="0.25">
      <c r="A3" s="6" t="s">
        <v>72</v>
      </c>
      <c r="B3" s="7"/>
      <c r="C3" s="7"/>
      <c r="D3" s="7"/>
      <c r="E3" s="7"/>
      <c r="F3" s="7"/>
      <c r="G3" s="7"/>
      <c r="H3" s="7"/>
      <c r="I3" s="7"/>
      <c r="J3" s="7"/>
      <c r="K3" s="9"/>
    </row>
    <row r="4" spans="1:11" ht="13.5" thickBot="1" x14ac:dyDescent="0.25">
      <c r="A4" s="10"/>
      <c r="B4" s="11" t="s">
        <v>22</v>
      </c>
      <c r="C4" s="11" t="s">
        <v>25</v>
      </c>
      <c r="D4" s="11" t="s">
        <v>26</v>
      </c>
      <c r="E4" s="11" t="s">
        <v>27</v>
      </c>
      <c r="F4" s="11" t="s">
        <v>28</v>
      </c>
      <c r="G4" s="11" t="s">
        <v>29</v>
      </c>
      <c r="H4" s="11" t="s">
        <v>30</v>
      </c>
      <c r="I4" s="11" t="s">
        <v>120</v>
      </c>
      <c r="J4" s="11" t="s">
        <v>121</v>
      </c>
      <c r="K4" s="12" t="s">
        <v>122</v>
      </c>
    </row>
    <row r="5" spans="1:11" ht="14.25" thickTop="1" thickBot="1" x14ac:dyDescent="0.25">
      <c r="A5" s="13"/>
      <c r="B5" s="14" t="s">
        <v>31</v>
      </c>
      <c r="C5" s="14" t="s">
        <v>32</v>
      </c>
      <c r="D5" s="14" t="s">
        <v>32</v>
      </c>
      <c r="E5" s="14" t="s">
        <v>32</v>
      </c>
      <c r="F5" s="14" t="s">
        <v>32</v>
      </c>
      <c r="G5" s="14" t="s">
        <v>32</v>
      </c>
      <c r="H5" s="14" t="s">
        <v>32</v>
      </c>
      <c r="I5" s="14" t="s">
        <v>32</v>
      </c>
      <c r="J5" s="14" t="s">
        <v>32</v>
      </c>
      <c r="K5" s="15" t="s">
        <v>32</v>
      </c>
    </row>
    <row r="6" spans="1:11" ht="16.5" thickTop="1" x14ac:dyDescent="0.25">
      <c r="A6" s="16" t="s">
        <v>71</v>
      </c>
      <c r="B6" s="35"/>
      <c r="C6" s="36"/>
      <c r="D6" s="36"/>
      <c r="E6" s="36"/>
      <c r="F6" s="36"/>
      <c r="G6" s="36"/>
      <c r="H6" s="36"/>
      <c r="I6" s="36"/>
      <c r="J6" s="36"/>
      <c r="K6" s="37"/>
    </row>
    <row r="7" spans="1:11" ht="15.75" x14ac:dyDescent="0.25">
      <c r="A7" s="38" t="s">
        <v>73</v>
      </c>
      <c r="B7" s="19">
        <v>0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2">
        <v>0</v>
      </c>
    </row>
    <row r="8" spans="1:11" ht="15.75" x14ac:dyDescent="0.25">
      <c r="A8" s="38" t="s">
        <v>74</v>
      </c>
      <c r="B8" s="19"/>
      <c r="C8" s="44">
        <f ca="1">'Total Trip Tables'!C159*1000000/'Updated Population'!C158</f>
        <v>220.73229677699715</v>
      </c>
      <c r="D8" s="44">
        <f ca="1">'Total Trip Tables'!D159*1000000/'Updated Population'!D158</f>
        <v>219.24910110253785</v>
      </c>
      <c r="E8" s="44">
        <f ca="1">'Total Trip Tables'!E159*1000000/'Updated Population'!E158</f>
        <v>217.65358014869994</v>
      </c>
      <c r="F8" s="44">
        <f ca="1">'Total Trip Tables'!F159*1000000/'Updated Population'!F158</f>
        <v>215.31972999049512</v>
      </c>
      <c r="G8" s="44">
        <f ca="1">'Total Trip Tables'!G159*1000000/'Updated Population'!G158</f>
        <v>213.27939491408932</v>
      </c>
      <c r="H8" s="44">
        <f ca="1">'Total Trip Tables'!H159*1000000/'Updated Population'!H158</f>
        <v>211.19766924981431</v>
      </c>
      <c r="I8" s="44">
        <f ca="1">'Total Trip Tables'!I159*1000000/'Updated Population'!I158</f>
        <v>211.15899872582918</v>
      </c>
      <c r="J8" s="44">
        <f ca="1">'Total Trip Tables'!J159*1000000/'Updated Population'!J158</f>
        <v>211.11649834700086</v>
      </c>
      <c r="K8" s="45">
        <f ca="1">'Total Trip Tables'!K159*1000000/'Updated Population'!K158</f>
        <v>211.06905049252498</v>
      </c>
    </row>
    <row r="9" spans="1:11" ht="15.75" x14ac:dyDescent="0.25">
      <c r="A9" s="38" t="s">
        <v>77</v>
      </c>
      <c r="B9" s="19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2">
        <v>0</v>
      </c>
    </row>
    <row r="10" spans="1:11" ht="15.75" x14ac:dyDescent="0.25">
      <c r="A10" s="38" t="s">
        <v>78</v>
      </c>
      <c r="B10" s="19"/>
      <c r="C10" s="44">
        <f ca="1">'Total Distance Tables'!C159*1000000/'Updated Population'!C158</f>
        <v>180.78208691200132</v>
      </c>
      <c r="D10" s="44">
        <f ca="1">'Total Distance Tables'!D159*1000000/'Updated Population'!D158</f>
        <v>177.71033015721582</v>
      </c>
      <c r="E10" s="44">
        <f ca="1">'Total Distance Tables'!E159*1000000/'Updated Population'!E158</f>
        <v>174.65398961988515</v>
      </c>
      <c r="F10" s="44">
        <f ca="1">'Total Distance Tables'!F159*1000000/'Updated Population'!F158</f>
        <v>171.56408602622136</v>
      </c>
      <c r="G10" s="44">
        <f ca="1">'Total Distance Tables'!G159*1000000/'Updated Population'!G158</f>
        <v>169.2178637221524</v>
      </c>
      <c r="H10" s="44">
        <f ca="1">'Total Distance Tables'!H159*1000000/'Updated Population'!H158</f>
        <v>166.87046998605339</v>
      </c>
      <c r="I10" s="44">
        <f ca="1">'Total Distance Tables'!I159*1000000/'Updated Population'!I158</f>
        <v>166.28465562014625</v>
      </c>
      <c r="J10" s="44">
        <f ca="1">'Total Distance Tables'!J159*1000000/'Updated Population'!J158</f>
        <v>165.65178347369161</v>
      </c>
      <c r="K10" s="45">
        <f ca="1">'Total Distance Tables'!K159*1000000/'Updated Population'!K158</f>
        <v>164.94713921345635</v>
      </c>
    </row>
    <row r="11" spans="1:11" ht="15.75" x14ac:dyDescent="0.25">
      <c r="A11" s="38" t="s">
        <v>79</v>
      </c>
      <c r="B11" s="19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2">
        <v>0</v>
      </c>
    </row>
    <row r="12" spans="1:11" ht="15.75" x14ac:dyDescent="0.25">
      <c r="A12" s="38" t="s">
        <v>80</v>
      </c>
      <c r="B12" s="19"/>
      <c r="C12" s="44">
        <f ca="1">'Total Duration Tables'!C159*1000000/'Updated Population'!C158</f>
        <v>45.831514688619826</v>
      </c>
      <c r="D12" s="44">
        <f ca="1">'Total Duration Tables'!D159*1000000/'Updated Population'!D158</f>
        <v>45.381757539032499</v>
      </c>
      <c r="E12" s="44">
        <f ca="1">'Total Duration Tables'!E159*1000000/'Updated Population'!E158</f>
        <v>44.918382820856586</v>
      </c>
      <c r="F12" s="44">
        <f ca="1">'Total Duration Tables'!F159*1000000/'Updated Population'!F158</f>
        <v>44.32112740692947</v>
      </c>
      <c r="G12" s="44">
        <f ca="1">'Total Duration Tables'!G159*1000000/'Updated Population'!G158</f>
        <v>43.840356872424984</v>
      </c>
      <c r="H12" s="44">
        <f ca="1">'Total Duration Tables'!H159*1000000/'Updated Population'!H158</f>
        <v>43.348481445929728</v>
      </c>
      <c r="I12" s="44">
        <f ca="1">'Total Duration Tables'!I159*1000000/'Updated Population'!I158</f>
        <v>43.318351675785031</v>
      </c>
      <c r="J12" s="44">
        <f ca="1">'Total Duration Tables'!J159*1000000/'Updated Population'!J158</f>
        <v>43.28580581010263</v>
      </c>
      <c r="K12" s="45">
        <f ca="1">'Total Duration Tables'!K159*1000000/'Updated Population'!K158</f>
        <v>43.24956861730459</v>
      </c>
    </row>
    <row r="13" spans="1:11" ht="15.75" x14ac:dyDescent="0.25">
      <c r="A13" s="38" t="s">
        <v>61</v>
      </c>
      <c r="B13" s="39"/>
      <c r="C13" s="40"/>
      <c r="D13" s="40"/>
      <c r="E13" s="40"/>
      <c r="F13" s="40"/>
      <c r="G13" s="40"/>
      <c r="H13" s="40"/>
      <c r="I13" s="40"/>
      <c r="J13" s="40"/>
      <c r="K13" s="41"/>
    </row>
    <row r="14" spans="1:11" ht="15.75" x14ac:dyDescent="0.25">
      <c r="A14" s="42" t="s">
        <v>64</v>
      </c>
      <c r="B14" s="19">
        <v>0</v>
      </c>
      <c r="C14" s="21">
        <v>0.25</v>
      </c>
      <c r="D14" s="21">
        <v>0.25</v>
      </c>
      <c r="E14" s="21">
        <v>0.25</v>
      </c>
      <c r="F14" s="21">
        <v>0.25</v>
      </c>
      <c r="G14" s="21">
        <v>0.25</v>
      </c>
      <c r="H14" s="21">
        <v>0.25</v>
      </c>
      <c r="I14" s="21">
        <v>0.25</v>
      </c>
      <c r="J14" s="21">
        <v>0.25</v>
      </c>
      <c r="K14" s="22">
        <v>0.25</v>
      </c>
    </row>
    <row r="15" spans="1:11" ht="15.75" x14ac:dyDescent="0.25">
      <c r="A15" s="42" t="s">
        <v>65</v>
      </c>
      <c r="B15" s="19">
        <v>0</v>
      </c>
      <c r="C15" s="21">
        <v>0.25</v>
      </c>
      <c r="D15" s="21">
        <v>0.25</v>
      </c>
      <c r="E15" s="21">
        <v>0.25</v>
      </c>
      <c r="F15" s="21">
        <v>0.25</v>
      </c>
      <c r="G15" s="21">
        <v>0.25</v>
      </c>
      <c r="H15" s="21">
        <v>0.25</v>
      </c>
      <c r="I15" s="21">
        <v>0.25</v>
      </c>
      <c r="J15" s="21">
        <v>0.25</v>
      </c>
      <c r="K15" s="22">
        <v>0.25</v>
      </c>
    </row>
    <row r="16" spans="1:11" ht="15.75" x14ac:dyDescent="0.25">
      <c r="A16" s="38" t="s">
        <v>75</v>
      </c>
      <c r="B16" s="19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2">
        <v>0</v>
      </c>
    </row>
    <row r="17" spans="1:11" ht="15.75" x14ac:dyDescent="0.25">
      <c r="A17" s="38" t="s">
        <v>76</v>
      </c>
      <c r="B17" s="19"/>
      <c r="C17" s="44">
        <f ca="1">'Total Trip Tables'!C160*1000000/'Updated Population'!C158</f>
        <v>15.749187765803413</v>
      </c>
      <c r="D17" s="44">
        <f ca="1">'Total Trip Tables'!D160*1000000/'Updated Population'!D158</f>
        <v>15.404560500677023</v>
      </c>
      <c r="E17" s="44">
        <f ca="1">'Total Trip Tables'!E160*1000000/'Updated Population'!E158</f>
        <v>15.059683308471607</v>
      </c>
      <c r="F17" s="44">
        <f ca="1">'Total Trip Tables'!F160*1000000/'Updated Population'!F158</f>
        <v>14.783535592929802</v>
      </c>
      <c r="G17" s="44">
        <f ca="1">'Total Trip Tables'!G160*1000000/'Updated Population'!G158</f>
        <v>14.5788897981668</v>
      </c>
      <c r="H17" s="44">
        <f ca="1">'Total Trip Tables'!H160*1000000/'Updated Population'!H158</f>
        <v>14.408362643168756</v>
      </c>
      <c r="I17" s="44">
        <f ca="1">'Total Trip Tables'!I160*1000000/'Updated Population'!I158</f>
        <v>14.408362643168761</v>
      </c>
      <c r="J17" s="44">
        <f ca="1">'Total Trip Tables'!J160*1000000/'Updated Population'!J158</f>
        <v>14.408362643168761</v>
      </c>
      <c r="K17" s="45">
        <f ca="1">'Total Trip Tables'!K160*1000000/'Updated Population'!K158</f>
        <v>14.408362643168763</v>
      </c>
    </row>
    <row r="18" spans="1:11" ht="15.75" x14ac:dyDescent="0.25">
      <c r="A18" s="38" t="s">
        <v>81</v>
      </c>
      <c r="B18" s="19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2">
        <v>0</v>
      </c>
    </row>
    <row r="19" spans="1:11" ht="15.75" x14ac:dyDescent="0.25">
      <c r="A19" s="38" t="s">
        <v>82</v>
      </c>
      <c r="B19" s="19"/>
      <c r="C19" s="44">
        <f ca="1">'Total Distance Tables'!C160*1000000/'Updated Population'!C158</f>
        <v>71.973384244918606</v>
      </c>
      <c r="D19" s="44">
        <f ca="1">'Total Distance Tables'!D160*1000000/'Updated Population'!D158</f>
        <v>71.998885347507127</v>
      </c>
      <c r="E19" s="44">
        <f ca="1">'Total Distance Tables'!E160*1000000/'Updated Population'!E158</f>
        <v>70.899130350703544</v>
      </c>
      <c r="F19" s="44">
        <f ca="1">'Total Distance Tables'!F160*1000000/'Updated Population'!F158</f>
        <v>70.942411096835841</v>
      </c>
      <c r="G19" s="44">
        <f ca="1">'Total Distance Tables'!G160*1000000/'Updated Population'!G158</f>
        <v>72.295603205470485</v>
      </c>
      <c r="H19" s="44">
        <f ca="1">'Total Distance Tables'!H160*1000000/'Updated Population'!H158</f>
        <v>73.78445577755906</v>
      </c>
      <c r="I19" s="44">
        <f ca="1">'Total Distance Tables'!I160*1000000/'Updated Population'!I158</f>
        <v>73.784455777559046</v>
      </c>
      <c r="J19" s="44">
        <f ca="1">'Total Distance Tables'!J160*1000000/'Updated Population'!J158</f>
        <v>73.78445577755906</v>
      </c>
      <c r="K19" s="45">
        <f ca="1">'Total Distance Tables'!K160*1000000/'Updated Population'!K158</f>
        <v>73.784455777559046</v>
      </c>
    </row>
    <row r="20" spans="1:11" ht="15.75" x14ac:dyDescent="0.25">
      <c r="A20" s="38" t="s">
        <v>83</v>
      </c>
      <c r="B20" s="19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2">
        <v>0</v>
      </c>
    </row>
    <row r="21" spans="1:11" ht="15.75" x14ac:dyDescent="0.25">
      <c r="A21" s="38" t="s">
        <v>84</v>
      </c>
      <c r="B21" s="19"/>
      <c r="C21" s="44">
        <f ca="1">'Total Duration Tables'!C160*1000000/'Updated Population'!C158</f>
        <v>5.6790547618143066</v>
      </c>
      <c r="D21" s="44">
        <f ca="1">'Total Duration Tables'!D160*1000000/'Updated Population'!D158</f>
        <v>5.6564611088700723</v>
      </c>
      <c r="E21" s="44">
        <f ca="1">'Total Duration Tables'!E160*1000000/'Updated Population'!E158</f>
        <v>5.565363973527413</v>
      </c>
      <c r="F21" s="44">
        <f ca="1">'Total Duration Tables'!F160*1000000/'Updated Population'!F158</f>
        <v>5.5412186880983159</v>
      </c>
      <c r="G21" s="44">
        <f ca="1">'Total Duration Tables'!G160*1000000/'Updated Population'!G158</f>
        <v>5.5966058514167241</v>
      </c>
      <c r="H21" s="44">
        <f ca="1">'Total Duration Tables'!H160*1000000/'Updated Population'!H158</f>
        <v>5.6636030622295515</v>
      </c>
      <c r="I21" s="44">
        <f ca="1">'Total Duration Tables'!I160*1000000/'Updated Population'!I158</f>
        <v>5.6636030622295506</v>
      </c>
      <c r="J21" s="44">
        <f ca="1">'Total Duration Tables'!J160*1000000/'Updated Population'!J158</f>
        <v>5.663603062229555</v>
      </c>
      <c r="K21" s="45">
        <f ca="1">'Total Duration Tables'!K160*1000000/'Updated Population'!K158</f>
        <v>5.6636030622295541</v>
      </c>
    </row>
    <row r="22" spans="1:11" ht="15.75" x14ac:dyDescent="0.25">
      <c r="A22" s="38" t="s">
        <v>61</v>
      </c>
      <c r="B22" s="39"/>
      <c r="C22" s="40"/>
      <c r="D22" s="40"/>
      <c r="E22" s="40"/>
      <c r="F22" s="40"/>
      <c r="G22" s="40"/>
      <c r="H22" s="40"/>
      <c r="I22" s="40"/>
      <c r="J22" s="40"/>
      <c r="K22" s="41"/>
    </row>
    <row r="23" spans="1:11" ht="15.75" x14ac:dyDescent="0.25">
      <c r="A23" s="42" t="s">
        <v>64</v>
      </c>
      <c r="B23" s="19">
        <v>0</v>
      </c>
      <c r="C23" s="21">
        <v>0.25</v>
      </c>
      <c r="D23" s="21">
        <v>0.25</v>
      </c>
      <c r="E23" s="21">
        <v>0.25</v>
      </c>
      <c r="F23" s="21">
        <v>0.25</v>
      </c>
      <c r="G23" s="21">
        <v>0.25</v>
      </c>
      <c r="H23" s="21">
        <v>0.25</v>
      </c>
      <c r="I23" s="21">
        <v>0.25</v>
      </c>
      <c r="J23" s="21">
        <v>0.25</v>
      </c>
      <c r="K23" s="22">
        <v>0.25</v>
      </c>
    </row>
    <row r="24" spans="1:11" ht="16.5" thickBot="1" x14ac:dyDescent="0.3">
      <c r="A24" s="43" t="s">
        <v>65</v>
      </c>
      <c r="B24" s="24">
        <v>0</v>
      </c>
      <c r="C24" s="26">
        <v>0.25</v>
      </c>
      <c r="D24" s="26">
        <v>0.25</v>
      </c>
      <c r="E24" s="26">
        <v>0.25</v>
      </c>
      <c r="F24" s="26">
        <v>0.25</v>
      </c>
      <c r="G24" s="26">
        <v>0.25</v>
      </c>
      <c r="H24" s="26">
        <v>0.25</v>
      </c>
      <c r="I24" s="26">
        <v>0.25</v>
      </c>
      <c r="J24" s="26">
        <v>0.25</v>
      </c>
      <c r="K24" s="27">
        <v>0.25</v>
      </c>
    </row>
    <row r="25" spans="1:11" ht="13.5" thickTop="1" x14ac:dyDescent="0.2"/>
  </sheetData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K60"/>
  <sheetViews>
    <sheetView topLeftCell="A10" workbookViewId="0">
      <selection activeCell="G52" sqref="G52"/>
    </sheetView>
  </sheetViews>
  <sheetFormatPr defaultRowHeight="12.75" x14ac:dyDescent="0.2"/>
  <cols>
    <col min="1" max="1" width="76.140625" customWidth="1"/>
    <col min="2" max="11" width="17.85546875" customWidth="1"/>
  </cols>
  <sheetData>
    <row r="2" spans="1:11" ht="13.5" thickBot="1" x14ac:dyDescent="0.25"/>
    <row r="3" spans="1:11" ht="16.5" thickTop="1" x14ac:dyDescent="0.25">
      <c r="A3" s="6" t="s">
        <v>60</v>
      </c>
      <c r="B3" s="7"/>
      <c r="C3" s="7"/>
      <c r="D3" s="7"/>
      <c r="E3" s="7"/>
      <c r="F3" s="7"/>
      <c r="G3" s="7"/>
      <c r="H3" s="7"/>
      <c r="I3" s="7"/>
      <c r="J3" s="7"/>
      <c r="K3" s="9"/>
    </row>
    <row r="4" spans="1:11" ht="13.5" thickBot="1" x14ac:dyDescent="0.25">
      <c r="A4" s="10"/>
      <c r="B4" s="11" t="s">
        <v>22</v>
      </c>
      <c r="C4" s="11" t="s">
        <v>25</v>
      </c>
      <c r="D4" s="11" t="s">
        <v>26</v>
      </c>
      <c r="E4" s="11" t="s">
        <v>27</v>
      </c>
      <c r="F4" s="11" t="s">
        <v>28</v>
      </c>
      <c r="G4" s="11" t="s">
        <v>29</v>
      </c>
      <c r="H4" s="11" t="s">
        <v>30</v>
      </c>
      <c r="I4" s="11" t="s">
        <v>120</v>
      </c>
      <c r="J4" s="11" t="s">
        <v>121</v>
      </c>
      <c r="K4" s="12" t="s">
        <v>122</v>
      </c>
    </row>
    <row r="5" spans="1:11" ht="14.25" thickTop="1" thickBot="1" x14ac:dyDescent="0.25">
      <c r="A5" s="13"/>
      <c r="B5" s="14" t="s">
        <v>31</v>
      </c>
      <c r="C5" s="14" t="s">
        <v>32</v>
      </c>
      <c r="D5" s="14" t="s">
        <v>32</v>
      </c>
      <c r="E5" s="14" t="s">
        <v>32</v>
      </c>
      <c r="F5" s="14" t="s">
        <v>32</v>
      </c>
      <c r="G5" s="14" t="s">
        <v>32</v>
      </c>
      <c r="H5" s="14" t="s">
        <v>32</v>
      </c>
      <c r="I5" s="14" t="s">
        <v>32</v>
      </c>
      <c r="J5" s="14" t="s">
        <v>32</v>
      </c>
      <c r="K5" s="15" t="s">
        <v>32</v>
      </c>
    </row>
    <row r="6" spans="1:11" ht="16.5" thickTop="1" x14ac:dyDescent="0.25">
      <c r="A6" s="16" t="s">
        <v>34</v>
      </c>
      <c r="B6" s="35"/>
      <c r="C6" s="36"/>
      <c r="D6" s="36"/>
      <c r="E6" s="36"/>
      <c r="F6" s="36"/>
      <c r="G6" s="36"/>
      <c r="H6" s="36"/>
      <c r="I6" s="36"/>
      <c r="J6" s="36"/>
      <c r="K6" s="37"/>
    </row>
    <row r="7" spans="1:11" ht="15.75" x14ac:dyDescent="0.25">
      <c r="A7" s="38" t="s">
        <v>85</v>
      </c>
      <c r="B7" s="46">
        <f>'[1]Transition '!B$30-1</f>
        <v>-5.1909862460461476E-2</v>
      </c>
      <c r="C7" s="21">
        <f>'[1]Transition '!C$30-1</f>
        <v>0.92922336892219826</v>
      </c>
      <c r="D7" s="21">
        <f>'[1]Transition '!D$30-1</f>
        <v>2.123397949541312</v>
      </c>
      <c r="E7" s="21">
        <f>'[1]Transition '!E$30-1</f>
        <v>3.1465737157088958</v>
      </c>
      <c r="F7" s="21">
        <f>'[1]Transition '!F$30-1</f>
        <v>3.48351564957657</v>
      </c>
      <c r="G7" s="21">
        <f>'[1]Transition '!G$30-1</f>
        <v>3.8558252426324851</v>
      </c>
      <c r="H7" s="21">
        <f>'[1]Transition '!H$30-1</f>
        <v>4.2294284789181615</v>
      </c>
      <c r="I7" s="21">
        <f>'[1]Transition '!I$30-1</f>
        <v>4.5298819820419149</v>
      </c>
      <c r="J7" s="21">
        <f>'[1]Transition '!J$30-1</f>
        <v>4.8442434518179809</v>
      </c>
      <c r="K7" s="22">
        <f>'[1]Transition '!K$30-1</f>
        <v>5.1897779032082072</v>
      </c>
    </row>
    <row r="8" spans="1:11" ht="15.75" x14ac:dyDescent="0.25">
      <c r="A8" s="38" t="s">
        <v>87</v>
      </c>
      <c r="B8" s="51">
        <f ca="1">'Total Trip Tables Sup #2'!B22</f>
        <v>10.038805999999999</v>
      </c>
      <c r="C8" s="44">
        <f ca="1">'Total Trip Tables Sup #2'!C22</f>
        <v>23.030051148231347</v>
      </c>
      <c r="D8" s="44">
        <f ca="1">'Total Trip Tables Sup #2'!D22</f>
        <v>40.204551889388078</v>
      </c>
      <c r="E8" s="44">
        <f ca="1">'Total Trip Tables Sup #2'!E22</f>
        <v>57.379052630544813</v>
      </c>
      <c r="F8" s="44">
        <f ca="1">'Total Trip Tables Sup #2'!F22</f>
        <v>65.919788123534445</v>
      </c>
      <c r="G8" s="44">
        <f ca="1">'Total Trip Tables Sup #2'!G22</f>
        <v>74.460523616524071</v>
      </c>
      <c r="H8" s="44">
        <f ca="1">'Total Trip Tables Sup #2'!H22</f>
        <v>83.001259109513697</v>
      </c>
      <c r="I8" s="44">
        <f ca="1">'Total Trip Tables Sup #2'!I22</f>
        <v>91.541994602503323</v>
      </c>
      <c r="J8" s="44">
        <f ca="1">'Total Trip Tables Sup #2'!J22</f>
        <v>100.58245310451453</v>
      </c>
      <c r="K8" s="45">
        <f ca="1">'Total Trip Tables Sup #2'!K22</f>
        <v>110.51572468408075</v>
      </c>
    </row>
    <row r="9" spans="1:11" ht="15.75" x14ac:dyDescent="0.25">
      <c r="A9" s="38" t="s">
        <v>94</v>
      </c>
      <c r="B9" s="46">
        <f>'[1]Transition '!B$31-1</f>
        <v>0.25664940432640004</v>
      </c>
      <c r="C9" s="21">
        <f>'[1]Transition '!C$31-1</f>
        <v>1.2936556106006964</v>
      </c>
      <c r="D9" s="21">
        <f>'[1]Transition '!D$31-1</f>
        <v>3.3203624402873233</v>
      </c>
      <c r="E9" s="21">
        <f>'[1]Transition '!E$31-1</f>
        <v>5.0760797357522387</v>
      </c>
      <c r="F9" s="21">
        <f>'[1]Transition '!F$31-1</f>
        <v>5.6819455632741089</v>
      </c>
      <c r="G9" s="21">
        <f>'[1]Transition '!G$31-1</f>
        <v>6.312884286797189</v>
      </c>
      <c r="H9" s="21">
        <f>'[1]Transition '!H$31-1</f>
        <v>6.934249919146402</v>
      </c>
      <c r="I9" s="21">
        <f>'[1]Transition '!I$31-1</f>
        <v>7.468889343292652</v>
      </c>
      <c r="J9" s="21">
        <f>'[1]Transition '!J$31-1</f>
        <v>8.0276532051720597</v>
      </c>
      <c r="K9" s="22">
        <f>'[1]Transition '!K$31-1</f>
        <v>8.6440090170115429</v>
      </c>
    </row>
    <row r="10" spans="1:11" ht="15.75" x14ac:dyDescent="0.25">
      <c r="A10" s="38" t="s">
        <v>89</v>
      </c>
      <c r="B10" s="51">
        <f ca="1">'Total Distance Tables Sup #2'!B22</f>
        <v>158.68929399999999</v>
      </c>
      <c r="C10" s="44">
        <f ca="1">'Total Distance Tables Sup #2'!C22</f>
        <v>331.03360862840913</v>
      </c>
      <c r="D10" s="44">
        <f ca="1">'Total Distance Tables Sup #2'!D22</f>
        <v>675.59989177045463</v>
      </c>
      <c r="E10" s="44">
        <f ca="1">'Total Distance Tables Sup #2'!E22</f>
        <v>1020.1661749125</v>
      </c>
      <c r="F10" s="44">
        <f ca="1">'Total Distance Tables Sup #2'!F22</f>
        <v>1195.1627346</v>
      </c>
      <c r="G10" s="44">
        <f ca="1">'Total Distance Tables Sup #2'!G22</f>
        <v>1370.1592942875</v>
      </c>
      <c r="H10" s="44">
        <f ca="1">'Total Distance Tables Sup #2'!H22</f>
        <v>1545.1558539749999</v>
      </c>
      <c r="I10" s="44">
        <f ca="1">'Total Distance Tables Sup #2'!I22</f>
        <v>1720.1524136625003</v>
      </c>
      <c r="J10" s="44">
        <f ca="1">'Total Distance Tables Sup #2'!J22</f>
        <v>1906.3592873350085</v>
      </c>
      <c r="K10" s="45">
        <f ca="1">'Total Distance Tables Sup #2'!K22</f>
        <v>2112.7230956648732</v>
      </c>
    </row>
    <row r="11" spans="1:11" ht="15.75" x14ac:dyDescent="0.25">
      <c r="A11" s="38" t="s">
        <v>95</v>
      </c>
      <c r="B11" s="46">
        <f>'[1]Transition '!B$32-1</f>
        <v>0.25664940432640004</v>
      </c>
      <c r="C11" s="21">
        <f>'[1]Transition '!C$32-1</f>
        <v>1.2925800761473454</v>
      </c>
      <c r="D11" s="21">
        <f>'[1]Transition '!D$32-1</f>
        <v>3.30712661223588</v>
      </c>
      <c r="E11" s="21">
        <f>'[1]Transition '!E$32-1</f>
        <v>5.0634122924469587</v>
      </c>
      <c r="F11" s="21">
        <f>'[1]Transition '!F$32-1</f>
        <v>5.6970856810023145</v>
      </c>
      <c r="G11" s="21">
        <f>'[1]Transition '!G$32-1</f>
        <v>6.3312050555085744</v>
      </c>
      <c r="H11" s="21">
        <f>'[1]Transition '!H$32-1</f>
        <v>6.9587296700766048</v>
      </c>
      <c r="I11" s="21">
        <f>'[1]Transition '!I$32-1</f>
        <v>7.4950186313654861</v>
      </c>
      <c r="J11" s="21">
        <f>'[1]Transition '!J$32-1</f>
        <v>8.0555064621527315</v>
      </c>
      <c r="K11" s="22">
        <f>'[1]Transition '!K$32-1</f>
        <v>8.6737639328650715</v>
      </c>
    </row>
    <row r="12" spans="1:11" ht="15.75" x14ac:dyDescent="0.25">
      <c r="A12" s="38" t="s">
        <v>92</v>
      </c>
      <c r="B12" s="44">
        <f ca="1">'Total Duration Tables Sup #2'!B22</f>
        <v>5.3839181294388831</v>
      </c>
      <c r="C12" s="44">
        <f ca="1">'Total Duration Tables Sup #2'!C22</f>
        <v>11.231115861843003</v>
      </c>
      <c r="D12" s="44">
        <f ca="1">'Total Duration Tables Sup #2'!D22</f>
        <v>22.921360438782326</v>
      </c>
      <c r="E12" s="44">
        <f ca="1">'Total Duration Tables Sup #2'!E22</f>
        <v>34.611605015721651</v>
      </c>
      <c r="F12" s="44">
        <f ca="1">'Total Duration Tables Sup #2'!F22</f>
        <v>40.548786576885853</v>
      </c>
      <c r="G12" s="44">
        <f ca="1">'Total Duration Tables Sup #2'!G22</f>
        <v>46.485968138050055</v>
      </c>
      <c r="H12" s="44">
        <f ca="1">'Total Duration Tables Sup #2'!H22</f>
        <v>52.42314969921425</v>
      </c>
      <c r="I12" s="44">
        <f ca="1">'Total Duration Tables Sup #2'!I22</f>
        <v>58.360331260378452</v>
      </c>
      <c r="J12" s="44">
        <f ca="1">'Total Duration Tables Sup #2'!J22</f>
        <v>64.677849838484633</v>
      </c>
      <c r="K12" s="45">
        <f ca="1">'Total Duration Tables Sup #2'!K22</f>
        <v>71.679241179523743</v>
      </c>
    </row>
    <row r="13" spans="1:11" ht="15.75" x14ac:dyDescent="0.25">
      <c r="A13" s="38" t="s">
        <v>61</v>
      </c>
      <c r="B13" s="39"/>
      <c r="C13" s="40"/>
      <c r="D13" s="40"/>
      <c r="E13" s="40"/>
      <c r="F13" s="40"/>
      <c r="G13" s="40"/>
      <c r="H13" s="40"/>
      <c r="I13" s="40"/>
      <c r="J13" s="40"/>
      <c r="K13" s="41"/>
    </row>
    <row r="14" spans="1:11" ht="15.75" x14ac:dyDescent="0.25">
      <c r="A14" s="42" t="s">
        <v>62</v>
      </c>
      <c r="B14" s="46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2">
        <v>0</v>
      </c>
    </row>
    <row r="15" spans="1:11" ht="15.75" x14ac:dyDescent="0.25">
      <c r="A15" s="42" t="s">
        <v>63</v>
      </c>
      <c r="B15" s="46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2">
        <v>0</v>
      </c>
    </row>
    <row r="16" spans="1:11" ht="15.75" x14ac:dyDescent="0.25">
      <c r="A16" s="42" t="s">
        <v>64</v>
      </c>
      <c r="B16" s="46">
        <v>0.25</v>
      </c>
      <c r="C16" s="21">
        <v>0.25</v>
      </c>
      <c r="D16" s="21">
        <v>0.25</v>
      </c>
      <c r="E16" s="21">
        <v>0.25</v>
      </c>
      <c r="F16" s="21">
        <v>0.25</v>
      </c>
      <c r="G16" s="21">
        <v>0.25</v>
      </c>
      <c r="H16" s="21">
        <v>0.25</v>
      </c>
      <c r="I16" s="21">
        <v>0.25</v>
      </c>
      <c r="J16" s="21">
        <v>0.25</v>
      </c>
      <c r="K16" s="22">
        <v>0.25</v>
      </c>
    </row>
    <row r="17" spans="1:11" ht="15.75" x14ac:dyDescent="0.25">
      <c r="A17" s="42" t="s">
        <v>65</v>
      </c>
      <c r="B17" s="46">
        <v>0.25</v>
      </c>
      <c r="C17" s="21">
        <v>0.25</v>
      </c>
      <c r="D17" s="21">
        <v>0.25</v>
      </c>
      <c r="E17" s="21">
        <v>0.25</v>
      </c>
      <c r="F17" s="21">
        <v>0.25</v>
      </c>
      <c r="G17" s="21">
        <v>0.25</v>
      </c>
      <c r="H17" s="21">
        <v>0.25</v>
      </c>
      <c r="I17" s="21">
        <v>0.25</v>
      </c>
      <c r="J17" s="21">
        <v>0.25</v>
      </c>
      <c r="K17" s="22">
        <v>0.25</v>
      </c>
    </row>
    <row r="18" spans="1:11" ht="15.75" x14ac:dyDescent="0.25">
      <c r="A18" s="42" t="s">
        <v>66</v>
      </c>
      <c r="B18" s="46">
        <v>0.5</v>
      </c>
      <c r="C18" s="21">
        <v>0.5</v>
      </c>
      <c r="D18" s="21">
        <v>0.5</v>
      </c>
      <c r="E18" s="21">
        <v>0.5</v>
      </c>
      <c r="F18" s="21">
        <v>0.5</v>
      </c>
      <c r="G18" s="21">
        <v>0.5</v>
      </c>
      <c r="H18" s="21">
        <v>0.5</v>
      </c>
      <c r="I18" s="21">
        <v>0.5</v>
      </c>
      <c r="J18" s="21">
        <v>0.5</v>
      </c>
      <c r="K18" s="22">
        <v>0.5</v>
      </c>
    </row>
    <row r="19" spans="1:11" ht="15.75" x14ac:dyDescent="0.25">
      <c r="A19" s="38" t="s">
        <v>96</v>
      </c>
      <c r="B19" s="46">
        <f>'[1]Transition '!B$33-1</f>
        <v>-1.6053243572075382E-2</v>
      </c>
      <c r="C19" s="21">
        <f>'[1]Transition '!C$33-1</f>
        <v>8.3007539104317685E-2</v>
      </c>
      <c r="D19" s="21">
        <f>'[1]Transition '!D$33-1</f>
        <v>0.1584383991115319</v>
      </c>
      <c r="E19" s="21">
        <f>'[1]Transition '!E$33-1</f>
        <v>0.21301294727609377</v>
      </c>
      <c r="F19" s="21">
        <f>'[1]Transition '!F$33-1</f>
        <v>0.28089776340169403</v>
      </c>
      <c r="G19" s="21">
        <f>'[1]Transition '!G$33-1</f>
        <v>0.34574086129613635</v>
      </c>
      <c r="H19" s="21">
        <f>'[1]Transition '!H$33-1</f>
        <v>0.41451693086053498</v>
      </c>
      <c r="I19" s="21">
        <f>'[1]Transition '!I$33-1</f>
        <v>0.45987702580468892</v>
      </c>
      <c r="J19" s="21">
        <f>'[1]Transition '!J$33-1</f>
        <v>0.50827594099222151</v>
      </c>
      <c r="K19" s="22">
        <f>'[1]Transition '!K$33-1</f>
        <v>0.56163546803384534</v>
      </c>
    </row>
    <row r="20" spans="1:11" ht="15.75" x14ac:dyDescent="0.25">
      <c r="A20" s="38" t="s">
        <v>88</v>
      </c>
      <c r="B20" s="51">
        <f ca="1">'Total Trip Tables Sup #2'!B23</f>
        <v>53.530078000000003</v>
      </c>
      <c r="C20" s="44">
        <f ca="1">'Total Trip Tables Sup #2'!C23</f>
        <v>64.26598828507818</v>
      </c>
      <c r="D20" s="44">
        <f ca="1">'Total Trip Tables Sup #2'!D23</f>
        <v>72.108264710469086</v>
      </c>
      <c r="E20" s="44">
        <f ca="1">'Total Trip Tables Sup #2'!E23</f>
        <v>79.950541135859993</v>
      </c>
      <c r="F20" s="44">
        <f ca="1">'Total Trip Tables Sup #2'!F23</f>
        <v>87.877894843709996</v>
      </c>
      <c r="G20" s="44">
        <f ca="1">'Total Trip Tables Sup #2'!G23</f>
        <v>95.805248551559998</v>
      </c>
      <c r="H20" s="44">
        <f ca="1">'Total Trip Tables Sup #2'!H23</f>
        <v>103.73260225940999</v>
      </c>
      <c r="I20" s="44">
        <f ca="1">'Total Trip Tables Sup #2'!I23</f>
        <v>111.65995596725999</v>
      </c>
      <c r="J20" s="44">
        <f ca="1">'Total Trip Tables Sup #2'!J23</f>
        <v>119.93650742298864</v>
      </c>
      <c r="K20" s="45">
        <f ca="1">'Total Trip Tables Sup #2'!K23</f>
        <v>128.82654025980801</v>
      </c>
    </row>
    <row r="21" spans="1:11" ht="15.75" x14ac:dyDescent="0.25">
      <c r="A21" s="38" t="s">
        <v>97</v>
      </c>
      <c r="B21" s="46">
        <f>'[1]Transition '!B$34-1</f>
        <v>-1.105176939772301E-3</v>
      </c>
      <c r="C21" s="21">
        <f>'[1]Transition '!C$34-1</f>
        <v>4.661368971355051E-3</v>
      </c>
      <c r="D21" s="21">
        <f>'[1]Transition '!D$34-1</f>
        <v>0.2907847563447119</v>
      </c>
      <c r="E21" s="21">
        <f>'[1]Transition '!E$34-1</f>
        <v>0.53917285241550417</v>
      </c>
      <c r="F21" s="21">
        <f>'[1]Transition '!F$34-1</f>
        <v>0.67393462136734361</v>
      </c>
      <c r="G21" s="21">
        <f>'[1]Transition '!G$34-1</f>
        <v>0.79975702617632272</v>
      </c>
      <c r="H21" s="21">
        <f>'[1]Transition '!H$34-1</f>
        <v>0.92891868394525856</v>
      </c>
      <c r="I21" s="21">
        <f>'[1]Transition '!I$34-1</f>
        <v>1.0200758711641384</v>
      </c>
      <c r="J21" s="21">
        <f>'[1]Transition '!J$34-1</f>
        <v>1.1158111479412391</v>
      </c>
      <c r="K21" s="22">
        <f>'[1]Transition '!K$34-1</f>
        <v>1.2208562669733793</v>
      </c>
    </row>
    <row r="22" spans="1:11" ht="15.75" x14ac:dyDescent="0.25">
      <c r="A22" s="38" t="s">
        <v>90</v>
      </c>
      <c r="B22" s="51">
        <f ca="1">'Total Distance Tables Sup #2'!B23</f>
        <v>438.79018300000001</v>
      </c>
      <c r="C22" s="44">
        <f ca="1">'Total Distance Tables Sup #2'!C23</f>
        <v>486.44452630950911</v>
      </c>
      <c r="D22" s="44">
        <f ca="1">'Total Distance Tables Sup #2'!D23</f>
        <v>659.14450785705458</v>
      </c>
      <c r="E22" s="44">
        <f ca="1">'Total Distance Tables Sup #2'!E23</f>
        <v>831.84448940459993</v>
      </c>
      <c r="F22" s="44">
        <f ca="1">'Total Distance Tables Sup #2'!F23</f>
        <v>937.96868805772499</v>
      </c>
      <c r="G22" s="44">
        <f ca="1">'Total Distance Tables Sup #2'!G23</f>
        <v>1044.0928867108501</v>
      </c>
      <c r="H22" s="44">
        <f ca="1">'Total Distance Tables Sup #2'!H23</f>
        <v>1150.217085363975</v>
      </c>
      <c r="I22" s="44">
        <f ca="1">'Total Distance Tables Sup #2'!I23</f>
        <v>1256.3412840171</v>
      </c>
      <c r="J22" s="44">
        <f ca="1">'Total Distance Tables Sup #2'!J23</f>
        <v>1368.0635351474684</v>
      </c>
      <c r="K22" s="45">
        <f ca="1">'Total Distance Tables Sup #2'!K23</f>
        <v>1489.7208744234135</v>
      </c>
    </row>
    <row r="23" spans="1:11" ht="15.75" x14ac:dyDescent="0.25">
      <c r="A23" s="38" t="s">
        <v>98</v>
      </c>
      <c r="B23" s="46">
        <f>'[1]Transition '!B$35-1</f>
        <v>-1.105176939772412E-3</v>
      </c>
      <c r="C23" s="21">
        <f>'[1]Transition '!C$35-1</f>
        <v>6.1853723655385107E-3</v>
      </c>
      <c r="D23" s="21">
        <f>'[1]Transition '!D$35-1</f>
        <v>0.2974079117855295</v>
      </c>
      <c r="E23" s="21">
        <f>'[1]Transition '!E$35-1</f>
        <v>0.54739864059758503</v>
      </c>
      <c r="F23" s="21">
        <f>'[1]Transition '!F$35-1</f>
        <v>0.68054375504779108</v>
      </c>
      <c r="G23" s="21">
        <f>'[1]Transition '!G$35-1</f>
        <v>0.8045473728694712</v>
      </c>
      <c r="H23" s="21">
        <f>'[1]Transition '!H$35-1</f>
        <v>0.93118676803981226</v>
      </c>
      <c r="I23" s="21">
        <f>'[1]Transition '!I$35-1</f>
        <v>1.0224511407860848</v>
      </c>
      <c r="J23" s="21">
        <f>'[1]Transition '!J$35-1</f>
        <v>1.1182989861542576</v>
      </c>
      <c r="K23" s="22">
        <f>'[1]Transition '!K$35-1</f>
        <v>1.2234676205868502</v>
      </c>
    </row>
    <row r="24" spans="1:11" ht="15.75" x14ac:dyDescent="0.25">
      <c r="A24" s="38" t="s">
        <v>91</v>
      </c>
      <c r="B24" s="51">
        <f ca="1">'Total Duration Tables Sup #2'!B23</f>
        <v>22.597670440041398</v>
      </c>
      <c r="C24" s="44">
        <f ca="1">'Total Duration Tables Sup #2'!C23</f>
        <v>25.051866515674377</v>
      </c>
      <c r="D24" s="44">
        <f ca="1">'Total Duration Tables Sup #2'!D23</f>
        <v>33.945906125518299</v>
      </c>
      <c r="E24" s="44">
        <f ca="1">'Total Duration Tables Sup #2'!E23</f>
        <v>42.839945735362214</v>
      </c>
      <c r="F24" s="44">
        <f ca="1">'Total Duration Tables Sup #2'!F23</f>
        <v>48.305336165204189</v>
      </c>
      <c r="G24" s="44">
        <f ca="1">'Total Duration Tables Sup #2'!G23</f>
        <v>53.770726595046149</v>
      </c>
      <c r="H24" s="44">
        <f ca="1">'Total Duration Tables Sup #2'!H23</f>
        <v>59.236117024888109</v>
      </c>
      <c r="I24" s="44">
        <f ca="1">'Total Duration Tables Sup #2'!I23</f>
        <v>64.701507454730077</v>
      </c>
      <c r="J24" s="44">
        <f ca="1">'Total Duration Tables Sup #2'!J23</f>
        <v>70.455197281158135</v>
      </c>
      <c r="K24" s="45">
        <f ca="1">'Total Duration Tables Sup #2'!K23</f>
        <v>76.720543604027242</v>
      </c>
    </row>
    <row r="25" spans="1:11" ht="15.75" x14ac:dyDescent="0.25">
      <c r="A25" s="38" t="s">
        <v>61</v>
      </c>
      <c r="B25" s="39"/>
      <c r="C25" s="40"/>
      <c r="D25" s="40"/>
      <c r="E25" s="40"/>
      <c r="F25" s="40"/>
      <c r="G25" s="40"/>
      <c r="H25" s="40"/>
      <c r="I25" s="40"/>
      <c r="J25" s="40"/>
      <c r="K25" s="41"/>
    </row>
    <row r="26" spans="1:11" ht="15.75" x14ac:dyDescent="0.25">
      <c r="A26" s="42" t="s">
        <v>62</v>
      </c>
      <c r="B26" s="46">
        <v>0.05</v>
      </c>
      <c r="C26" s="21">
        <v>0.05</v>
      </c>
      <c r="D26" s="21">
        <v>0.05</v>
      </c>
      <c r="E26" s="21">
        <v>0.05</v>
      </c>
      <c r="F26" s="21">
        <v>0.05</v>
      </c>
      <c r="G26" s="21">
        <v>0.05</v>
      </c>
      <c r="H26" s="21">
        <v>0.05</v>
      </c>
      <c r="I26" s="21">
        <v>0.05</v>
      </c>
      <c r="J26" s="21">
        <v>0.05</v>
      </c>
      <c r="K26" s="22">
        <v>0.05</v>
      </c>
    </row>
    <row r="27" spans="1:11" ht="15.75" x14ac:dyDescent="0.25">
      <c r="A27" s="42" t="s">
        <v>63</v>
      </c>
      <c r="B27" s="46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2">
        <v>0</v>
      </c>
    </row>
    <row r="28" spans="1:11" ht="15.75" x14ac:dyDescent="0.25">
      <c r="A28" s="42" t="s">
        <v>64</v>
      </c>
      <c r="B28" s="46">
        <v>0.4</v>
      </c>
      <c r="C28" s="21">
        <v>0.4</v>
      </c>
      <c r="D28" s="21">
        <v>0.4</v>
      </c>
      <c r="E28" s="21">
        <v>0.4</v>
      </c>
      <c r="F28" s="21">
        <v>0.4</v>
      </c>
      <c r="G28" s="21">
        <v>0.4</v>
      </c>
      <c r="H28" s="21">
        <v>0.4</v>
      </c>
      <c r="I28" s="21">
        <v>0.4</v>
      </c>
      <c r="J28" s="21">
        <v>0.4</v>
      </c>
      <c r="K28" s="22">
        <v>0.4</v>
      </c>
    </row>
    <row r="29" spans="1:11" ht="15.75" x14ac:dyDescent="0.25">
      <c r="A29" s="42" t="s">
        <v>65</v>
      </c>
      <c r="B29" s="46">
        <v>0.4</v>
      </c>
      <c r="C29" s="21">
        <v>0.4</v>
      </c>
      <c r="D29" s="21">
        <v>0.4</v>
      </c>
      <c r="E29" s="21">
        <v>0.4</v>
      </c>
      <c r="F29" s="21">
        <v>0.4</v>
      </c>
      <c r="G29" s="21">
        <v>0.4</v>
      </c>
      <c r="H29" s="21">
        <v>0.4</v>
      </c>
      <c r="I29" s="21">
        <v>0.4</v>
      </c>
      <c r="J29" s="21">
        <v>0.4</v>
      </c>
      <c r="K29" s="22">
        <v>0.4</v>
      </c>
    </row>
    <row r="30" spans="1:11" ht="15.75" x14ac:dyDescent="0.25">
      <c r="A30" s="47" t="s">
        <v>86</v>
      </c>
      <c r="B30" s="46">
        <f>'[1]Summary Data'!$B$32-1</f>
        <v>0.15049422239561072</v>
      </c>
      <c r="C30" s="21">
        <f>B30</f>
        <v>0.15049422239561072</v>
      </c>
      <c r="D30" s="21">
        <f t="shared" ref="D30:K30" si="0">C30</f>
        <v>0.15049422239561072</v>
      </c>
      <c r="E30" s="21">
        <f t="shared" si="0"/>
        <v>0.15049422239561072</v>
      </c>
      <c r="F30" s="21">
        <f t="shared" si="0"/>
        <v>0.15049422239561072</v>
      </c>
      <c r="G30" s="21">
        <f t="shared" si="0"/>
        <v>0.15049422239561072</v>
      </c>
      <c r="H30" s="21">
        <f t="shared" si="0"/>
        <v>0.15049422239561072</v>
      </c>
      <c r="I30" s="21">
        <f t="shared" si="0"/>
        <v>0.15049422239561072</v>
      </c>
      <c r="J30" s="21">
        <f t="shared" si="0"/>
        <v>0.15049422239561072</v>
      </c>
      <c r="K30" s="22">
        <f t="shared" si="0"/>
        <v>0.15049422239561072</v>
      </c>
    </row>
    <row r="31" spans="1:11" ht="15.75" x14ac:dyDescent="0.25">
      <c r="A31" s="38" t="s">
        <v>93</v>
      </c>
      <c r="B31" s="51">
        <f ca="1">'Total Trip Tables Sup #2'!B24</f>
        <v>4.957052</v>
      </c>
      <c r="C31" s="44">
        <f ca="1">'Total Trip Tables Sup #2'!C24</f>
        <v>5.8793667899714759</v>
      </c>
      <c r="D31" s="44">
        <f ca="1">'Total Trip Tables Sup #2'!D24</f>
        <v>6.6355346336977679</v>
      </c>
      <c r="E31" s="44">
        <f ca="1">'Total Trip Tables Sup #2'!E24</f>
        <v>7.2353563138551857</v>
      </c>
      <c r="F31" s="44">
        <f ca="1">'Total Trip Tables Sup #2'!F24</f>
        <v>7.7809627400979959</v>
      </c>
      <c r="G31" s="44">
        <f ca="1">'Total Trip Tables Sup #2'!G24</f>
        <v>8.5159269977960808</v>
      </c>
      <c r="H31" s="44">
        <f ca="1">'Total Trip Tables Sup #2'!H24</f>
        <v>9.2340314944802184</v>
      </c>
      <c r="I31" s="44">
        <f ca="1">'Total Trip Tables Sup #2'!I24</f>
        <v>9.480989546176664</v>
      </c>
      <c r="J31" s="44">
        <f ca="1">'Total Trip Tables Sup #2'!J24</f>
        <v>9.705701005093573</v>
      </c>
      <c r="K31" s="45">
        <f ca="1">'Total Trip Tables Sup #2'!K24</f>
        <v>9.9165762033681695</v>
      </c>
    </row>
    <row r="32" spans="1:11" ht="15.75" x14ac:dyDescent="0.25">
      <c r="A32" s="47" t="s">
        <v>99</v>
      </c>
      <c r="B32" s="46">
        <f>'[1]Summary Data'!$B$32-1</f>
        <v>0.15049422239561072</v>
      </c>
      <c r="C32" s="21">
        <f>B32</f>
        <v>0.15049422239561072</v>
      </c>
      <c r="D32" s="21">
        <f t="shared" ref="D32:K32" si="1">C32</f>
        <v>0.15049422239561072</v>
      </c>
      <c r="E32" s="21">
        <f t="shared" si="1"/>
        <v>0.15049422239561072</v>
      </c>
      <c r="F32" s="21">
        <f t="shared" si="1"/>
        <v>0.15049422239561072</v>
      </c>
      <c r="G32" s="21">
        <f t="shared" si="1"/>
        <v>0.15049422239561072</v>
      </c>
      <c r="H32" s="21">
        <f t="shared" si="1"/>
        <v>0.15049422239561072</v>
      </c>
      <c r="I32" s="21">
        <f t="shared" si="1"/>
        <v>0.15049422239561072</v>
      </c>
      <c r="J32" s="21">
        <f t="shared" si="1"/>
        <v>0.15049422239561072</v>
      </c>
      <c r="K32" s="22">
        <f t="shared" si="1"/>
        <v>0.15049422239561072</v>
      </c>
    </row>
    <row r="33" spans="1:11" ht="15.75" x14ac:dyDescent="0.25">
      <c r="A33" s="38" t="s">
        <v>100</v>
      </c>
      <c r="B33" s="51">
        <f ca="1">'Total Distance Tables Sup #2'!B24</f>
        <v>0</v>
      </c>
      <c r="C33" s="44">
        <f ca="1">'Total Distance Tables Sup #2'!C24</f>
        <v>0</v>
      </c>
      <c r="D33" s="44">
        <f ca="1">'Total Distance Tables Sup #2'!D24</f>
        <v>0</v>
      </c>
      <c r="E33" s="44">
        <f ca="1">'Total Distance Tables Sup #2'!E24</f>
        <v>0</v>
      </c>
      <c r="F33" s="44">
        <f ca="1">'Total Distance Tables Sup #2'!F24</f>
        <v>0</v>
      </c>
      <c r="G33" s="44">
        <f ca="1">'Total Distance Tables Sup #2'!G24</f>
        <v>0</v>
      </c>
      <c r="H33" s="44">
        <f ca="1">'Total Distance Tables Sup #2'!H24</f>
        <v>0</v>
      </c>
      <c r="I33" s="44">
        <f ca="1">'Total Distance Tables Sup #2'!I24</f>
        <v>0</v>
      </c>
      <c r="J33" s="44">
        <f ca="1">'Total Distance Tables Sup #2'!J24</f>
        <v>0</v>
      </c>
      <c r="K33" s="45">
        <f ca="1">'Total Distance Tables Sup #2'!K24</f>
        <v>0</v>
      </c>
    </row>
    <row r="34" spans="1:11" ht="15.75" x14ac:dyDescent="0.25">
      <c r="A34" s="47" t="s">
        <v>101</v>
      </c>
      <c r="B34" s="46">
        <f>'[1]Summary Data'!$B$32-1</f>
        <v>0.15049422239561072</v>
      </c>
      <c r="C34" s="21">
        <f>B34</f>
        <v>0.15049422239561072</v>
      </c>
      <c r="D34" s="21">
        <f t="shared" ref="D34:K34" si="2">C34</f>
        <v>0.15049422239561072</v>
      </c>
      <c r="E34" s="21">
        <f t="shared" si="2"/>
        <v>0.15049422239561072</v>
      </c>
      <c r="F34" s="21">
        <f t="shared" si="2"/>
        <v>0.15049422239561072</v>
      </c>
      <c r="G34" s="21">
        <f t="shared" si="2"/>
        <v>0.15049422239561072</v>
      </c>
      <c r="H34" s="21">
        <f t="shared" si="2"/>
        <v>0.15049422239561072</v>
      </c>
      <c r="I34" s="21">
        <f t="shared" si="2"/>
        <v>0.15049422239561072</v>
      </c>
      <c r="J34" s="21">
        <f t="shared" si="2"/>
        <v>0.15049422239561072</v>
      </c>
      <c r="K34" s="22">
        <f t="shared" si="2"/>
        <v>0.15049422239561072</v>
      </c>
    </row>
    <row r="35" spans="1:11" ht="16.5" thickBot="1" x14ac:dyDescent="0.3">
      <c r="A35" s="48" t="s">
        <v>102</v>
      </c>
      <c r="B35" s="52">
        <f ca="1">'Total Duration Tables Sup #2'!B24</f>
        <v>1.3948644118033415</v>
      </c>
      <c r="C35" s="49">
        <f ca="1">'Total Duration Tables Sup #2'!C24</f>
        <v>1.6612063486495077</v>
      </c>
      <c r="D35" s="49">
        <f ca="1">'Total Duration Tables Sup #2'!D24</f>
        <v>1.8646340039283227</v>
      </c>
      <c r="E35" s="49">
        <f ca="1">'Total Duration Tables Sup #2'!E24</f>
        <v>2.0230273893941488</v>
      </c>
      <c r="F35" s="49">
        <f ca="1">'Total Duration Tables Sup #2'!F24</f>
        <v>2.1683508155876039</v>
      </c>
      <c r="G35" s="49">
        <f ca="1">'Total Duration Tables Sup #2'!G24</f>
        <v>2.3572644298088012</v>
      </c>
      <c r="H35" s="49">
        <f ca="1">'Total Duration Tables Sup #2'!H24</f>
        <v>2.5396203350493005</v>
      </c>
      <c r="I35" s="49">
        <f ca="1">'Total Duration Tables Sup #2'!I24</f>
        <v>2.6070895726409695</v>
      </c>
      <c r="J35" s="49">
        <f ca="1">'Total Duration Tables Sup #2'!J24</f>
        <v>2.6684579531455599</v>
      </c>
      <c r="K35" s="50">
        <f ca="1">'Total Duration Tables Sup #2'!K24</f>
        <v>2.7260411235739519</v>
      </c>
    </row>
    <row r="36" spans="1:11" ht="16.5" thickTop="1" x14ac:dyDescent="0.25">
      <c r="A36" s="16" t="s">
        <v>41</v>
      </c>
      <c r="B36" s="35"/>
      <c r="C36" s="36"/>
      <c r="D36" s="36"/>
      <c r="E36" s="36"/>
      <c r="F36" s="36"/>
      <c r="G36" s="36"/>
      <c r="H36" s="36"/>
      <c r="I36" s="36"/>
      <c r="J36" s="36"/>
      <c r="K36" s="37"/>
    </row>
    <row r="37" spans="1:11" ht="15.75" x14ac:dyDescent="0.25">
      <c r="A37" s="38" t="s">
        <v>85</v>
      </c>
      <c r="B37" s="46">
        <f>'[2]Transition '!B30-1</f>
        <v>0.21688989289779315</v>
      </c>
      <c r="C37" s="21">
        <f>'[2]Transition '!C30-1</f>
        <v>0.24326786449309079</v>
      </c>
      <c r="D37" s="21">
        <f>'[2]Transition '!D30-1</f>
        <v>0.32787008316285227</v>
      </c>
      <c r="E37" s="21">
        <f>'[2]Transition '!E30-1</f>
        <v>0.40370877883460654</v>
      </c>
      <c r="F37" s="21">
        <f>'[2]Transition '!F30-1</f>
        <v>0.4638936117321586</v>
      </c>
      <c r="G37" s="21">
        <f>'[2]Transition '!G30-1</f>
        <v>0.51438571516721865</v>
      </c>
      <c r="H37" s="21">
        <f>'[2]Transition '!H30-1</f>
        <v>0.56740220237371664</v>
      </c>
      <c r="I37" s="21">
        <f>'[2]Transition '!I30-1</f>
        <v>0.64674793236411343</v>
      </c>
      <c r="J37" s="21">
        <f>'[2]Transition '!J30-1</f>
        <v>0.73497933165071916</v>
      </c>
      <c r="K37" s="22">
        <f>'[2]Transition '!K30-1</f>
        <v>0.83187491421515847</v>
      </c>
    </row>
    <row r="38" spans="1:11" ht="15.75" x14ac:dyDescent="0.25">
      <c r="A38" s="38" t="s">
        <v>87</v>
      </c>
      <c r="B38" s="51">
        <f ca="1">'Total Trip Tables Sup #2'!B99</f>
        <v>12.37</v>
      </c>
      <c r="C38" s="44">
        <f ca="1">'Total Trip Tables Sup #2'!C99</f>
        <v>13.600000000000001</v>
      </c>
      <c r="D38" s="44">
        <f ca="1">'Total Trip Tables Sup #2'!D99</f>
        <v>15.225</v>
      </c>
      <c r="E38" s="44">
        <f ca="1">'Total Trip Tables Sup #2'!E99</f>
        <v>16.66</v>
      </c>
      <c r="F38" s="44">
        <f ca="1">'Total Trip Tables Sup #2'!F99</f>
        <v>17.809999999999999</v>
      </c>
      <c r="G38" s="44">
        <f ca="1">'Total Trip Tables Sup #2'!G99</f>
        <v>18.96</v>
      </c>
      <c r="H38" s="44">
        <f ca="1">'Total Trip Tables Sup #2'!H99</f>
        <v>20.11</v>
      </c>
      <c r="I38" s="44">
        <f ca="1">'Total Trip Tables Sup #2'!I99</f>
        <v>21.2677438742083</v>
      </c>
      <c r="J38" s="44">
        <f ca="1">'Total Trip Tables Sup #2'!J99</f>
        <v>22.483640772950388</v>
      </c>
      <c r="K38" s="45">
        <f ca="1">'Total Trip Tables Sup #2'!K99</f>
        <v>23.769051639752035</v>
      </c>
    </row>
    <row r="39" spans="1:11" ht="15.75" x14ac:dyDescent="0.25">
      <c r="A39" s="38" t="s">
        <v>94</v>
      </c>
      <c r="B39" s="46">
        <f>'[2]Transition '!B31-1</f>
        <v>0.18597231373895151</v>
      </c>
      <c r="C39" s="21">
        <f>'[2]Transition '!C31-1</f>
        <v>0.19272604318867237</v>
      </c>
      <c r="D39" s="21">
        <f>'[2]Transition '!D31-1</f>
        <v>0.27324302632957087</v>
      </c>
      <c r="E39" s="21">
        <f>'[2]Transition '!E31-1</f>
        <v>0.33711388299144951</v>
      </c>
      <c r="F39" s="21">
        <f>'[2]Transition '!F31-1</f>
        <v>0.40032631324222034</v>
      </c>
      <c r="G39" s="21">
        <f>'[2]Transition '!G31-1</f>
        <v>0.45833529879723467</v>
      </c>
      <c r="H39" s="21">
        <f>'[2]Transition '!H31-1</f>
        <v>0.52117472509026519</v>
      </c>
      <c r="I39" s="21">
        <f>'[2]Transition '!I31-1</f>
        <v>0.59804208218257049</v>
      </c>
      <c r="J39" s="21">
        <f>'[2]Transition '!J31-1</f>
        <v>0.68352021354437431</v>
      </c>
      <c r="K39" s="22">
        <f>'[2]Transition '!K31-1</f>
        <v>0.77739023560247134</v>
      </c>
    </row>
    <row r="40" spans="1:11" ht="15.75" x14ac:dyDescent="0.25">
      <c r="A40" s="38" t="s">
        <v>89</v>
      </c>
      <c r="B40" s="51">
        <f ca="1">'Total Distance Tables Sup #2'!B99</f>
        <v>297.83</v>
      </c>
      <c r="C40" s="44">
        <f ca="1">'Total Distance Tables Sup #2'!C99</f>
        <v>320.10000000000002</v>
      </c>
      <c r="D40" s="44">
        <f ca="1">'Total Distance Tables Sup #2'!D99</f>
        <v>358.66249999999997</v>
      </c>
      <c r="E40" s="44">
        <f ca="1">'Total Distance Tables Sup #2'!E99</f>
        <v>392.62</v>
      </c>
      <c r="F40" s="44">
        <f ca="1">'Total Distance Tables Sup #2'!F99</f>
        <v>419.66999999999996</v>
      </c>
      <c r="G40" s="44">
        <f ca="1">'Total Distance Tables Sup #2'!G99</f>
        <v>446.71999999999997</v>
      </c>
      <c r="H40" s="44">
        <f ca="1">'Total Distance Tables Sup #2'!H99</f>
        <v>473.77</v>
      </c>
      <c r="I40" s="44">
        <f ca="1">'Total Distance Tables Sup #2'!I99</f>
        <v>501.00186725132102</v>
      </c>
      <c r="J40" s="44">
        <f ca="1">'Total Distance Tables Sup #2'!J99</f>
        <v>529.59942594470544</v>
      </c>
      <c r="K40" s="45">
        <f ca="1">'Total Distance Tables Sup #2'!K99</f>
        <v>559.82935452866218</v>
      </c>
    </row>
    <row r="41" spans="1:11" ht="15.75" x14ac:dyDescent="0.25">
      <c r="A41" s="38" t="s">
        <v>95</v>
      </c>
      <c r="B41" s="46">
        <f>'[2]Transition '!B32-1</f>
        <v>0.18597231373895151</v>
      </c>
      <c r="C41" s="21">
        <f>'[2]Transition '!C32-1</f>
        <v>0.19676938260007093</v>
      </c>
      <c r="D41" s="21">
        <f>'[2]Transition '!D32-1</f>
        <v>0.28091481415917241</v>
      </c>
      <c r="E41" s="21">
        <f>'[2]Transition '!E32-1</f>
        <v>0.34866558591175623</v>
      </c>
      <c r="F41" s="21">
        <f>'[2]Transition '!F32-1</f>
        <v>0.41127750927894091</v>
      </c>
      <c r="G41" s="21">
        <f>'[2]Transition '!G32-1</f>
        <v>0.47021763915535231</v>
      </c>
      <c r="H41" s="21">
        <f>'[2]Transition '!H32-1</f>
        <v>0.53372809632637197</v>
      </c>
      <c r="I41" s="21">
        <f>'[2]Transition '!I32-1</f>
        <v>0.61122979505846531</v>
      </c>
      <c r="J41" s="21">
        <f>'[2]Transition '!J32-1</f>
        <v>0.69741332777742748</v>
      </c>
      <c r="K41" s="22">
        <f>'[2]Transition '!K32-1</f>
        <v>0.79205800459108966</v>
      </c>
    </row>
    <row r="42" spans="1:11" ht="15.75" x14ac:dyDescent="0.25">
      <c r="A42" s="38" t="s">
        <v>92</v>
      </c>
      <c r="B42" s="44">
        <f ca="1">'Total Duration Tables Sup #2'!B99</f>
        <v>6.554720885672368</v>
      </c>
      <c r="C42" s="44">
        <f ca="1">'Total Duration Tables Sup #2'!C99</f>
        <v>7.0448448964299279</v>
      </c>
      <c r="D42" s="44">
        <f ca="1">'Total Duration Tables Sup #2'!D99</f>
        <v>7.8935385275407652</v>
      </c>
      <c r="E42" s="44">
        <f ca="1">'Total Duration Tables Sup #2'!E99</f>
        <v>8.6408841088294839</v>
      </c>
      <c r="F42" s="44">
        <f ca="1">'Total Duration Tables Sup #2'!F99</f>
        <v>9.2362076153850268</v>
      </c>
      <c r="G42" s="44">
        <f ca="1">'Total Duration Tables Sup #2'!G99</f>
        <v>9.8315311219405714</v>
      </c>
      <c r="H42" s="44">
        <f ca="1">'Total Duration Tables Sup #2'!H99</f>
        <v>10.426854628496114</v>
      </c>
      <c r="I42" s="44">
        <f ca="1">'Total Duration Tables Sup #2'!I99</f>
        <v>11.026180717298757</v>
      </c>
      <c r="J42" s="44">
        <f ca="1">'Total Duration Tables Sup #2'!J99</f>
        <v>11.655563302151755</v>
      </c>
      <c r="K42" s="45">
        <f ca="1">'Total Duration Tables Sup #2'!K99</f>
        <v>12.320871512411452</v>
      </c>
    </row>
    <row r="43" spans="1:11" ht="15.75" x14ac:dyDescent="0.25">
      <c r="A43" s="38" t="s">
        <v>61</v>
      </c>
      <c r="B43" s="39"/>
      <c r="C43" s="40"/>
      <c r="D43" s="40"/>
      <c r="E43" s="40"/>
      <c r="F43" s="40"/>
      <c r="G43" s="40"/>
      <c r="H43" s="40"/>
      <c r="I43" s="40"/>
      <c r="J43" s="40"/>
      <c r="K43" s="41"/>
    </row>
    <row r="44" spans="1:11" ht="15.75" x14ac:dyDescent="0.25">
      <c r="A44" s="42" t="s">
        <v>62</v>
      </c>
      <c r="B44" s="46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2">
        <v>0</v>
      </c>
    </row>
    <row r="45" spans="1:11" ht="15.75" x14ac:dyDescent="0.25">
      <c r="A45" s="42" t="s">
        <v>63</v>
      </c>
      <c r="B45" s="46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2">
        <v>0</v>
      </c>
    </row>
    <row r="46" spans="1:11" ht="15.75" x14ac:dyDescent="0.25">
      <c r="A46" s="42" t="s">
        <v>64</v>
      </c>
      <c r="B46" s="46">
        <v>0.25</v>
      </c>
      <c r="C46" s="21">
        <v>0.25</v>
      </c>
      <c r="D46" s="21">
        <v>0.25</v>
      </c>
      <c r="E46" s="21">
        <v>0.25</v>
      </c>
      <c r="F46" s="21">
        <v>0.25</v>
      </c>
      <c r="G46" s="21">
        <v>0.25</v>
      </c>
      <c r="H46" s="21">
        <v>0.25</v>
      </c>
      <c r="I46" s="21">
        <v>0.25</v>
      </c>
      <c r="J46" s="21">
        <v>0.25</v>
      </c>
      <c r="K46" s="22">
        <v>0.25</v>
      </c>
    </row>
    <row r="47" spans="1:11" ht="15.75" x14ac:dyDescent="0.25">
      <c r="A47" s="42" t="s">
        <v>65</v>
      </c>
      <c r="B47" s="46">
        <v>0.25</v>
      </c>
      <c r="C47" s="21">
        <v>0.25</v>
      </c>
      <c r="D47" s="21">
        <v>0.25</v>
      </c>
      <c r="E47" s="21">
        <v>0.25</v>
      </c>
      <c r="F47" s="21">
        <v>0.25</v>
      </c>
      <c r="G47" s="21">
        <v>0.25</v>
      </c>
      <c r="H47" s="21">
        <v>0.25</v>
      </c>
      <c r="I47" s="21">
        <v>0.25</v>
      </c>
      <c r="J47" s="21">
        <v>0.25</v>
      </c>
      <c r="K47" s="22">
        <v>0.25</v>
      </c>
    </row>
    <row r="48" spans="1:11" ht="15.75" x14ac:dyDescent="0.25">
      <c r="A48" s="42" t="s">
        <v>66</v>
      </c>
      <c r="B48" s="46">
        <v>0.5</v>
      </c>
      <c r="C48" s="21">
        <v>0.5</v>
      </c>
      <c r="D48" s="21">
        <v>0.5</v>
      </c>
      <c r="E48" s="21">
        <v>0.5</v>
      </c>
      <c r="F48" s="21">
        <v>0.5</v>
      </c>
      <c r="G48" s="21">
        <v>0.5</v>
      </c>
      <c r="H48" s="21">
        <v>0.5</v>
      </c>
      <c r="I48" s="21">
        <v>0.5</v>
      </c>
      <c r="J48" s="21">
        <v>0.5</v>
      </c>
      <c r="K48" s="22">
        <v>0.5</v>
      </c>
    </row>
    <row r="49" spans="1:11" ht="15.75" x14ac:dyDescent="0.25">
      <c r="A49" s="38" t="s">
        <v>96</v>
      </c>
      <c r="B49" s="46">
        <f>'[2]Transition '!B33-1</f>
        <v>-5.7262664658125351E-2</v>
      </c>
      <c r="C49" s="21">
        <f>'[2]Transition '!C33-1</f>
        <v>-4.1275347842180565E-2</v>
      </c>
      <c r="D49" s="21">
        <f>'[2]Transition '!D33-1</f>
        <v>5.965398973517555E-2</v>
      </c>
      <c r="E49" s="21">
        <f>'[2]Transition '!E33-1</f>
        <v>0.12788121362425175</v>
      </c>
      <c r="F49" s="21">
        <f>'[2]Transition '!F33-1</f>
        <v>0.16347609997135715</v>
      </c>
      <c r="G49" s="21">
        <f>'[2]Transition '!G33-1</f>
        <v>0.20679801001209097</v>
      </c>
      <c r="H49" s="21">
        <f>'[2]Transition '!H33-1</f>
        <v>0.25672453548627572</v>
      </c>
      <c r="I49" s="21">
        <f>'[2]Transition '!I33-1</f>
        <v>0.28483024391039469</v>
      </c>
      <c r="J49" s="21">
        <f>'[2]Transition '!J33-1</f>
        <v>0.31762849148373817</v>
      </c>
      <c r="K49" s="22">
        <f>'[2]Transition '!K33-1</f>
        <v>0.35417419758311741</v>
      </c>
    </row>
    <row r="50" spans="1:11" ht="15.75" x14ac:dyDescent="0.25">
      <c r="A50" s="38" t="s">
        <v>88</v>
      </c>
      <c r="B50" s="51">
        <f ca="1">'Total Trip Tables Sup #2'!B100</f>
        <v>23.4</v>
      </c>
      <c r="C50" s="44">
        <f ca="1">'Total Trip Tables Sup #2'!C100</f>
        <v>24.7</v>
      </c>
      <c r="D50" s="44">
        <f ca="1">'Total Trip Tables Sup #2'!D100</f>
        <v>27.7</v>
      </c>
      <c r="E50" s="44">
        <f ca="1">'Total Trip Tables Sup #2'!E100</f>
        <v>29.879999999999995</v>
      </c>
      <c r="F50" s="44">
        <f ca="1">'Total Trip Tables Sup #2'!F100</f>
        <v>30.829999999999995</v>
      </c>
      <c r="G50" s="44">
        <f ca="1">'Total Trip Tables Sup #2'!G100</f>
        <v>31.78</v>
      </c>
      <c r="H50" s="44">
        <f ca="1">'Total Trip Tables Sup #2'!H100</f>
        <v>32.729999999999997</v>
      </c>
      <c r="I50" s="44">
        <f ca="1">'Total Trip Tables Sup #2'!I100</f>
        <v>33.683277171789733</v>
      </c>
      <c r="J50" s="44">
        <f ca="1">'Total Trip Tables Sup #2'!J100</f>
        <v>34.660881438910685</v>
      </c>
      <c r="K50" s="45">
        <f ca="1">'Total Trip Tables Sup #2'!K100</f>
        <v>35.666859135915509</v>
      </c>
    </row>
    <row r="51" spans="1:11" ht="15.75" x14ac:dyDescent="0.25">
      <c r="A51" s="38" t="s">
        <v>97</v>
      </c>
      <c r="B51" s="46">
        <f>'[2]Transition '!B34-1</f>
        <v>-0.12295023299365704</v>
      </c>
      <c r="C51" s="21">
        <f>'[2]Transition '!C34-1</f>
        <v>-0.12526660564561831</v>
      </c>
      <c r="D51" s="21">
        <f>'[2]Transition '!D34-1</f>
        <v>-3.6996870613136945E-2</v>
      </c>
      <c r="E51" s="21">
        <f>'[2]Transition '!E34-1</f>
        <v>2.2112421034643281E-2</v>
      </c>
      <c r="F51" s="21">
        <f>'[2]Transition '!F34-1</f>
        <v>4.4697090162222564E-2</v>
      </c>
      <c r="G51" s="21">
        <f>'[2]Transition '!G34-1</f>
        <v>7.1720286844437986E-2</v>
      </c>
      <c r="H51" s="21">
        <f>'[2]Transition '!H34-1</f>
        <v>0.10456723251494005</v>
      </c>
      <c r="I51" s="21">
        <f>'[2]Transition '!I34-1</f>
        <v>0.12523251677199609</v>
      </c>
      <c r="J51" s="21">
        <f>'[2]Transition '!J34-1</f>
        <v>0.14985756984372456</v>
      </c>
      <c r="K51" s="22">
        <f>'[2]Transition '!K34-1</f>
        <v>0.17755216339592073</v>
      </c>
    </row>
    <row r="52" spans="1:11" ht="15.75" x14ac:dyDescent="0.25">
      <c r="A52" s="38" t="s">
        <v>90</v>
      </c>
      <c r="B52" s="51">
        <f ca="1">'Total Distance Tables Sup #2'!B100</f>
        <v>164.37</v>
      </c>
      <c r="C52" s="44">
        <f ca="1">'Total Distance Tables Sup #2'!C100</f>
        <v>171.7</v>
      </c>
      <c r="D52" s="44">
        <f ca="1">'Total Distance Tables Sup #2'!D100</f>
        <v>192.7</v>
      </c>
      <c r="E52" s="44">
        <f ca="1">'Total Distance Tables Sup #2'!E100</f>
        <v>207.58</v>
      </c>
      <c r="F52" s="44">
        <f ca="1">'Total Distance Tables Sup #2'!F100</f>
        <v>213.28000000000003</v>
      </c>
      <c r="G52" s="44">
        <f ca="1">'Total Distance Tables Sup #2'!G100</f>
        <v>218.98</v>
      </c>
      <c r="H52" s="44">
        <f ca="1">'Total Distance Tables Sup #2'!H100</f>
        <v>224.67999999999998</v>
      </c>
      <c r="I52" s="44">
        <f ca="1">'Total Distance Tables Sup #2'!I100</f>
        <v>230.39720711920958</v>
      </c>
      <c r="J52" s="44">
        <f ca="1">'Total Distance Tables Sup #2'!J100</f>
        <v>236.24195214964192</v>
      </c>
      <c r="K52" s="45">
        <f ca="1">'Total Distance Tables Sup #2'!K100</f>
        <v>242.23496739957</v>
      </c>
    </row>
    <row r="53" spans="1:11" ht="15.75" x14ac:dyDescent="0.25">
      <c r="A53" s="38" t="s">
        <v>98</v>
      </c>
      <c r="B53" s="46">
        <f>'[2]Transition '!B35-1</f>
        <v>-0.12295023299365715</v>
      </c>
      <c r="C53" s="21">
        <f>'[2]Transition '!C35-1</f>
        <v>-0.12159281487784546</v>
      </c>
      <c r="D53" s="21">
        <f>'[2]Transition '!D35-1</f>
        <v>-3.2721088832094458E-2</v>
      </c>
      <c r="E53" s="21">
        <f>'[2]Transition '!E35-1</f>
        <v>2.4563734492759615E-2</v>
      </c>
      <c r="F53" s="21">
        <f>'[2]Transition '!F35-1</f>
        <v>4.7792124096006416E-2</v>
      </c>
      <c r="G53" s="21">
        <f>'[2]Transition '!G35-1</f>
        <v>7.6227487873787192E-2</v>
      </c>
      <c r="H53" s="21">
        <f>'[2]Transition '!H35-1</f>
        <v>0.11041176137005126</v>
      </c>
      <c r="I53" s="21">
        <f>'[2]Transition '!I35-1</f>
        <v>0.13118639057831016</v>
      </c>
      <c r="J53" s="21">
        <f>'[2]Transition '!J35-1</f>
        <v>0.1559417406831205</v>
      </c>
      <c r="K53" s="22">
        <f>'[2]Transition '!K35-1</f>
        <v>0.1837828729396902</v>
      </c>
    </row>
    <row r="54" spans="1:11" ht="15.75" x14ac:dyDescent="0.25">
      <c r="A54" s="38" t="s">
        <v>91</v>
      </c>
      <c r="B54" s="51">
        <f ca="1">'Total Duration Tables Sup #2'!B100</f>
        <v>8.2404499312721509</v>
      </c>
      <c r="C54" s="44">
        <f ca="1">'Total Duration Tables Sup #2'!C100</f>
        <v>8.6079287777540188</v>
      </c>
      <c r="D54" s="44">
        <f ca="1">'Total Duration Tables Sup #2'!D100</f>
        <v>9.6607331128316805</v>
      </c>
      <c r="E54" s="44">
        <f ca="1">'Total Duration Tables Sup #2'!E100</f>
        <v>10.406720184543854</v>
      </c>
      <c r="F54" s="44">
        <f ca="1">'Total Duration Tables Sup #2'!F100</f>
        <v>10.692481361207788</v>
      </c>
      <c r="G54" s="44">
        <f ca="1">'Total Duration Tables Sup #2'!G100</f>
        <v>10.978242537871724</v>
      </c>
      <c r="H54" s="44">
        <f ca="1">'Total Duration Tables Sup #2'!H100</f>
        <v>11.264003714535663</v>
      </c>
      <c r="I54" s="44">
        <f ca="1">'Total Duration Tables Sup #2'!I100</f>
        <v>11.550627544994747</v>
      </c>
      <c r="J54" s="44">
        <f ca="1">'Total Duration Tables Sup #2'!J100</f>
        <v>11.843645302397736</v>
      </c>
      <c r="K54" s="45">
        <f ca="1">'Total Duration Tables Sup #2'!K100</f>
        <v>12.144096370745867</v>
      </c>
    </row>
    <row r="55" spans="1:11" ht="15.75" x14ac:dyDescent="0.25">
      <c r="A55" s="38" t="s">
        <v>61</v>
      </c>
      <c r="B55" s="39"/>
      <c r="C55" s="40"/>
      <c r="D55" s="40"/>
      <c r="E55" s="40"/>
      <c r="F55" s="40"/>
      <c r="G55" s="40"/>
      <c r="H55" s="40"/>
      <c r="I55" s="40"/>
      <c r="J55" s="40"/>
      <c r="K55" s="41"/>
    </row>
    <row r="56" spans="1:11" ht="15.75" x14ac:dyDescent="0.25">
      <c r="A56" s="42" t="s">
        <v>62</v>
      </c>
      <c r="B56" s="46">
        <v>0.05</v>
      </c>
      <c r="C56" s="21">
        <v>0.05</v>
      </c>
      <c r="D56" s="21">
        <v>0.05</v>
      </c>
      <c r="E56" s="21">
        <v>0.05</v>
      </c>
      <c r="F56" s="21">
        <v>0.05</v>
      </c>
      <c r="G56" s="21">
        <v>0.05</v>
      </c>
      <c r="H56" s="21">
        <v>0.05</v>
      </c>
      <c r="I56" s="21">
        <v>0.05</v>
      </c>
      <c r="J56" s="21">
        <v>0.05</v>
      </c>
      <c r="K56" s="22">
        <v>0.05</v>
      </c>
    </row>
    <row r="57" spans="1:11" ht="15.75" x14ac:dyDescent="0.25">
      <c r="A57" s="42" t="s">
        <v>63</v>
      </c>
      <c r="B57" s="46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2">
        <v>0</v>
      </c>
    </row>
    <row r="58" spans="1:11" ht="15.75" x14ac:dyDescent="0.25">
      <c r="A58" s="42" t="s">
        <v>64</v>
      </c>
      <c r="B58" s="46">
        <v>0.4</v>
      </c>
      <c r="C58" s="21">
        <v>0.4</v>
      </c>
      <c r="D58" s="21">
        <v>0.4</v>
      </c>
      <c r="E58" s="21">
        <v>0.4</v>
      </c>
      <c r="F58" s="21">
        <v>0.4</v>
      </c>
      <c r="G58" s="21">
        <v>0.4</v>
      </c>
      <c r="H58" s="21">
        <v>0.4</v>
      </c>
      <c r="I58" s="21">
        <v>0.4</v>
      </c>
      <c r="J58" s="21">
        <v>0.4</v>
      </c>
      <c r="K58" s="22">
        <v>0.4</v>
      </c>
    </row>
    <row r="59" spans="1:11" ht="16.5" thickBot="1" x14ac:dyDescent="0.3">
      <c r="A59" s="43" t="s">
        <v>65</v>
      </c>
      <c r="B59" s="57">
        <v>0.4</v>
      </c>
      <c r="C59" s="26">
        <v>0.4</v>
      </c>
      <c r="D59" s="26">
        <v>0.4</v>
      </c>
      <c r="E59" s="26">
        <v>0.4</v>
      </c>
      <c r="F59" s="26">
        <v>0.4</v>
      </c>
      <c r="G59" s="26">
        <v>0.4</v>
      </c>
      <c r="H59" s="26">
        <v>0.4</v>
      </c>
      <c r="I59" s="26">
        <v>0.4</v>
      </c>
      <c r="J59" s="26">
        <v>0.4</v>
      </c>
      <c r="K59" s="27">
        <v>0.4</v>
      </c>
    </row>
    <row r="60" spans="1:11" ht="13.5" thickTop="1" x14ac:dyDescent="0.2"/>
  </sheetData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P168"/>
  <sheetViews>
    <sheetView tabSelected="1" zoomScaleNormal="100" workbookViewId="0">
      <selection activeCell="K24" sqref="K24"/>
    </sheetView>
  </sheetViews>
  <sheetFormatPr defaultRowHeight="12.75" x14ac:dyDescent="0.2"/>
  <cols>
    <col min="1" max="1" width="26.140625" customWidth="1"/>
  </cols>
  <sheetData>
    <row r="2" spans="1:11" x14ac:dyDescent="0.2">
      <c r="A2" s="3" t="s">
        <v>11</v>
      </c>
    </row>
    <row r="3" spans="1:11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">
      <c r="A4" t="str">
        <f ca="1">OFFSET(Northland_Reference,0,0)</f>
        <v>01 NORTHLAND</v>
      </c>
      <c r="B4" s="4">
        <f ca="1">SUM(B5:B14)</f>
        <v>166.40069163299998</v>
      </c>
      <c r="C4" s="4">
        <f t="shared" ref="C4:H4" ca="1" si="0">SUM(C5:C14)</f>
        <v>178.04462491873161</v>
      </c>
      <c r="D4" s="4">
        <f t="shared" ca="1" si="0"/>
        <v>184.96000503453595</v>
      </c>
      <c r="E4" s="4">
        <f t="shared" ca="1" si="0"/>
        <v>188.97766555601311</v>
      </c>
      <c r="F4" s="4">
        <f t="shared" ca="1" si="0"/>
        <v>191.70824240244249</v>
      </c>
      <c r="G4" s="4">
        <f t="shared" ca="1" si="0"/>
        <v>192.81968796514531</v>
      </c>
      <c r="H4" s="4">
        <f t="shared" ca="1" si="0"/>
        <v>192.84371761498954</v>
      </c>
      <c r="I4" s="1">
        <f t="shared" ref="I4:K4" ca="1" si="1">SUM(I5:I14)</f>
        <v>193.87436113749362</v>
      </c>
      <c r="J4" s="1">
        <f t="shared" ca="1" si="1"/>
        <v>194.29089319694259</v>
      </c>
      <c r="K4" s="1">
        <f t="shared" ca="1" si="1"/>
        <v>194.29061476177938</v>
      </c>
    </row>
    <row r="5" spans="1:11" x14ac:dyDescent="0.2">
      <c r="A5" t="str">
        <f ca="1">OFFSET(Northland_Reference,0,2)</f>
        <v>Pedestrian</v>
      </c>
      <c r="B5" s="4">
        <f ca="1">'Total Trip Tables Sup #2'!B5</f>
        <v>23.706864376999999</v>
      </c>
      <c r="C5" s="4">
        <f ca="1">'Total Trip Tables Sup #2'!C5</f>
        <v>25.219977547165872</v>
      </c>
      <c r="D5" s="4">
        <f ca="1">'Total Trip Tables Sup #2'!D5</f>
        <v>26.095805431831746</v>
      </c>
      <c r="E5" s="4">
        <f ca="1">'Total Trip Tables Sup #2'!E5</f>
        <v>26.67145292834967</v>
      </c>
      <c r="F5" s="4">
        <f ca="1">'Total Trip Tables Sup #2'!F5</f>
        <v>26.944132244891232</v>
      </c>
      <c r="G5" s="4">
        <f ca="1">'Total Trip Tables Sup #2'!G5</f>
        <v>27.060684494043141</v>
      </c>
      <c r="H5" s="4">
        <f ca="1">'Total Trip Tables Sup #2'!H5</f>
        <v>27.028858602579923</v>
      </c>
      <c r="I5" s="1">
        <f ca="1">'Total Trip Tables Sup #2'!I5</f>
        <v>27.162973949978763</v>
      </c>
      <c r="J5" s="1">
        <f ca="1">'Total Trip Tables Sup #2'!J5</f>
        <v>27.211199915728635</v>
      </c>
      <c r="K5" s="1">
        <f ca="1">'Total Trip Tables Sup #2'!K5</f>
        <v>27.201246207279173</v>
      </c>
    </row>
    <row r="6" spans="1:11" x14ac:dyDescent="0.2">
      <c r="A6" t="str">
        <f ca="1">OFFSET(Northland_Reference,7,2)</f>
        <v>Cyclist</v>
      </c>
      <c r="B6" s="4">
        <f ca="1">'Total Trip Tables Sup #2'!B6</f>
        <v>0.66592947719999995</v>
      </c>
      <c r="C6" s="4">
        <f ca="1">'Total Trip Tables Sup #2'!C6</f>
        <v>0.70708942722370993</v>
      </c>
      <c r="D6" s="4">
        <f ca="1">'Total Trip Tables Sup #2'!D6</f>
        <v>0.72566741021095305</v>
      </c>
      <c r="E6" s="4">
        <f ca="1">'Total Trip Tables Sup #2'!E6</f>
        <v>0.73520042863736557</v>
      </c>
      <c r="F6" s="4">
        <f ca="1">'Total Trip Tables Sup #2'!F6</f>
        <v>0.74148827306756793</v>
      </c>
      <c r="G6" s="4">
        <f ca="1">'Total Trip Tables Sup #2'!G6</f>
        <v>0.74556899554804457</v>
      </c>
      <c r="H6" s="4">
        <f ca="1">'Total Trip Tables Sup #2'!H6</f>
        <v>0.7472133837850673</v>
      </c>
      <c r="I6" s="1">
        <f ca="1">'Total Trip Tables Sup #2'!I6</f>
        <v>0.75520254846066803</v>
      </c>
      <c r="J6" s="1">
        <f ca="1">'Total Trip Tables Sup #2'!J6</f>
        <v>0.76092414411417575</v>
      </c>
      <c r="K6" s="1">
        <f ca="1">'Total Trip Tables Sup #2'!K6</f>
        <v>0.76511741911830078</v>
      </c>
    </row>
    <row r="7" spans="1:11" x14ac:dyDescent="0.2">
      <c r="A7" t="str">
        <f ca="1">OFFSET(Northland_Reference,14,2)</f>
        <v>Light Vehicle Driver</v>
      </c>
      <c r="B7" s="4">
        <f ca="1">'Total Trip Tables Sup #2'!B7</f>
        <v>86.333691700000003</v>
      </c>
      <c r="C7" s="4">
        <f ca="1">'Total Trip Tables Sup #2'!C7*(1-'Other Assumptions'!G6)</f>
        <v>94.323512862564428</v>
      </c>
      <c r="D7" s="4">
        <f ca="1">'Total Trip Tables Sup #2'!D7*(1-'Other Assumptions'!H6)</f>
        <v>99.224584797122461</v>
      </c>
      <c r="E7" s="4">
        <f ca="1">'Total Trip Tables Sup #2'!E7*(1-'Other Assumptions'!I6)</f>
        <v>97.054708285159336</v>
      </c>
      <c r="F7" s="4">
        <f ca="1">'Total Trip Tables Sup #2'!F7*(1-'Other Assumptions'!J6)</f>
        <v>93.982203990065301</v>
      </c>
      <c r="G7" s="4">
        <f ca="1">'Total Trip Tables Sup #2'!G7*(1-'Other Assumptions'!K6)</f>
        <v>89.730430278573877</v>
      </c>
      <c r="H7" s="4">
        <f ca="1">'Total Trip Tables Sup #2'!H7*(1-'Other Assumptions'!L6)</f>
        <v>84.916371429961771</v>
      </c>
      <c r="I7" s="1">
        <f ca="1">'Total Trip Tables Sup #2'!I7*(1-'Other Assumptions'!M6)</f>
        <v>80.032719679145032</v>
      </c>
      <c r="J7" s="1">
        <f ca="1">'Total Trip Tables Sup #2'!J7*(1-'Other Assumptions'!N6)</f>
        <v>74.855866132208206</v>
      </c>
      <c r="K7" s="1">
        <f ca="1">'Total Trip Tables Sup #2'!K7*(1-'Other Assumptions'!O6)</f>
        <v>69.507142456237034</v>
      </c>
    </row>
    <row r="8" spans="1:11" x14ac:dyDescent="0.2">
      <c r="A8" t="str">
        <f ca="1">OFFSET(Northland_Reference,21,2)</f>
        <v>Light Vehicle Passenger</v>
      </c>
      <c r="B8" s="4">
        <f ca="1">'Total Trip Tables Sup #2'!B8</f>
        <v>50.299563868000014</v>
      </c>
      <c r="C8" s="4">
        <f ca="1">'Total Trip Tables Sup #2'!C8*(1-'Other Assumptions'!G6)</f>
        <v>52.271814460134308</v>
      </c>
      <c r="D8" s="4">
        <f ca="1">'Total Trip Tables Sup #2'!D8*(1-'Other Assumptions'!H6)</f>
        <v>53.341990114209182</v>
      </c>
      <c r="E8" s="4">
        <f ca="1">'Total Trip Tables Sup #2'!E8*(1-'Other Assumptions'!I6)</f>
        <v>51.113379758903712</v>
      </c>
      <c r="F8" s="4">
        <f ca="1">'Total Trip Tables Sup #2'!F8*(1-'Other Assumptions'!J6)</f>
        <v>48.618445390848528</v>
      </c>
      <c r="G8" s="4">
        <f ca="1">'Total Trip Tables Sup #2'!G8*(1-'Other Assumptions'!K6)</f>
        <v>45.822478053719664</v>
      </c>
      <c r="H8" s="4">
        <f ca="1">'Total Trip Tables Sup #2'!H8*(1-'Other Assumptions'!L6)</f>
        <v>42.76336943141601</v>
      </c>
      <c r="I8" s="1">
        <f ca="1">'Total Trip Tables Sup #2'!I8*(1-'Other Assumptions'!M6)</f>
        <v>40.304317169709343</v>
      </c>
      <c r="J8" s="1">
        <f ca="1">'Total Trip Tables Sup #2'!J8*(1-'Other Assumptions'!N6)</f>
        <v>37.69741788144951</v>
      </c>
      <c r="K8" s="1">
        <f ca="1">'Total Trip Tables Sup #2'!K8*(1-'Other Assumptions'!O6)</f>
        <v>35.003802692698876</v>
      </c>
    </row>
    <row r="9" spans="1:11" x14ac:dyDescent="0.2">
      <c r="A9" t="str">
        <f ca="1">OFFSET(Northland_Reference,28,2)</f>
        <v>Taxi/Vehicle Share</v>
      </c>
      <c r="B9" s="4">
        <f ca="1">'Total Trip Tables Sup #2'!B9</f>
        <v>0.18126348840000001</v>
      </c>
      <c r="C9" s="4">
        <f ca="1">'Total Trip Tables Sup #2'!C9+((C7+C8)*'Other Assumptions'!G6/(1-'Other Assumptions'!G6))</f>
        <v>0.20697269200172258</v>
      </c>
      <c r="D9" s="4">
        <f ca="1">'Total Trip Tables Sup #2'!D9+((D7+D8)*'Other Assumptions'!H6/(1-'Other Assumptions'!H6))</f>
        <v>0.22604552489924962</v>
      </c>
      <c r="E9" s="4">
        <f ca="1">'Total Trip Tables Sup #2'!E9+((E7+E8)*'Other Assumptions'!I6/(1-'Other Assumptions'!I6))</f>
        <v>8.0410449347873065</v>
      </c>
      <c r="F9" s="4">
        <f ca="1">'Total Trip Tables Sup #2'!F9+((F7+F8)*'Other Assumptions'!J6/(1-'Other Assumptions'!J6))</f>
        <v>16.101050175321372</v>
      </c>
      <c r="G9" s="4">
        <f ca="1">'Total Trip Tables Sup #2'!G9+((G7+G8)*'Other Assumptions'!K6/(1-'Other Assumptions'!K6))</f>
        <v>24.187780107935311</v>
      </c>
      <c r="H9" s="4">
        <f ca="1">'Total Trip Tables Sup #2'!H9+((H7+H8)*'Other Assumptions'!L6/(1-'Other Assumptions'!L6))</f>
        <v>32.195734237064563</v>
      </c>
      <c r="I9" s="1">
        <f ca="1">'Total Trip Tables Sup #2'!I9+((I7+I8)*'Other Assumptions'!M6/(1-'Other Assumptions'!M6))</f>
        <v>40.389165779576864</v>
      </c>
      <c r="J9" s="1">
        <f ca="1">'Total Trip Tables Sup #2'!J9+((J7+J8)*'Other Assumptions'!N6/(1-'Other Assumptions'!N6))</f>
        <v>48.514072607525904</v>
      </c>
      <c r="K9" s="1">
        <f ca="1">'Total Trip Tables Sup #2'!K9+((K7+K8)*'Other Assumptions'!O6/(1-'Other Assumptions'!O6))</f>
        <v>56.55160122684277</v>
      </c>
    </row>
    <row r="10" spans="1:11" x14ac:dyDescent="0.2">
      <c r="A10" t="str">
        <f ca="1">OFFSET(Northland_Reference,35,2)</f>
        <v>Motorcyclist</v>
      </c>
      <c r="B10" s="4">
        <f ca="1">'Total Trip Tables Sup #2'!B10</f>
        <v>1.4141085707000001</v>
      </c>
      <c r="C10" s="4">
        <f ca="1">'Total Trip Tables Sup #2'!C10</f>
        <v>1.517308783715819</v>
      </c>
      <c r="D10" s="4">
        <f ca="1">'Total Trip Tables Sup #2'!D10</f>
        <v>1.5709172305795487</v>
      </c>
      <c r="E10" s="4">
        <f ca="1">'Total Trip Tables Sup #2'!E10</f>
        <v>1.5922743321215429</v>
      </c>
      <c r="F10" s="4">
        <f ca="1">'Total Trip Tables Sup #2'!F10</f>
        <v>1.6014283931899078</v>
      </c>
      <c r="G10" s="4">
        <f ca="1">'Total Trip Tables Sup #2'!G10</f>
        <v>1.5809753500732158</v>
      </c>
      <c r="H10" s="4">
        <f ca="1">'Total Trip Tables Sup #2'!H10</f>
        <v>1.5502660663025905</v>
      </c>
      <c r="I10" s="1">
        <f ca="1">'Total Trip Tables Sup #2'!I10</f>
        <v>1.5667277699799675</v>
      </c>
      <c r="J10" s="1">
        <f ca="1">'Total Trip Tables Sup #2'!J10</f>
        <v>1.5783528985038111</v>
      </c>
      <c r="K10" s="1">
        <f ca="1">'Total Trip Tables Sup #2'!K10</f>
        <v>1.5866706799441948</v>
      </c>
    </row>
    <row r="11" spans="1:11" x14ac:dyDescent="0.2">
      <c r="A11" t="str">
        <f ca="1">OFFSET(Auckland_Reference,42,2)</f>
        <v>Local Train</v>
      </c>
      <c r="B11" s="4">
        <f ca="1">'Total Trip Tables Sup #2'!B11</f>
        <v>0</v>
      </c>
      <c r="C11" s="4">
        <f ca="1">'Total Trip Tables Sup #2'!C11</f>
        <v>0</v>
      </c>
      <c r="D11" s="4">
        <f ca="1">'Total Trip Tables Sup #2'!D11</f>
        <v>0</v>
      </c>
      <c r="E11" s="4">
        <f ca="1">'Total Trip Tables Sup #2'!E11</f>
        <v>0</v>
      </c>
      <c r="F11" s="4">
        <f ca="1">'Total Trip Tables Sup #2'!F11</f>
        <v>0</v>
      </c>
      <c r="G11" s="4">
        <f ca="1">'Total Trip Tables Sup #2'!G11</f>
        <v>0</v>
      </c>
      <c r="H11" s="4">
        <f ca="1">'Total Trip Tables Sup #2'!H11</f>
        <v>0</v>
      </c>
      <c r="I11" s="1">
        <f ca="1">'Total Trip Tables Sup #2'!I11</f>
        <v>0</v>
      </c>
      <c r="J11" s="1">
        <f ca="1">'Total Trip Tables Sup #2'!J11</f>
        <v>0</v>
      </c>
      <c r="K11" s="1">
        <f ca="1">'Total Trip Tables Sup #2'!K11</f>
        <v>0</v>
      </c>
    </row>
    <row r="12" spans="1:11" x14ac:dyDescent="0.2">
      <c r="A12" t="str">
        <f ca="1">OFFSET(Northland_Reference,42,2)</f>
        <v>Local Bus</v>
      </c>
      <c r="B12" s="4">
        <f ca="1">'Total Trip Tables Sup #2'!B12</f>
        <v>3.6339219343</v>
      </c>
      <c r="C12" s="4">
        <f ca="1">'Total Trip Tables Sup #2'!C12</f>
        <v>3.6180607448880719</v>
      </c>
      <c r="D12" s="4">
        <f ca="1">'Total Trip Tables Sup #2'!D12</f>
        <v>3.5833015078333657</v>
      </c>
      <c r="E12" s="4">
        <f ca="1">'Total Trip Tables Sup #2'!E12</f>
        <v>3.5674375031380805</v>
      </c>
      <c r="F12" s="4">
        <f ca="1">'Total Trip Tables Sup #2'!F12</f>
        <v>3.5076159782333254</v>
      </c>
      <c r="G12" s="4">
        <f ca="1">'Total Trip Tables Sup #2'!G12</f>
        <v>3.4689512110891929</v>
      </c>
      <c r="H12" s="4">
        <f ca="1">'Total Trip Tables Sup #2'!H12</f>
        <v>3.4098893535825812</v>
      </c>
      <c r="I12" s="1">
        <f ca="1">'Total Trip Tables Sup #2'!I12</f>
        <v>3.4305706833868728</v>
      </c>
      <c r="J12" s="1">
        <f ca="1">'Total Trip Tables Sup #2'!J12</f>
        <v>3.440411902470109</v>
      </c>
      <c r="K12" s="1">
        <f ca="1">'Total Trip Tables Sup #2'!K12</f>
        <v>3.442886415593204</v>
      </c>
    </row>
    <row r="13" spans="1:11" x14ac:dyDescent="0.2">
      <c r="A13" t="str">
        <f ca="1">OFFSET(Northland_Reference,49,2)</f>
        <v>Local Ferry</v>
      </c>
      <c r="B13" s="4">
        <f ca="1">'Total Trip Tables Sup #2'!B13</f>
        <v>4.69171767E-2</v>
      </c>
      <c r="C13" s="4">
        <f ca="1">'Total Trip Tables Sup #2'!C13</f>
        <v>5.2263599163229653E-2</v>
      </c>
      <c r="D13" s="4">
        <f ca="1">'Total Trip Tables Sup #2'!D13</f>
        <v>5.6133444604013746E-2</v>
      </c>
      <c r="E13" s="4">
        <f ca="1">'Total Trip Tables Sup #2'!E13</f>
        <v>5.8838215071844689E-2</v>
      </c>
      <c r="F13" s="4">
        <f ca="1">'Total Trip Tables Sup #2'!F13</f>
        <v>6.0855934108393045E-2</v>
      </c>
      <c r="G13" s="4">
        <f ca="1">'Total Trip Tables Sup #2'!G13</f>
        <v>6.4141797606901349E-2</v>
      </c>
      <c r="H13" s="4">
        <f ca="1">'Total Trip Tables Sup #2'!H13</f>
        <v>6.700102355907897E-2</v>
      </c>
      <c r="I13" s="1">
        <f ca="1">'Total Trip Tables Sup #2'!I13</f>
        <v>6.6271170647843686E-2</v>
      </c>
      <c r="J13" s="1">
        <f ca="1">'Total Trip Tables Sup #2'!J13</f>
        <v>6.5354992843644835E-2</v>
      </c>
      <c r="K13" s="1">
        <f ca="1">'Total Trip Tables Sup #2'!K13</f>
        <v>6.4327178860252757E-2</v>
      </c>
    </row>
    <row r="14" spans="1:11" x14ac:dyDescent="0.2">
      <c r="A14" t="str">
        <f ca="1">OFFSET(Northland_Reference,56,2)</f>
        <v>Other Household Travel</v>
      </c>
      <c r="B14" s="4">
        <f ca="1">'Total Trip Tables Sup #2'!B14</f>
        <v>0.1184310407</v>
      </c>
      <c r="C14" s="4">
        <f ca="1">'Total Trip Tables Sup #2'!C14</f>
        <v>0.12762480187441319</v>
      </c>
      <c r="D14" s="4">
        <f ca="1">'Total Trip Tables Sup #2'!D14</f>
        <v>0.13555957324543855</v>
      </c>
      <c r="E14" s="4">
        <f ca="1">'Total Trip Tables Sup #2'!E14</f>
        <v>0.14332916984424382</v>
      </c>
      <c r="F14" s="4">
        <f ca="1">'Total Trip Tables Sup #2'!F14</f>
        <v>0.1510220227168588</v>
      </c>
      <c r="G14" s="4">
        <f ca="1">'Total Trip Tables Sup #2'!G14</f>
        <v>0.15867767655594017</v>
      </c>
      <c r="H14" s="4">
        <f ca="1">'Total Trip Tables Sup #2'!H14</f>
        <v>0.16501408673799467</v>
      </c>
      <c r="I14" s="1">
        <f ca="1">'Total Trip Tables Sup #2'!I14</f>
        <v>0.16641238660826352</v>
      </c>
      <c r="J14" s="1">
        <f ca="1">'Total Trip Tables Sup #2'!J14</f>
        <v>0.16729272209857612</v>
      </c>
      <c r="K14" s="1">
        <f ca="1">'Total Trip Tables Sup #2'!K14</f>
        <v>0.16782048520558132</v>
      </c>
    </row>
    <row r="15" spans="1:11" x14ac:dyDescent="0.2">
      <c r="A15" t="str">
        <f ca="1">OFFSET(Auckland_Reference,0,0)</f>
        <v>02 AUCKLAND</v>
      </c>
      <c r="B15" s="4">
        <f ca="1">SUM(B16:B25)</f>
        <v>1882.0466248072</v>
      </c>
      <c r="C15" s="4">
        <f t="shared" ref="C15" ca="1" si="2">SUM(C16:C25)</f>
        <v>2154.2468978042721</v>
      </c>
      <c r="D15" s="4">
        <f t="shared" ref="D15" ca="1" si="3">SUM(D16:D25)</f>
        <v>2361.5450353167917</v>
      </c>
      <c r="E15" s="4">
        <f t="shared" ref="E15" ca="1" si="4">SUM(E16:E25)</f>
        <v>2520.9413193376217</v>
      </c>
      <c r="F15" s="4">
        <f t="shared" ref="F15" ca="1" si="5">SUM(F16:F25)</f>
        <v>2664.4879816663934</v>
      </c>
      <c r="G15" s="4">
        <f t="shared" ref="G15" ca="1" si="6">SUM(G16:G25)</f>
        <v>2788.409592820944</v>
      </c>
      <c r="H15" s="4">
        <f t="shared" ref="H15:K15" ca="1" si="7">SUM(H16:H25)</f>
        <v>2900.6451119572075</v>
      </c>
      <c r="I15" s="1">
        <f t="shared" ca="1" si="7"/>
        <v>3029.7276745175905</v>
      </c>
      <c r="J15" s="1">
        <f t="shared" ca="1" si="7"/>
        <v>3154.6481151373732</v>
      </c>
      <c r="K15" s="1">
        <f t="shared" ca="1" si="7"/>
        <v>3278.0092874951556</v>
      </c>
    </row>
    <row r="16" spans="1:11" x14ac:dyDescent="0.2">
      <c r="A16" t="str">
        <f ca="1">OFFSET(Auckland_Reference,0,2)</f>
        <v>Pedestrian</v>
      </c>
      <c r="B16" s="4">
        <f ca="1">'Total Trip Tables Sup #2'!B16</f>
        <v>324.81096006000001</v>
      </c>
      <c r="C16" s="4">
        <f ca="1">'Total Trip Tables Sup #2'!C16+'Total Trip Tables Sup #2'!C18*'Other Assumptions'!G66*'Other Assumptions'!G73+'Total Trip Tables Sup #2'!C19*'Other Assumptions'!G66*'Other Assumptions'!G73</f>
        <v>367.61549139230277</v>
      </c>
      <c r="D16" s="4">
        <f ca="1">'Total Trip Tables Sup #2'!D16+'Total Trip Tables Sup #2'!D18*'Other Assumptions'!H66*'Other Assumptions'!H73+'Total Trip Tables Sup #2'!D19*'Other Assumptions'!H66*'Other Assumptions'!H73</f>
        <v>399.48446553198016</v>
      </c>
      <c r="E16" s="4">
        <f ca="1">'Total Trip Tables Sup #2'!E16+'Total Trip Tables Sup #2'!E18*'Other Assumptions'!I66*'Other Assumptions'!I73+'Total Trip Tables Sup #2'!E19*'Other Assumptions'!I66*'Other Assumptions'!I73</f>
        <v>424.56144013878372</v>
      </c>
      <c r="F16" s="4">
        <f ca="1">'Total Trip Tables Sup #2'!F16+'Total Trip Tables Sup #2'!F18*'Other Assumptions'!J66*'Other Assumptions'!J73+'Total Trip Tables Sup #2'!F19*'Other Assumptions'!J66*'Other Assumptions'!J73</f>
        <v>445.72621644720874</v>
      </c>
      <c r="G16" s="4">
        <f ca="1">'Total Trip Tables Sup #2'!G16+'Total Trip Tables Sup #2'!G18*'Other Assumptions'!K66*'Other Assumptions'!K73+'Total Trip Tables Sup #2'!G19*'Other Assumptions'!K66*'Other Assumptions'!K73</f>
        <v>464.61412576606983</v>
      </c>
      <c r="H16" s="4">
        <f ca="1">'Total Trip Tables Sup #2'!H16+'Total Trip Tables Sup #2'!H18*'Other Assumptions'!L66*'Other Assumptions'!L73+'Total Trip Tables Sup #2'!H19*'Other Assumptions'!L66*'Other Assumptions'!L73</f>
        <v>481.48288894602388</v>
      </c>
      <c r="I16" s="1">
        <f ca="1">'Total Trip Tables Sup #2'!I16+'Total Trip Tables Sup #2'!I18*'Other Assumptions'!M66*'Other Assumptions'!M73+'Total Trip Tables Sup #2'!I19*'Other Assumptions'!M66*'Other Assumptions'!M73</f>
        <v>502.11116124705137</v>
      </c>
      <c r="J16" s="1">
        <f ca="1">'Total Trip Tables Sup #2'!J16+'Total Trip Tables Sup #2'!J18*'Other Assumptions'!N66*'Other Assumptions'!N73+'Total Trip Tables Sup #2'!J19*'Other Assumptions'!N66*'Other Assumptions'!N73</f>
        <v>521.95088721304728</v>
      </c>
      <c r="K16" s="1">
        <f ca="1">'Total Trip Tables Sup #2'!K16+'Total Trip Tables Sup #2'!K18*'Other Assumptions'!O66*'Other Assumptions'!O73+'Total Trip Tables Sup #2'!K19*'Other Assumptions'!O66*'Other Assumptions'!O73</f>
        <v>541.39440262167329</v>
      </c>
    </row>
    <row r="17" spans="1:11" x14ac:dyDescent="0.2">
      <c r="A17" t="str">
        <f ca="1">OFFSET(Auckland_Reference,7,2)</f>
        <v>Cyclist</v>
      </c>
      <c r="B17" s="4">
        <f ca="1">'Total Trip Tables Sup #2'!B17</f>
        <v>7.0506319707999996</v>
      </c>
      <c r="C17" s="4">
        <f ca="1">'Total Trip Tables Sup #2'!C17+'Total Trip Tables Sup #2'!C18*'Other Assumptions'!G66*'Other Assumptions'!G72+'Total Trip Tables Sup #2'!C19*'Other Assumptions'!G66*'Other Assumptions'!G72</f>
        <v>7.9710179298493253</v>
      </c>
      <c r="D17" s="4">
        <f ca="1">'Total Trip Tables Sup #2'!D17+'Total Trip Tables Sup #2'!D18*'Other Assumptions'!H66*'Other Assumptions'!H72+'Total Trip Tables Sup #2'!D19*'Other Assumptions'!H66*'Other Assumptions'!H72</f>
        <v>8.5960720753262656</v>
      </c>
      <c r="E17" s="4">
        <f ca="1">'Total Trip Tables Sup #2'!E17+'Total Trip Tables Sup #2'!E18*'Other Assumptions'!I66*'Other Assumptions'!I72+'Total Trip Tables Sup #2'!E19*'Other Assumptions'!I66*'Other Assumptions'!I72</f>
        <v>9.0597119045104666</v>
      </c>
      <c r="F17" s="4">
        <f ca="1">'Total Trip Tables Sup #2'!F17+'Total Trip Tables Sup #2'!F18*'Other Assumptions'!J66*'Other Assumptions'!J72+'Total Trip Tables Sup #2'!F19*'Other Assumptions'!J66*'Other Assumptions'!J72</f>
        <v>9.5004218868017869</v>
      </c>
      <c r="G17" s="4">
        <f ca="1">'Total Trip Tables Sup #2'!G17+'Total Trip Tables Sup #2'!G18*'Other Assumptions'!K66*'Other Assumptions'!K72+'Total Trip Tables Sup #2'!G19*'Other Assumptions'!K66*'Other Assumptions'!K72</f>
        <v>9.9194329076852803</v>
      </c>
      <c r="H17" s="4">
        <f ca="1">'Total Trip Tables Sup #2'!H17+'Total Trip Tables Sup #2'!H18*'Other Assumptions'!L66*'Other Assumptions'!L72+'Total Trip Tables Sup #2'!H19*'Other Assumptions'!L66*'Other Assumptions'!L72</f>
        <v>10.319597491555546</v>
      </c>
      <c r="I17" s="1">
        <f ca="1">'Total Trip Tables Sup #2'!I17+'Total Trip Tables Sup #2'!I18*'Other Assumptions'!M66*'Other Assumptions'!M72+'Total Trip Tables Sup #2'!I19*'Other Assumptions'!M66*'Other Assumptions'!M72</f>
        <v>10.826813960826335</v>
      </c>
      <c r="J17" s="1">
        <f ca="1">'Total Trip Tables Sup #2'!J17+'Total Trip Tables Sup #2'!J18*'Other Assumptions'!N66*'Other Assumptions'!N72+'Total Trip Tables Sup #2'!J19*'Other Assumptions'!N66*'Other Assumptions'!N72</f>
        <v>11.323943746872697</v>
      </c>
      <c r="K17" s="1">
        <f ca="1">'Total Trip Tables Sup #2'!K17+'Total Trip Tables Sup #2'!K18*'Other Assumptions'!O66*'Other Assumptions'!O72+'Total Trip Tables Sup #2'!K19*'Other Assumptions'!O66*'Other Assumptions'!O72</f>
        <v>11.819620691921191</v>
      </c>
    </row>
    <row r="18" spans="1:11" x14ac:dyDescent="0.2">
      <c r="A18" t="str">
        <f ca="1">OFFSET(Auckland_Reference,14,2)</f>
        <v>Light Vehicle Driver</v>
      </c>
      <c r="B18" s="4">
        <f ca="1">'Total Trip Tables Sup #2'!B18</f>
        <v>981.24355252999999</v>
      </c>
      <c r="C18" s="4">
        <f ca="1">'Total Trip Tables Sup #2'!C18*(1-'Other Assumptions'!G7)*(1-'Other Assumptions'!G66)</f>
        <v>1136.1685532657011</v>
      </c>
      <c r="D18" s="4">
        <f ca="1">'Total Trip Tables Sup #2'!D18*(1-'Other Assumptions'!H7)*(1-'Other Assumptions'!H66)</f>
        <v>1250.4200862826428</v>
      </c>
      <c r="E18" s="4">
        <f ca="1">'Total Trip Tables Sup #2'!E18*(1-'Other Assumptions'!I7)*(1-'Other Assumptions'!I66)</f>
        <v>1267.6237562209785</v>
      </c>
      <c r="F18" s="4">
        <f ca="1">'Total Trip Tables Sup #2'!F18*(1-'Other Assumptions'!J7)*(1-'Other Assumptions'!J66)</f>
        <v>1273.6201678379041</v>
      </c>
      <c r="G18" s="4">
        <f ca="1">'Total Trip Tables Sup #2'!G18*(1-'Other Assumptions'!K7)*(1-'Other Assumptions'!K66)</f>
        <v>1260.0589574569606</v>
      </c>
      <c r="H18" s="4">
        <f ca="1">'Total Trip Tables Sup #2'!H18*(1-'Other Assumptions'!L7)*(1-'Other Assumptions'!L66)</f>
        <v>1235.2486823743291</v>
      </c>
      <c r="I18" s="1">
        <f ca="1">'Total Trip Tables Sup #2'!I18*(1-'Other Assumptions'!M7)*(1-'Other Assumptions'!M66)</f>
        <v>1206.5482987689322</v>
      </c>
      <c r="J18" s="1">
        <f ca="1">'Total Trip Tables Sup #2'!J18*(1-'Other Assumptions'!N7)*(1-'Other Assumptions'!N66)</f>
        <v>1169.4351883665756</v>
      </c>
      <c r="K18" s="1">
        <f ca="1">'Total Trip Tables Sup #2'!K18*(1-'Other Assumptions'!O7)*(1-'Other Assumptions'!O66)</f>
        <v>1125.0622881807585</v>
      </c>
    </row>
    <row r="19" spans="1:11" x14ac:dyDescent="0.2">
      <c r="A19" t="str">
        <f ca="1">OFFSET(Auckland_Reference,21,2)</f>
        <v>Light Vehicle Passenger</v>
      </c>
      <c r="B19" s="4">
        <f ca="1">'Total Trip Tables Sup #2'!B19</f>
        <v>488.06073575000011</v>
      </c>
      <c r="C19" s="4">
        <f ca="1">'Total Trip Tables Sup #2'!C19*(1-'Other Assumptions'!G7)*(1-'Other Assumptions'!G66+'Other Assumptions'!G66*'Other Assumptions'!G69)+'Total Trip Tables Sup #2'!C18*(1-'Other Assumptions'!G7)*'Other Assumptions'!G66*'Other Assumptions'!G69</f>
        <v>534.74934501456414</v>
      </c>
      <c r="D19" s="4">
        <f ca="1">'Total Trip Tables Sup #2'!D19*(1-'Other Assumptions'!H7)*(1-'Other Assumptions'!H66+'Other Assumptions'!H66*'Other Assumptions'!H69)+'Total Trip Tables Sup #2'!D18*(1-'Other Assumptions'!H7)*'Other Assumptions'!H66*'Other Assumptions'!H69</f>
        <v>567.73915608481798</v>
      </c>
      <c r="E19" s="4">
        <f ca="1">'Total Trip Tables Sup #2'!E19*(1-'Other Assumptions'!I7)*(1-'Other Assumptions'!I66+'Other Assumptions'!I66*'Other Assumptions'!I69)+'Total Trip Tables Sup #2'!E18*(1-'Other Assumptions'!I7)*'Other Assumptions'!I66*'Other Assumptions'!I69</f>
        <v>560.98668396648361</v>
      </c>
      <c r="F19" s="4">
        <f ca="1">'Total Trip Tables Sup #2'!F19*(1-'Other Assumptions'!J7)*(1-'Other Assumptions'!J66+'Other Assumptions'!J66*'Other Assumptions'!J69)+'Total Trip Tables Sup #2'!F18*(1-'Other Assumptions'!J7)*'Other Assumptions'!J66*'Other Assumptions'!J69</f>
        <v>551.85639918657012</v>
      </c>
      <c r="G19" s="4">
        <f ca="1">'Total Trip Tables Sup #2'!G19*(1-'Other Assumptions'!K7)*(1-'Other Assumptions'!K66+'Other Assumptions'!K66*'Other Assumptions'!K69)+'Total Trip Tables Sup #2'!G18*(1-'Other Assumptions'!K7)*'Other Assumptions'!K66*'Other Assumptions'!K69</f>
        <v>537.22051602025056</v>
      </c>
      <c r="H19" s="4">
        <f ca="1">'Total Trip Tables Sup #2'!H19*(1-'Other Assumptions'!L7)*(1-'Other Assumptions'!L66+'Other Assumptions'!L66*'Other Assumptions'!L69)+'Total Trip Tables Sup #2'!H18*(1-'Other Assumptions'!L7)*'Other Assumptions'!L66*'Other Assumptions'!L69</f>
        <v>517.55763041672969</v>
      </c>
      <c r="I19" s="1">
        <f ca="1">'Total Trip Tables Sup #2'!I19*(1-'Other Assumptions'!M7)*(1-'Other Assumptions'!M66+'Other Assumptions'!M66*'Other Assumptions'!M69)+'Total Trip Tables Sup #2'!I18*(1-'Other Assumptions'!M7)*'Other Assumptions'!M66*'Other Assumptions'!M69</f>
        <v>504.39789785559697</v>
      </c>
      <c r="J19" s="1">
        <f ca="1">'Total Trip Tables Sup #2'!J19*(1-'Other Assumptions'!N7)*(1-'Other Assumptions'!N66+'Other Assumptions'!N66*'Other Assumptions'!N69)+'Total Trip Tables Sup #2'!J18*(1-'Other Assumptions'!N7)*'Other Assumptions'!N66*'Other Assumptions'!N69</f>
        <v>487.71494895862685</v>
      </c>
      <c r="K19" s="1">
        <f ca="1">'Total Trip Tables Sup #2'!K19*(1-'Other Assumptions'!O7)*(1-'Other Assumptions'!O66+'Other Assumptions'!O66*'Other Assumptions'!O69)+'Total Trip Tables Sup #2'!K18*(1-'Other Assumptions'!O7)*'Other Assumptions'!O66*'Other Assumptions'!O69</f>
        <v>467.96621464544222</v>
      </c>
    </row>
    <row r="20" spans="1:11" x14ac:dyDescent="0.2">
      <c r="A20" t="str">
        <f ca="1">OFFSET(Auckland_Reference,28,2)</f>
        <v>Taxi/Vehicle Share</v>
      </c>
      <c r="B20" s="4">
        <f ca="1">'Total Trip Tables Sup #2'!B20</f>
        <v>6.0232688673999997</v>
      </c>
      <c r="C20" s="4">
        <f ca="1">'Total Trip Tables Sup #2'!C20+((C18+C19)*'Other Assumptions'!G7/(1-'Other Assumptions'!G7))</f>
        <v>7.3227566216956212</v>
      </c>
      <c r="D20" s="4">
        <f ca="1">'Total Trip Tables Sup #2'!D20+((D18+D19)*'Other Assumptions'!H7/(1-'Other Assumptions'!H7))</f>
        <v>8.4038917920381255</v>
      </c>
      <c r="E20" s="4">
        <f ca="1">'Total Trip Tables Sup #2'!E20+((E18+E19)*'Other Assumptions'!I7/(1-'Other Assumptions'!I7))</f>
        <v>105.6300343655615</v>
      </c>
      <c r="F20" s="4">
        <f ca="1">'Total Trip Tables Sup #2'!F20+((F18+F19)*'Other Assumptions'!J7/(1-'Other Assumptions'!J7))</f>
        <v>213.14657760159025</v>
      </c>
      <c r="G20" s="4">
        <f ca="1">'Total Trip Tables Sup #2'!G20+((G18+G19)*'Other Assumptions'!K7/(1-'Other Assumptions'!K7))</f>
        <v>328.30245614894733</v>
      </c>
      <c r="H20" s="4">
        <f ca="1">'Total Trip Tables Sup #2'!H20+((H18+H19)*'Other Assumptions'!L7/(1-'Other Assumptions'!L7))</f>
        <v>450.15612032389703</v>
      </c>
      <c r="I20" s="1">
        <f ca="1">'Total Trip Tables Sup #2'!I20+((I18+I19)*'Other Assumptions'!M7/(1-'Other Assumptions'!M7))</f>
        <v>582.7707810349134</v>
      </c>
      <c r="J20" s="1">
        <f ca="1">'Total Trip Tables Sup #2'!J20+((J18+J19)*'Other Assumptions'!N7/(1-'Other Assumptions'!N7))</f>
        <v>723.14264180812631</v>
      </c>
      <c r="K20" s="1">
        <f ca="1">'Total Trip Tables Sup #2'!K20+((K18+K19)*'Other Assumptions'!O7/(1-'Other Assumptions'!O7))</f>
        <v>871.18925797750921</v>
      </c>
    </row>
    <row r="21" spans="1:11" x14ac:dyDescent="0.2">
      <c r="A21" t="str">
        <f ca="1">OFFSET(Auckland_Reference,35,2)</f>
        <v>Motorcyclist</v>
      </c>
      <c r="B21" s="4">
        <f ca="1">'Total Trip Tables Sup #2'!B21</f>
        <v>4.1170216905999997</v>
      </c>
      <c r="C21" s="4">
        <f ca="1">'Total Trip Tables Sup #2'!C21</f>
        <v>4.703422673640727</v>
      </c>
      <c r="D21" s="4">
        <f ca="1">'Total Trip Tables Sup #2'!D21</f>
        <v>5.1170107121785131</v>
      </c>
      <c r="E21" s="4">
        <f ca="1">'Total Trip Tables Sup #2'!E21</f>
        <v>5.3954431894724442</v>
      </c>
      <c r="F21" s="4">
        <f ca="1">'Total Trip Tables Sup #2'!F21</f>
        <v>5.6421772152360985</v>
      </c>
      <c r="G21" s="4">
        <f ca="1">'Total Trip Tables Sup #2'!G21</f>
        <v>5.7839522279522875</v>
      </c>
      <c r="H21" s="4">
        <f ca="1">'Total Trip Tables Sup #2'!H21</f>
        <v>5.8874190786854221</v>
      </c>
      <c r="I21" s="1">
        <f ca="1">'Total Trip Tables Sup #2'!I21</f>
        <v>6.1763423791381085</v>
      </c>
      <c r="J21" s="1">
        <f ca="1">'Total Trip Tables Sup #2'!J21</f>
        <v>6.4589369463010611</v>
      </c>
      <c r="K21" s="1">
        <f ca="1">'Total Trip Tables Sup #2'!K21</f>
        <v>6.7400456902187793</v>
      </c>
    </row>
    <row r="22" spans="1:11" x14ac:dyDescent="0.2">
      <c r="A22" t="str">
        <f ca="1">OFFSET(Auckland_Reference,42,2)</f>
        <v>Local Train</v>
      </c>
      <c r="B22" s="4">
        <f ca="1">'Total Trip Tables Sup #2'!B22</f>
        <v>10.038805999999999</v>
      </c>
      <c r="C22" s="4">
        <f ca="1">'Total Trip Tables Sup #2'!C22+'Total Trip Tables Sup #2'!C18*'Other Assumptions'!G66*'Other Assumptions'!G71+'Total Trip Tables Sup #2'!C19*'Other Assumptions'!G66*'Other Assumptions'!G71</f>
        <v>23.030051148231347</v>
      </c>
      <c r="D22" s="4">
        <f ca="1">'Total Trip Tables Sup #2'!D22+'Total Trip Tables Sup #2'!D18*'Other Assumptions'!H66*'Other Assumptions'!H71+'Total Trip Tables Sup #2'!D19*'Other Assumptions'!H66*'Other Assumptions'!H71</f>
        <v>40.204551889388078</v>
      </c>
      <c r="E22" s="4">
        <f ca="1">'Total Trip Tables Sup #2'!E22+'Total Trip Tables Sup #2'!E18*'Other Assumptions'!I66*'Other Assumptions'!I71+'Total Trip Tables Sup #2'!E19*'Other Assumptions'!I66*'Other Assumptions'!I71</f>
        <v>57.379052630544813</v>
      </c>
      <c r="F22" s="4">
        <f ca="1">'Total Trip Tables Sup #2'!F22+'Total Trip Tables Sup #2'!F18*'Other Assumptions'!J66*'Other Assumptions'!J71+'Total Trip Tables Sup #2'!F19*'Other Assumptions'!J66*'Other Assumptions'!J71</f>
        <v>65.919788123534445</v>
      </c>
      <c r="G22" s="4">
        <f ca="1">'Total Trip Tables Sup #2'!G22+'Total Trip Tables Sup #2'!G18*'Other Assumptions'!K66*'Other Assumptions'!K71+'Total Trip Tables Sup #2'!G19*'Other Assumptions'!K66*'Other Assumptions'!K71</f>
        <v>74.460523616524071</v>
      </c>
      <c r="H22" s="4">
        <f ca="1">'Total Trip Tables Sup #2'!H22+'Total Trip Tables Sup #2'!H18*'Other Assumptions'!L66*'Other Assumptions'!L71+'Total Trip Tables Sup #2'!H19*'Other Assumptions'!L66*'Other Assumptions'!L71</f>
        <v>83.001259109513697</v>
      </c>
      <c r="I22" s="1">
        <f ca="1">'Total Trip Tables Sup #2'!I22+'Total Trip Tables Sup #2'!I18*'Other Assumptions'!M66*'Other Assumptions'!M71+'Total Trip Tables Sup #2'!I19*'Other Assumptions'!M66*'Other Assumptions'!M71</f>
        <v>91.541994602503323</v>
      </c>
      <c r="J22" s="1">
        <f ca="1">'Total Trip Tables Sup #2'!J22+'Total Trip Tables Sup #2'!J18*'Other Assumptions'!N66*'Other Assumptions'!N71+'Total Trip Tables Sup #2'!J19*'Other Assumptions'!N66*'Other Assumptions'!N71</f>
        <v>100.58245310451453</v>
      </c>
      <c r="K22" s="1">
        <f ca="1">'Total Trip Tables Sup #2'!K22+'Total Trip Tables Sup #2'!K18*'Other Assumptions'!O66*'Other Assumptions'!O71+'Total Trip Tables Sup #2'!K19*'Other Assumptions'!O66*'Other Assumptions'!O71</f>
        <v>110.51572468408075</v>
      </c>
    </row>
    <row r="23" spans="1:11" x14ac:dyDescent="0.2">
      <c r="A23" t="str">
        <f ca="1">OFFSET(Auckland_Reference,49,2)</f>
        <v>Local Bus</v>
      </c>
      <c r="B23" s="4">
        <f ca="1">'Total Trip Tables Sup #2'!B23</f>
        <v>53.530078000000003</v>
      </c>
      <c r="C23" s="4">
        <f ca="1">'Total Trip Tables Sup #2'!C23+'Total Trip Tables Sup #2'!C18*'Other Assumptions'!G66*'Other Assumptions'!G70+'Total Trip Tables Sup #2'!C19*'Other Assumptions'!G66*'Other Assumptions'!G70</f>
        <v>64.26598828507818</v>
      </c>
      <c r="D23" s="4">
        <f ca="1">'Total Trip Tables Sup #2'!D23+'Total Trip Tables Sup #2'!D18*'Other Assumptions'!H66*'Other Assumptions'!H70+'Total Trip Tables Sup #2'!D19*'Other Assumptions'!H66*'Other Assumptions'!H70</f>
        <v>72.108264710469086</v>
      </c>
      <c r="E23" s="4">
        <f ca="1">'Total Trip Tables Sup #2'!E23+'Total Trip Tables Sup #2'!E18*'Other Assumptions'!I66*'Other Assumptions'!I70+'Total Trip Tables Sup #2'!E19*'Other Assumptions'!I66*'Other Assumptions'!I70</f>
        <v>79.950541135859993</v>
      </c>
      <c r="F23" s="4">
        <f ca="1">'Total Trip Tables Sup #2'!F23+'Total Trip Tables Sup #2'!F18*'Other Assumptions'!J66*'Other Assumptions'!J70+'Total Trip Tables Sup #2'!F19*'Other Assumptions'!J66*'Other Assumptions'!J70</f>
        <v>87.877894843709996</v>
      </c>
      <c r="G23" s="4">
        <f ca="1">'Total Trip Tables Sup #2'!G23+'Total Trip Tables Sup #2'!G18*'Other Assumptions'!K66*'Other Assumptions'!K70+'Total Trip Tables Sup #2'!G19*'Other Assumptions'!K66*'Other Assumptions'!K70</f>
        <v>95.805248551559998</v>
      </c>
      <c r="H23" s="4">
        <f ca="1">'Total Trip Tables Sup #2'!H23+'Total Trip Tables Sup #2'!H18*'Other Assumptions'!L66*'Other Assumptions'!L70+'Total Trip Tables Sup #2'!H19*'Other Assumptions'!L66*'Other Assumptions'!L70</f>
        <v>103.73260225940999</v>
      </c>
      <c r="I23" s="1">
        <f ca="1">'Total Trip Tables Sup #2'!I23+'Total Trip Tables Sup #2'!I18*'Other Assumptions'!M66*'Other Assumptions'!M70+'Total Trip Tables Sup #2'!I19*'Other Assumptions'!M66*'Other Assumptions'!M70</f>
        <v>111.65995596725999</v>
      </c>
      <c r="J23" s="1">
        <f ca="1">'Total Trip Tables Sup #2'!J23+'Total Trip Tables Sup #2'!J18*'Other Assumptions'!N66*'Other Assumptions'!N70+'Total Trip Tables Sup #2'!J19*'Other Assumptions'!N66*'Other Assumptions'!N70</f>
        <v>119.93650742298864</v>
      </c>
      <c r="K23" s="1">
        <f ca="1">'Total Trip Tables Sup #2'!K23+'Total Trip Tables Sup #2'!K18*'Other Assumptions'!O66*'Other Assumptions'!O70+'Total Trip Tables Sup #2'!K19*'Other Assumptions'!O66*'Other Assumptions'!O70</f>
        <v>128.82654025980801</v>
      </c>
    </row>
    <row r="24" spans="1:11" x14ac:dyDescent="0.2">
      <c r="A24" t="str">
        <f ca="1">OFFSET(Auckland_Reference,56,2)</f>
        <v>Local Ferry</v>
      </c>
      <c r="B24" s="4">
        <f ca="1">'Total Trip Tables Sup #2'!B24</f>
        <v>4.957052</v>
      </c>
      <c r="C24" s="4">
        <f ca="1">'Total Trip Tables Sup #2'!C24</f>
        <v>5.8793667899714759</v>
      </c>
      <c r="D24" s="4">
        <f ca="1">'Total Trip Tables Sup #2'!D24</f>
        <v>6.6355346336977679</v>
      </c>
      <c r="E24" s="4">
        <f ca="1">'Total Trip Tables Sup #2'!E24</f>
        <v>7.2353563138551857</v>
      </c>
      <c r="F24" s="4">
        <f ca="1">'Total Trip Tables Sup #2'!F24</f>
        <v>7.7809627400979959</v>
      </c>
      <c r="G24" s="4">
        <f ca="1">'Total Trip Tables Sup #2'!G24</f>
        <v>8.5159269977960808</v>
      </c>
      <c r="H24" s="4">
        <f ca="1">'Total Trip Tables Sup #2'!H24</f>
        <v>9.2340314944802184</v>
      </c>
      <c r="I24" s="1">
        <f ca="1">'Total Trip Tables Sup #2'!I24</f>
        <v>9.480989546176664</v>
      </c>
      <c r="J24" s="1">
        <f ca="1">'Total Trip Tables Sup #2'!J24</f>
        <v>9.705701005093573</v>
      </c>
      <c r="K24" s="1">
        <f ca="1">'Total Trip Tables Sup #2'!K24</f>
        <v>9.9165762033681695</v>
      </c>
    </row>
    <row r="25" spans="1:11" x14ac:dyDescent="0.2">
      <c r="A25" t="str">
        <f ca="1">OFFSET(Auckland_Reference,63,2)</f>
        <v>Other Household Travel</v>
      </c>
      <c r="B25" s="4">
        <f ca="1">'Total Trip Tables Sup #2'!B25</f>
        <v>2.2145179384000002</v>
      </c>
      <c r="C25" s="4">
        <f ca="1">'Total Trip Tables Sup #2'!C25</f>
        <v>2.5409046832373572</v>
      </c>
      <c r="D25" s="4">
        <f ca="1">'Total Trip Tables Sup #2'!D25</f>
        <v>2.8360016042532763</v>
      </c>
      <c r="E25" s="4">
        <f ca="1">'Total Trip Tables Sup #2'!E25</f>
        <v>3.119299471570995</v>
      </c>
      <c r="F25" s="4">
        <f ca="1">'Total Trip Tables Sup #2'!F25</f>
        <v>3.4173757837401864</v>
      </c>
      <c r="G25" s="4">
        <f ca="1">'Total Trip Tables Sup #2'!G25</f>
        <v>3.7284531271981249</v>
      </c>
      <c r="H25" s="4">
        <f ca="1">'Total Trip Tables Sup #2'!H25</f>
        <v>4.0248804625826562</v>
      </c>
      <c r="I25" s="1">
        <f ca="1">'Total Trip Tables Sup #2'!I25</f>
        <v>4.2134391551922921</v>
      </c>
      <c r="J25" s="1">
        <f ca="1">'Total Trip Tables Sup #2'!J25</f>
        <v>4.3969065652266037</v>
      </c>
      <c r="K25" s="1">
        <f ca="1">'Total Trip Tables Sup #2'!K25</f>
        <v>4.5786165403755481</v>
      </c>
    </row>
    <row r="26" spans="1:11" x14ac:dyDescent="0.2">
      <c r="A26" t="str">
        <f ca="1">OFFSET(Waikato_Reference,0,0)</f>
        <v>03 WAIKATO</v>
      </c>
      <c r="B26" s="4">
        <f ca="1">SUM(B27:B36)</f>
        <v>529.4809706353002</v>
      </c>
      <c r="C26" s="4">
        <f t="shared" ref="C26" ca="1" si="8">SUM(C27:C36)</f>
        <v>584.86882810274665</v>
      </c>
      <c r="D26" s="4">
        <f t="shared" ref="D26" ca="1" si="9">SUM(D27:D36)</f>
        <v>617.79037977953624</v>
      </c>
      <c r="E26" s="4">
        <f t="shared" ref="E26" ca="1" si="10">SUM(E27:E36)</f>
        <v>640.52434283618777</v>
      </c>
      <c r="F26" s="4">
        <f t="shared" ref="F26" ca="1" si="11">SUM(F27:F36)</f>
        <v>660.24346675550612</v>
      </c>
      <c r="G26" s="4">
        <f t="shared" ref="G26" ca="1" si="12">SUM(G27:G36)</f>
        <v>674.95802936904829</v>
      </c>
      <c r="H26" s="4">
        <f t="shared" ref="H26:K26" ca="1" si="13">SUM(H27:H36)</f>
        <v>686.88211020036658</v>
      </c>
      <c r="I26" s="1">
        <f t="shared" ca="1" si="13"/>
        <v>701.93016872802434</v>
      </c>
      <c r="J26" s="1">
        <f t="shared" ca="1" si="13"/>
        <v>715.02818836323695</v>
      </c>
      <c r="K26" s="1">
        <f t="shared" ca="1" si="13"/>
        <v>726.80868699612313</v>
      </c>
    </row>
    <row r="27" spans="1:11" x14ac:dyDescent="0.2">
      <c r="A27" t="str">
        <f ca="1">OFFSET(Waikato_Reference,0,2)</f>
        <v>Pedestrian</v>
      </c>
      <c r="B27" s="4">
        <f ca="1">'Total Trip Tables Sup #2'!B27</f>
        <v>68.689195601999998</v>
      </c>
      <c r="C27" s="4">
        <f ca="1">'Total Trip Tables Sup #2'!C27</f>
        <v>75.199698333214869</v>
      </c>
      <c r="D27" s="4">
        <f ca="1">'Total Trip Tables Sup #2'!D27</f>
        <v>78.962942265794666</v>
      </c>
      <c r="E27" s="4">
        <f ca="1">'Total Trip Tables Sup #2'!E27</f>
        <v>81.790467902858467</v>
      </c>
      <c r="F27" s="4">
        <f ca="1">'Total Trip Tables Sup #2'!F27</f>
        <v>83.847207129414244</v>
      </c>
      <c r="G27" s="4">
        <f ca="1">'Total Trip Tables Sup #2'!G27</f>
        <v>85.503927715463945</v>
      </c>
      <c r="H27" s="4">
        <f ca="1">'Total Trip Tables Sup #2'!H27</f>
        <v>86.809020588934274</v>
      </c>
      <c r="I27" s="1">
        <f ca="1">'Total Trip Tables Sup #2'!I27</f>
        <v>88.675639681601126</v>
      </c>
      <c r="J27" s="1">
        <f ca="1">'Total Trip Tables Sup #2'!J27</f>
        <v>90.295180145332736</v>
      </c>
      <c r="K27" s="1">
        <f ca="1">'Total Trip Tables Sup #2'!K27</f>
        <v>91.747774824073801</v>
      </c>
    </row>
    <row r="28" spans="1:11" x14ac:dyDescent="0.2">
      <c r="A28" t="str">
        <f ca="1">OFFSET(Waikato_Reference,7,2)</f>
        <v>Cyclist</v>
      </c>
      <c r="B28" s="4">
        <f ca="1">'Total Trip Tables Sup #2'!B28</f>
        <v>5.8956498267999997</v>
      </c>
      <c r="C28" s="4">
        <f ca="1">'Total Trip Tables Sup #2'!C28</f>
        <v>6.4422099213567634</v>
      </c>
      <c r="D28" s="4">
        <f ca="1">'Total Trip Tables Sup #2'!D28</f>
        <v>6.7093332254392983</v>
      </c>
      <c r="E28" s="4">
        <f ca="1">'Total Trip Tables Sup #2'!E28</f>
        <v>6.8889161037804989</v>
      </c>
      <c r="F28" s="4">
        <f ca="1">'Total Trip Tables Sup #2'!F28</f>
        <v>7.0504658403139473</v>
      </c>
      <c r="G28" s="4">
        <f ca="1">'Total Trip Tables Sup #2'!G28</f>
        <v>7.1982056947920894</v>
      </c>
      <c r="H28" s="4">
        <f ca="1">'Total Trip Tables Sup #2'!H28</f>
        <v>7.3328182077407336</v>
      </c>
      <c r="I28" s="1">
        <f ca="1">'Total Trip Tables Sup #2'!I28</f>
        <v>7.5332015271036443</v>
      </c>
      <c r="J28" s="1">
        <f ca="1">'Total Trip Tables Sup #2'!J28</f>
        <v>7.7152031545520616</v>
      </c>
      <c r="K28" s="1">
        <f ca="1">'Total Trip Tables Sup #2'!K28</f>
        <v>7.8854040961746739</v>
      </c>
    </row>
    <row r="29" spans="1:11" x14ac:dyDescent="0.2">
      <c r="A29" t="str">
        <f ca="1">OFFSET(Waikato_Reference,14,2)</f>
        <v>Light Vehicle Driver</v>
      </c>
      <c r="B29" s="4">
        <f ca="1">'Total Trip Tables Sup #2'!B29</f>
        <v>305.41478153000003</v>
      </c>
      <c r="C29" s="4">
        <f ca="1">'Total Trip Tables Sup #2'!C29*(1-'Other Assumptions'!G8)</f>
        <v>343.38932841683805</v>
      </c>
      <c r="D29" s="4">
        <f ca="1">'Total Trip Tables Sup #2'!D29*(1-'Other Assumptions'!H8)</f>
        <v>366.57878874195251</v>
      </c>
      <c r="E29" s="4">
        <f ca="1">'Total Trip Tables Sup #2'!E29*(1-'Other Assumptions'!I8)</f>
        <v>363.3858829966951</v>
      </c>
      <c r="F29" s="4">
        <f ca="1">'Total Trip Tables Sup #2'!F29*(1-'Other Assumptions'!J8)</f>
        <v>357.07993762361309</v>
      </c>
      <c r="G29" s="4">
        <f ca="1">'Total Trip Tables Sup #2'!G29*(1-'Other Assumptions'!K8)</f>
        <v>346.16444777720062</v>
      </c>
      <c r="H29" s="4">
        <f ca="1">'Total Trip Tables Sup #2'!H29*(1-'Other Assumptions'!L8)</f>
        <v>332.98448834747404</v>
      </c>
      <c r="I29" s="1">
        <f ca="1">'Total Trip Tables Sup #2'!I29*(1-'Other Assumptions'!M8)</f>
        <v>318.99950794236474</v>
      </c>
      <c r="J29" s="1">
        <f ca="1">'Total Trip Tables Sup #2'!J29*(1-'Other Assumptions'!N8)</f>
        <v>303.27606775443223</v>
      </c>
      <c r="K29" s="1">
        <f ca="1">'Total Trip Tables Sup #2'!K29*(1-'Other Assumptions'!O8)</f>
        <v>286.24084010822787</v>
      </c>
    </row>
    <row r="30" spans="1:11" x14ac:dyDescent="0.2">
      <c r="A30" t="str">
        <f ca="1">OFFSET(Waikato_Reference,21,2)</f>
        <v>Light Vehicle Passenger</v>
      </c>
      <c r="B30" s="4">
        <f ca="1">'Total Trip Tables Sup #2'!B30</f>
        <v>139.07206360000004</v>
      </c>
      <c r="C30" s="4">
        <f ca="1">'Total Trip Tables Sup #2'!C30*(1-'Other Assumptions'!G8)</f>
        <v>148.73060431585503</v>
      </c>
      <c r="D30" s="4">
        <f ca="1">'Total Trip Tables Sup #2'!D30*(1-'Other Assumptions'!H8)</f>
        <v>154.02215496524934</v>
      </c>
      <c r="E30" s="4">
        <f ca="1">'Total Trip Tables Sup #2'!E30*(1-'Other Assumptions'!I8)</f>
        <v>149.57257862992802</v>
      </c>
      <c r="F30" s="4">
        <f ca="1">'Total Trip Tables Sup #2'!F30*(1-'Other Assumptions'!J8)</f>
        <v>144.37328285265099</v>
      </c>
      <c r="G30" s="4">
        <f ca="1">'Total Trip Tables Sup #2'!G30*(1-'Other Assumptions'!K8)</f>
        <v>138.16155839611159</v>
      </c>
      <c r="H30" s="4">
        <f ca="1">'Total Trip Tables Sup #2'!H30*(1-'Other Assumptions'!L8)</f>
        <v>131.06008075190138</v>
      </c>
      <c r="I30" s="1">
        <f ca="1">'Total Trip Tables Sup #2'!I30*(1-'Other Assumptions'!M8)</f>
        <v>125.55671509126691</v>
      </c>
      <c r="J30" s="1">
        <f ca="1">'Total Trip Tables Sup #2'!J30*(1-'Other Assumptions'!N8)</f>
        <v>119.36852947490748</v>
      </c>
      <c r="K30" s="1">
        <f ca="1">'Total Trip Tables Sup #2'!K30*(1-'Other Assumptions'!O8)</f>
        <v>112.66352361949642</v>
      </c>
    </row>
    <row r="31" spans="1:11" x14ac:dyDescent="0.2">
      <c r="A31" t="str">
        <f ca="1">OFFSET(Waikato_Reference,28,2)</f>
        <v>Taxi/Vehicle Share</v>
      </c>
      <c r="B31" s="4">
        <f ca="1">'Total Trip Tables Sup #2'!B31</f>
        <v>0.69122996950000004</v>
      </c>
      <c r="C31" s="4">
        <f ca="1">'Total Trip Tables Sup #2'!C31+((C29+C30)*'Other Assumptions'!G8/(1-'Other Assumptions'!G8))</f>
        <v>0.81223623793735822</v>
      </c>
      <c r="D31" s="4">
        <f ca="1">'Total Trip Tables Sup #2'!D31+((D29+D30)*'Other Assumptions'!H8/(1-'Other Assumptions'!H8))</f>
        <v>0.9002154053932987</v>
      </c>
      <c r="E31" s="4">
        <f ca="1">'Total Trip Tables Sup #2'!E31+((E29+E30)*'Other Assumptions'!I8/(1-'Other Assumptions'!I8))</f>
        <v>27.977456148531175</v>
      </c>
      <c r="F31" s="4">
        <f ca="1">'Total Trip Tables Sup #2'!F31+((F29+F30)*'Other Assumptions'!J8/(1-'Other Assumptions'!J8))</f>
        <v>56.76769497141062</v>
      </c>
      <c r="G31" s="4">
        <f ca="1">'Total Trip Tables Sup #2'!G31+((G29+G30)*'Other Assumptions'!K8/(1-'Other Assumptions'!K8))</f>
        <v>86.57830000555235</v>
      </c>
      <c r="H31" s="4">
        <f ca="1">'Total Trip Tables Sup #2'!H31+((H29+H30)*'Other Assumptions'!L8/(1-'Other Assumptions'!L8))</f>
        <v>117.17695228990546</v>
      </c>
      <c r="I31" s="1">
        <f ca="1">'Total Trip Tables Sup #2'!I31+((I29+I30)*'Other Assumptions'!M8/(1-'Other Assumptions'!M8))</f>
        <v>149.37479318942326</v>
      </c>
      <c r="J31" s="1">
        <f ca="1">'Total Trip Tables Sup #2'!J31+((J29+J30)*'Other Assumptions'!N8/(1-'Other Assumptions'!N8))</f>
        <v>182.34293132633431</v>
      </c>
      <c r="K31" s="1">
        <f ca="1">'Total Trip Tables Sup #2'!K31+((K29+K30)*'Other Assumptions'!O8/(1-'Other Assumptions'!O8))</f>
        <v>216.02199353953173</v>
      </c>
    </row>
    <row r="32" spans="1:11" x14ac:dyDescent="0.2">
      <c r="A32" t="str">
        <f ca="1">OFFSET(Waikato_Reference,35,2)</f>
        <v>Motorcyclist</v>
      </c>
      <c r="B32" s="4">
        <f ca="1">'Total Trip Tables Sup #2'!B32</f>
        <v>1.8680965575999999</v>
      </c>
      <c r="C32" s="4">
        <f ca="1">'Total Trip Tables Sup #2'!C32</f>
        <v>2.0627548890009915</v>
      </c>
      <c r="D32" s="4">
        <f ca="1">'Total Trip Tables Sup #2'!D32</f>
        <v>2.1672458017759113</v>
      </c>
      <c r="E32" s="4">
        <f ca="1">'Total Trip Tables Sup #2'!E32</f>
        <v>2.2262614325455869</v>
      </c>
      <c r="F32" s="4">
        <f ca="1">'Total Trip Tables Sup #2'!F32</f>
        <v>2.2721352240516528</v>
      </c>
      <c r="G32" s="4">
        <f ca="1">'Total Trip Tables Sup #2'!G32</f>
        <v>2.2775852216307659</v>
      </c>
      <c r="H32" s="4">
        <f ca="1">'Total Trip Tables Sup #2'!H32</f>
        <v>2.2701034111793779</v>
      </c>
      <c r="I32" s="1">
        <f ca="1">'Total Trip Tables Sup #2'!I32</f>
        <v>2.3319691702379521</v>
      </c>
      <c r="J32" s="1">
        <f ca="1">'Total Trip Tables Sup #2'!J32</f>
        <v>2.3879390534630227</v>
      </c>
      <c r="K32" s="1">
        <f ca="1">'Total Trip Tables Sup #2'!K32</f>
        <v>2.4400334804118144</v>
      </c>
    </row>
    <row r="33" spans="1:11" x14ac:dyDescent="0.2">
      <c r="A33" t="str">
        <f ca="1">OFFSET(Waikato_Reference,42,2)</f>
        <v>Local Train</v>
      </c>
      <c r="B33" s="4">
        <f ca="1">'Total Trip Tables Sup #2'!B33</f>
        <v>0</v>
      </c>
      <c r="C33" s="4">
        <f ca="1">'Total Trip Tables Sup #2'!C33</f>
        <v>0</v>
      </c>
      <c r="D33" s="4">
        <f ca="1">'Total Trip Tables Sup #2'!D33</f>
        <v>0</v>
      </c>
      <c r="E33" s="4">
        <f ca="1">'Total Trip Tables Sup #2'!E33</f>
        <v>0</v>
      </c>
      <c r="F33" s="4">
        <f ca="1">'Total Trip Tables Sup #2'!F33</f>
        <v>0</v>
      </c>
      <c r="G33" s="4">
        <f ca="1">'Total Trip Tables Sup #2'!G33</f>
        <v>0</v>
      </c>
      <c r="H33" s="4">
        <f ca="1">'Total Trip Tables Sup #2'!H33</f>
        <v>0</v>
      </c>
      <c r="I33" s="1">
        <f ca="1">'Total Trip Tables Sup #2'!I33</f>
        <v>0</v>
      </c>
      <c r="J33" s="1">
        <f ca="1">'Total Trip Tables Sup #2'!J33</f>
        <v>0</v>
      </c>
      <c r="K33" s="1">
        <f ca="1">'Total Trip Tables Sup #2'!K33</f>
        <v>0</v>
      </c>
    </row>
    <row r="34" spans="1:11" x14ac:dyDescent="0.2">
      <c r="A34" t="str">
        <f ca="1">OFFSET(Waikato_Reference,49,2)</f>
        <v>Local Bus</v>
      </c>
      <c r="B34" s="4">
        <f ca="1">'Total Trip Tables Sup #2'!B34</f>
        <v>5.7199103379</v>
      </c>
      <c r="C34" s="4">
        <f ca="1">'Total Trip Tables Sup #2'!C34</f>
        <v>5.8606605715387783</v>
      </c>
      <c r="D34" s="4">
        <f ca="1">'Total Trip Tables Sup #2'!D34</f>
        <v>5.8902710697753866</v>
      </c>
      <c r="E34" s="4">
        <f ca="1">'Total Trip Tables Sup #2'!E34</f>
        <v>5.9430817487033529</v>
      </c>
      <c r="F34" s="4">
        <f ca="1">'Total Trip Tables Sup #2'!F34</f>
        <v>5.9297413742498515</v>
      </c>
      <c r="G34" s="4">
        <f ca="1">'Total Trip Tables Sup #2'!G34</f>
        <v>5.9544930318673703</v>
      </c>
      <c r="H34" s="4">
        <f ca="1">'Total Trip Tables Sup #2'!H34</f>
        <v>5.9494490464260341</v>
      </c>
      <c r="I34" s="1">
        <f ca="1">'Total Trip Tables Sup #2'!I34</f>
        <v>6.0840489177209465</v>
      </c>
      <c r="J34" s="1">
        <f ca="1">'Total Trip Tables Sup #2'!J34</f>
        <v>6.2019267087583545</v>
      </c>
      <c r="K34" s="1">
        <f ca="1">'Total Trip Tables Sup #2'!K34</f>
        <v>6.3085383302212694</v>
      </c>
    </row>
    <row r="35" spans="1:11" x14ac:dyDescent="0.2">
      <c r="A35" t="str">
        <f ca="1">OFFSET(Waikato_Reference,56,2)</f>
        <v>Local Ferry</v>
      </c>
      <c r="B35" s="4">
        <f ca="1">'Total Trip Tables Sup #2'!B35</f>
        <v>0.2446181519</v>
      </c>
      <c r="C35" s="4">
        <f ca="1">'Total Trip Tables Sup #2'!C35</f>
        <v>0.28042272973010818</v>
      </c>
      <c r="D35" s="4">
        <f ca="1">'Total Trip Tables Sup #2'!D35</f>
        <v>0.30564465501356958</v>
      </c>
      <c r="E35" s="4">
        <f ca="1">'Total Trip Tables Sup #2'!E35</f>
        <v>0.32468184333209549</v>
      </c>
      <c r="F35" s="4">
        <f ca="1">'Total Trip Tables Sup #2'!F35</f>
        <v>0.34077664920183387</v>
      </c>
      <c r="G35" s="4">
        <f ca="1">'Total Trip Tables Sup #2'!G35</f>
        <v>0.36469592415945823</v>
      </c>
      <c r="H35" s="4">
        <f ca="1">'Total Trip Tables Sup #2'!H35</f>
        <v>0.3872229442573476</v>
      </c>
      <c r="I35" s="1">
        <f ca="1">'Total Trip Tables Sup #2'!I35</f>
        <v>0.3893087371237588</v>
      </c>
      <c r="J35" s="1">
        <f ca="1">'Total Trip Tables Sup #2'!J35</f>
        <v>0.39024571454395074</v>
      </c>
      <c r="K35" s="1">
        <f ca="1">'Total Trip Tables Sup #2'!K35</f>
        <v>0.39043050218768577</v>
      </c>
    </row>
    <row r="36" spans="1:11" x14ac:dyDescent="0.2">
      <c r="A36" t="str">
        <f ca="1">OFFSET(Waikato_Reference,63,2)</f>
        <v>Other Household Travel</v>
      </c>
      <c r="B36" s="4">
        <f ca="1">'Total Trip Tables Sup #2'!B36</f>
        <v>1.8854250596</v>
      </c>
      <c r="C36" s="4">
        <f ca="1">'Total Trip Tables Sup #2'!C36</f>
        <v>2.0909126872745318</v>
      </c>
      <c r="D36" s="4">
        <f ca="1">'Total Trip Tables Sup #2'!D36</f>
        <v>2.2537836491423353</v>
      </c>
      <c r="E36" s="4">
        <f ca="1">'Total Trip Tables Sup #2'!E36</f>
        <v>2.415016029813605</v>
      </c>
      <c r="F36" s="4">
        <f ca="1">'Total Trip Tables Sup #2'!F36</f>
        <v>2.5822250905998292</v>
      </c>
      <c r="G36" s="4">
        <f ca="1">'Total Trip Tables Sup #2'!G36</f>
        <v>2.7548156022701749</v>
      </c>
      <c r="H36" s="4">
        <f ca="1">'Total Trip Tables Sup #2'!H36</f>
        <v>2.9119746125478625</v>
      </c>
      <c r="I36" s="1">
        <f ca="1">'Total Trip Tables Sup #2'!I36</f>
        <v>2.9849844711820577</v>
      </c>
      <c r="J36" s="1">
        <f ca="1">'Total Trip Tables Sup #2'!J36</f>
        <v>3.0501650309126829</v>
      </c>
      <c r="K36" s="1">
        <f ca="1">'Total Trip Tables Sup #2'!K36</f>
        <v>3.1101484957979157</v>
      </c>
    </row>
    <row r="37" spans="1:11" x14ac:dyDescent="0.2">
      <c r="A37" t="str">
        <f ca="1">OFFSET(BOP_Reference,0,0)</f>
        <v>04 BAY OF PLENTY</v>
      </c>
      <c r="B37" s="4">
        <f ca="1">SUM(B38:B47)</f>
        <v>334.99924989919998</v>
      </c>
      <c r="C37" s="4">
        <f t="shared" ref="C37" ca="1" si="14">SUM(C38:C47)</f>
        <v>363.91292037194881</v>
      </c>
      <c r="D37" s="4">
        <f t="shared" ref="D37" ca="1" si="15">SUM(D38:D47)</f>
        <v>381.10819496551591</v>
      </c>
      <c r="E37" s="4">
        <f t="shared" ref="E37" ca="1" si="16">SUM(E38:E47)</f>
        <v>392.04849515069509</v>
      </c>
      <c r="F37" s="4">
        <f t="shared" ref="F37" ca="1" si="17">SUM(F38:F47)</f>
        <v>401.08606548430248</v>
      </c>
      <c r="G37" s="4">
        <f t="shared" ref="G37" ca="1" si="18">SUM(G38:G47)</f>
        <v>406.93593877955715</v>
      </c>
      <c r="H37" s="4">
        <f t="shared" ref="H37:K37" ca="1" si="19">SUM(H38:H47)</f>
        <v>411.01028325737349</v>
      </c>
      <c r="I37" s="1">
        <f t="shared" ca="1" si="19"/>
        <v>417.18985826831869</v>
      </c>
      <c r="J37" s="1">
        <f t="shared" ca="1" si="19"/>
        <v>422.11657081441695</v>
      </c>
      <c r="K37" s="1">
        <f t="shared" ca="1" si="19"/>
        <v>426.18563751071019</v>
      </c>
    </row>
    <row r="38" spans="1:11" x14ac:dyDescent="0.2">
      <c r="A38" t="str">
        <f ca="1">OFFSET(BOP_Reference,0,2)</f>
        <v>Pedestrian</v>
      </c>
      <c r="B38" s="4">
        <f ca="1">'Total Trip Tables Sup #2'!B38</f>
        <v>43.402809341999998</v>
      </c>
      <c r="C38" s="4">
        <f ca="1">'Total Trip Tables Sup #2'!C38</f>
        <v>46.858555196318498</v>
      </c>
      <c r="D38" s="4">
        <f ca="1">'Total Trip Tables Sup #2'!D38</f>
        <v>48.868179276322422</v>
      </c>
      <c r="E38" s="4">
        <f ca="1">'Total Trip Tables Sup #2'!E38</f>
        <v>50.280605169804176</v>
      </c>
      <c r="F38" s="4">
        <f ca="1">'Total Trip Tables Sup #2'!F38</f>
        <v>51.214173006063326</v>
      </c>
      <c r="G38" s="4">
        <f ca="1">'Total Trip Tables Sup #2'!G38</f>
        <v>51.871722155630458</v>
      </c>
      <c r="H38" s="4">
        <f ca="1">'Total Trip Tables Sup #2'!H38</f>
        <v>52.307735941348405</v>
      </c>
      <c r="I38" s="1">
        <f ca="1">'Total Trip Tables Sup #2'!I38</f>
        <v>53.071560865507394</v>
      </c>
      <c r="J38" s="1">
        <f ca="1">'Total Trip Tables Sup #2'!J38</f>
        <v>53.675804665320911</v>
      </c>
      <c r="K38" s="1">
        <f ca="1">'Total Trip Tables Sup #2'!K38</f>
        <v>54.170893549572455</v>
      </c>
    </row>
    <row r="39" spans="1:11" x14ac:dyDescent="0.2">
      <c r="A39" t="str">
        <f ca="1">OFFSET(BOP_Reference,7,2)</f>
        <v>Cyclist</v>
      </c>
      <c r="B39" s="4">
        <f ca="1">'Total Trip Tables Sup #2'!B39</f>
        <v>5.1579391552000002</v>
      </c>
      <c r="C39" s="4">
        <f ca="1">'Total Trip Tables Sup #2'!C39</f>
        <v>5.5580543752365967</v>
      </c>
      <c r="D39" s="4">
        <f ca="1">'Total Trip Tables Sup #2'!D39</f>
        <v>5.7490663611307777</v>
      </c>
      <c r="E39" s="4">
        <f ca="1">'Total Trip Tables Sup #2'!E39</f>
        <v>5.8635930685064217</v>
      </c>
      <c r="F39" s="4">
        <f ca="1">'Total Trip Tables Sup #2'!F39</f>
        <v>5.9625838481511799</v>
      </c>
      <c r="G39" s="4">
        <f ca="1">'Total Trip Tables Sup #2'!G39</f>
        <v>6.0462204568600404</v>
      </c>
      <c r="H39" s="4">
        <f ca="1">'Total Trip Tables Sup #2'!H39</f>
        <v>6.1176849543870997</v>
      </c>
      <c r="I39" s="1">
        <f ca="1">'Total Trip Tables Sup #2'!I39</f>
        <v>6.2424092862604796</v>
      </c>
      <c r="J39" s="1">
        <f ca="1">'Total Trip Tables Sup #2'!J39</f>
        <v>6.3500403481291707</v>
      </c>
      <c r="K39" s="1">
        <f ca="1">'Total Trip Tables Sup #2'!K39</f>
        <v>6.4462855134419801</v>
      </c>
    </row>
    <row r="40" spans="1:11" x14ac:dyDescent="0.2">
      <c r="A40" t="str">
        <f ca="1">OFFSET(BOP_Reference,14,2)</f>
        <v>Light Vehicle Driver</v>
      </c>
      <c r="B40" s="4">
        <f ca="1">'Total Trip Tables Sup #2'!B40</f>
        <v>178.59124365</v>
      </c>
      <c r="C40" s="4">
        <f ca="1">'Total Trip Tables Sup #2'!C40*(1-'Other Assumptions'!G9)</f>
        <v>198.01600230192091</v>
      </c>
      <c r="D40" s="4">
        <f ca="1">'Total Trip Tables Sup #2'!D40*(1-'Other Assumptions'!H9)</f>
        <v>209.94757691993001</v>
      </c>
      <c r="E40" s="4">
        <f ca="1">'Total Trip Tables Sup #2'!E40*(1-'Other Assumptions'!I9)</f>
        <v>206.73145142639905</v>
      </c>
      <c r="F40" s="4">
        <f ca="1">'Total Trip Tables Sup #2'!F40*(1-'Other Assumptions'!J9)</f>
        <v>201.84022047888672</v>
      </c>
      <c r="G40" s="4">
        <f ca="1">'Total Trip Tables Sup #2'!G40*(1-'Other Assumptions'!K9)</f>
        <v>194.34249009538067</v>
      </c>
      <c r="H40" s="4">
        <f ca="1">'Total Trip Tables Sup #2'!H40*(1-'Other Assumptions'!L9)</f>
        <v>185.68027382858267</v>
      </c>
      <c r="I40" s="1">
        <f ca="1">'Total Trip Tables Sup #2'!I40*(1-'Other Assumptions'!M9)</f>
        <v>176.68034656935717</v>
      </c>
      <c r="J40" s="1">
        <f ca="1">'Total Trip Tables Sup #2'!J40*(1-'Other Assumptions'!N9)</f>
        <v>166.8371775487208</v>
      </c>
      <c r="K40" s="1">
        <f ca="1">'Total Trip Tables Sup #2'!K40*(1-'Other Assumptions'!O9)</f>
        <v>156.40216333406602</v>
      </c>
    </row>
    <row r="41" spans="1:11" x14ac:dyDescent="0.2">
      <c r="A41" t="str">
        <f ca="1">OFFSET(BOP_Reference,21,2)</f>
        <v>Light Vehicle Passenger</v>
      </c>
      <c r="B41" s="4">
        <f ca="1">'Total Trip Tables Sup #2'!B41</f>
        <v>98.719582360000032</v>
      </c>
      <c r="C41" s="4">
        <f ca="1">'Total Trip Tables Sup #2'!C41*(1-'Other Assumptions'!G9)</f>
        <v>104.11352189019352</v>
      </c>
      <c r="D41" s="4">
        <f ca="1">'Total Trip Tables Sup #2'!D41*(1-'Other Assumptions'!H9)</f>
        <v>107.08287713143633</v>
      </c>
      <c r="E41" s="4">
        <f ca="1">'Total Trip Tables Sup #2'!E41*(1-'Other Assumptions'!I9)</f>
        <v>103.29606658346403</v>
      </c>
      <c r="F41" s="4">
        <f ca="1">'Total Trip Tables Sup #2'!F41*(1-'Other Assumptions'!J9)</f>
        <v>99.065490624538413</v>
      </c>
      <c r="G41" s="4">
        <f ca="1">'Total Trip Tables Sup #2'!G41*(1-'Other Assumptions'!K9)</f>
        <v>94.159864545116847</v>
      </c>
      <c r="H41" s="4">
        <f ca="1">'Total Trip Tables Sup #2'!H41*(1-'Other Assumptions'!L9)</f>
        <v>88.716724194007497</v>
      </c>
      <c r="I41" s="1">
        <f ca="1">'Total Trip Tables Sup #2'!I41*(1-'Other Assumptions'!M9)</f>
        <v>84.417303458309433</v>
      </c>
      <c r="J41" s="1">
        <f ca="1">'Total Trip Tables Sup #2'!J41*(1-'Other Assumptions'!N9)</f>
        <v>79.714594019428617</v>
      </c>
      <c r="K41" s="1">
        <f ca="1">'Total Trip Tables Sup #2'!K41*(1-'Other Assumptions'!O9)</f>
        <v>74.728762275687217</v>
      </c>
    </row>
    <row r="42" spans="1:11" x14ac:dyDescent="0.2">
      <c r="A42" t="str">
        <f ca="1">OFFSET(BOP_Reference,28,2)</f>
        <v>Taxi/Vehicle Share</v>
      </c>
      <c r="B42" s="4">
        <f ca="1">'Total Trip Tables Sup #2'!B42</f>
        <v>0.15552198610000001</v>
      </c>
      <c r="C42" s="4">
        <f ca="1">'Total Trip Tables Sup #2'!C42+((C40+C41)*'Other Assumptions'!G9/(1-'Other Assumptions'!G9))</f>
        <v>0.18021667833142499</v>
      </c>
      <c r="D42" s="4">
        <f ca="1">'Total Trip Tables Sup #2'!D42+((D40+D41)*'Other Assumptions'!H9/(1-'Other Assumptions'!H9))</f>
        <v>0.19837598700899189</v>
      </c>
      <c r="E42" s="4">
        <f ca="1">'Total Trip Tables Sup #2'!E42+((E40+E41)*'Other Assumptions'!I9/(1-'Other Assumptions'!I9))</f>
        <v>16.531677490183156</v>
      </c>
      <c r="F42" s="4">
        <f ca="1">'Total Trip Tables Sup #2'!F42+((F40+F41)*'Other Assumptions'!J9/(1-'Other Assumptions'!J9))</f>
        <v>33.662479323283911</v>
      </c>
      <c r="G42" s="4">
        <f ca="1">'Total Trip Tables Sup #2'!G42+((G40+G41)*'Other Assumptions'!K9/(1-'Other Assumptions'!K9))</f>
        <v>51.151742186995371</v>
      </c>
      <c r="H42" s="4">
        <f ca="1">'Total Trip Tables Sup #2'!H42+((H40+H41)*'Other Assumptions'!L9/(1-'Other Assumptions'!L9))</f>
        <v>68.849381169444555</v>
      </c>
      <c r="I42" s="1">
        <f ca="1">'Total Trip Tables Sup #2'!I42+((I40+I41)*'Other Assumptions'!M9/(1-'Other Assumptions'!M9))</f>
        <v>87.28601617674407</v>
      </c>
      <c r="J42" s="1">
        <f ca="1">'Total Trip Tables Sup #2'!J42+((J40+J41)*'Other Assumptions'!N9/(1-'Other Assumptions'!N9))</f>
        <v>105.92106346792507</v>
      </c>
      <c r="K42" s="1">
        <f ca="1">'Total Trip Tables Sup #2'!K42+((K40+K41)*'Other Assumptions'!O9/(1-'Other Assumptions'!O9))</f>
        <v>124.71314593231669</v>
      </c>
    </row>
    <row r="43" spans="1:11" x14ac:dyDescent="0.2">
      <c r="A43" t="str">
        <f ca="1">OFFSET(BOP_Reference,35,2)</f>
        <v>Motorcyclist</v>
      </c>
      <c r="B43" s="4">
        <f ca="1">'Total Trip Tables Sup #2'!B43</f>
        <v>0.90641599910000004</v>
      </c>
      <c r="C43" s="4">
        <f ca="1">'Total Trip Tables Sup #2'!C43</f>
        <v>0.98700477189122815</v>
      </c>
      <c r="D43" s="4">
        <f ca="1">'Total Trip Tables Sup #2'!D43</f>
        <v>1.0299350508242344</v>
      </c>
      <c r="E43" s="4">
        <f ca="1">'Total Trip Tables Sup #2'!E43</f>
        <v>1.0509276005640051</v>
      </c>
      <c r="F43" s="4">
        <f ca="1">'Total Trip Tables Sup #2'!F43</f>
        <v>1.0656990271929776</v>
      </c>
      <c r="G43" s="4">
        <f ca="1">'Total Trip Tables Sup #2'!G43</f>
        <v>1.0610065623883844</v>
      </c>
      <c r="H43" s="4">
        <f ca="1">'Total Trip Tables Sup #2'!H43</f>
        <v>1.0503778126574477</v>
      </c>
      <c r="I43" s="1">
        <f ca="1">'Total Trip Tables Sup #2'!I43</f>
        <v>1.0717146491745861</v>
      </c>
      <c r="J43" s="1">
        <f ca="1">'Total Trip Tables Sup #2'!J43</f>
        <v>1.0900240121811724</v>
      </c>
      <c r="K43" s="1">
        <f ca="1">'Total Trip Tables Sup #2'!K43</f>
        <v>1.1062800398912542</v>
      </c>
    </row>
    <row r="44" spans="1:11" x14ac:dyDescent="0.2">
      <c r="A44" t="str">
        <f ca="1">OFFSET(Auckland_Reference,42,2)</f>
        <v>Local Train</v>
      </c>
      <c r="B44" s="4">
        <f ca="1">'Total Trip Tables Sup #2'!B44</f>
        <v>0</v>
      </c>
      <c r="C44" s="4">
        <f ca="1">'Total Trip Tables Sup #2'!C44</f>
        <v>0</v>
      </c>
      <c r="D44" s="4">
        <f ca="1">'Total Trip Tables Sup #2'!D44</f>
        <v>0</v>
      </c>
      <c r="E44" s="4">
        <f ca="1">'Total Trip Tables Sup #2'!E44</f>
        <v>0</v>
      </c>
      <c r="F44" s="4">
        <f ca="1">'Total Trip Tables Sup #2'!F44</f>
        <v>0</v>
      </c>
      <c r="G44" s="4">
        <f ca="1">'Total Trip Tables Sup #2'!G44</f>
        <v>0</v>
      </c>
      <c r="H44" s="4">
        <f ca="1">'Total Trip Tables Sup #2'!H44</f>
        <v>0</v>
      </c>
      <c r="I44" s="1">
        <f ca="1">'Total Trip Tables Sup #2'!I44</f>
        <v>0</v>
      </c>
      <c r="J44" s="1">
        <f ca="1">'Total Trip Tables Sup #2'!J44</f>
        <v>0</v>
      </c>
      <c r="K44" s="1">
        <f ca="1">'Total Trip Tables Sup #2'!K44</f>
        <v>0</v>
      </c>
    </row>
    <row r="45" spans="1:11" x14ac:dyDescent="0.2">
      <c r="A45" t="str">
        <f ca="1">OFFSET(BOP_Reference,42,2)</f>
        <v>Local Bus</v>
      </c>
      <c r="B45" s="4">
        <f ca="1">'Total Trip Tables Sup #2'!B45</f>
        <v>7.4672006229000001</v>
      </c>
      <c r="C45" s="4">
        <f ca="1">'Total Trip Tables Sup #2'!C45</f>
        <v>7.5449879893988694</v>
      </c>
      <c r="D45" s="4">
        <f ca="1">'Total Trip Tables Sup #2'!D45</f>
        <v>7.5314276014687458</v>
      </c>
      <c r="E45" s="4">
        <f ca="1">'Total Trip Tables Sup #2'!E45</f>
        <v>7.5482920614597324</v>
      </c>
      <c r="F45" s="4">
        <f ca="1">'Total Trip Tables Sup #2'!F45</f>
        <v>7.4830130585913288</v>
      </c>
      <c r="G45" s="4">
        <f ca="1">'Total Trip Tables Sup #2'!G45</f>
        <v>7.4632601701104084</v>
      </c>
      <c r="H45" s="4">
        <f ca="1">'Total Trip Tables Sup #2'!H45</f>
        <v>7.4065678181753247</v>
      </c>
      <c r="I45" s="1">
        <f ca="1">'Total Trip Tables Sup #2'!I45</f>
        <v>7.5229714907665279</v>
      </c>
      <c r="J45" s="1">
        <f ca="1">'Total Trip Tables Sup #2'!J45</f>
        <v>7.6169273397740387</v>
      </c>
      <c r="K45" s="1">
        <f ca="1">'Total Trip Tables Sup #2'!K45</f>
        <v>7.6955274840190606</v>
      </c>
    </row>
    <row r="46" spans="1:11" x14ac:dyDescent="0.2">
      <c r="A46" t="str">
        <f ca="1">OFFSET(Waikato_Reference,56,2)</f>
        <v>Local Ferry</v>
      </c>
      <c r="B46" s="4">
        <f ca="1">'Total Trip Tables Sup #2'!B46</f>
        <v>0</v>
      </c>
      <c r="C46" s="4">
        <f ca="1">'Total Trip Tables Sup #2'!C46</f>
        <v>0</v>
      </c>
      <c r="D46" s="4">
        <f ca="1">'Total Trip Tables Sup #2'!D46</f>
        <v>0</v>
      </c>
      <c r="E46" s="4">
        <f ca="1">'Total Trip Tables Sup #2'!E46</f>
        <v>0</v>
      </c>
      <c r="F46" s="4">
        <f ca="1">'Total Trip Tables Sup #2'!F46</f>
        <v>0</v>
      </c>
      <c r="G46" s="4">
        <f ca="1">'Total Trip Tables Sup #2'!G46</f>
        <v>0</v>
      </c>
      <c r="H46" s="4">
        <f ca="1">'Total Trip Tables Sup #2'!H46</f>
        <v>0</v>
      </c>
      <c r="I46" s="1">
        <f ca="1">'Total Trip Tables Sup #2'!I46</f>
        <v>0</v>
      </c>
      <c r="J46" s="1">
        <f ca="1">'Total Trip Tables Sup #2'!J46</f>
        <v>0</v>
      </c>
      <c r="K46" s="1">
        <f ca="1">'Total Trip Tables Sup #2'!K46</f>
        <v>0</v>
      </c>
    </row>
    <row r="47" spans="1:11" x14ac:dyDescent="0.2">
      <c r="A47" t="str">
        <f ca="1">OFFSET(BOP_Reference,49,2)</f>
        <v>Other Household Travel</v>
      </c>
      <c r="B47" s="4">
        <f ca="1">'Total Trip Tables Sup #2'!B47</f>
        <v>0.59853678389999998</v>
      </c>
      <c r="C47" s="4">
        <f ca="1">'Total Trip Tables Sup #2'!C47</f>
        <v>0.65457716865781235</v>
      </c>
      <c r="D47" s="4">
        <f ca="1">'Total Trip Tables Sup #2'!D47</f>
        <v>0.70075663739437</v>
      </c>
      <c r="E47" s="4">
        <f ca="1">'Total Trip Tables Sup #2'!E47</f>
        <v>0.74588175031453841</v>
      </c>
      <c r="F47" s="4">
        <f ca="1">'Total Trip Tables Sup #2'!F47</f>
        <v>0.79240611759461477</v>
      </c>
      <c r="G47" s="4">
        <f ca="1">'Total Trip Tables Sup #2'!G47</f>
        <v>0.8396326070749861</v>
      </c>
      <c r="H47" s="4">
        <f ca="1">'Total Trip Tables Sup #2'!H47</f>
        <v>0.88153753877049978</v>
      </c>
      <c r="I47" s="1">
        <f ca="1">'Total Trip Tables Sup #2'!I47</f>
        <v>0.89753577219908942</v>
      </c>
      <c r="J47" s="1">
        <f ca="1">'Total Trip Tables Sup #2'!J47</f>
        <v>0.91093941293711578</v>
      </c>
      <c r="K47" s="1">
        <f ca="1">'Total Trip Tables Sup #2'!K47</f>
        <v>0.92257938171549525</v>
      </c>
    </row>
    <row r="48" spans="1:11" x14ac:dyDescent="0.2">
      <c r="A48" t="str">
        <f ca="1">OFFSET(Gisborne_Reference,0,0)</f>
        <v>05 GISBORNE</v>
      </c>
      <c r="B48" s="4">
        <f ca="1">SUM(B49:B58)</f>
        <v>61.908168304900002</v>
      </c>
      <c r="C48" s="4">
        <f t="shared" ref="C48" ca="1" si="20">SUM(C49:C58)</f>
        <v>63.889620361335353</v>
      </c>
      <c r="D48" s="4">
        <f t="shared" ref="D48" ca="1" si="21">SUM(D49:D58)</f>
        <v>64.916170133665389</v>
      </c>
      <c r="E48" s="4">
        <f t="shared" ref="E48" ca="1" si="22">SUM(E49:E58)</f>
        <v>65.232375846771717</v>
      </c>
      <c r="F48" s="4">
        <f t="shared" ref="F48" ca="1" si="23">SUM(F49:F58)</f>
        <v>65.200024471490309</v>
      </c>
      <c r="G48" s="4">
        <f t="shared" ref="G48" ca="1" si="24">SUM(G49:G58)</f>
        <v>64.567792842062246</v>
      </c>
      <c r="H48" s="4">
        <f t="shared" ref="H48:K48" ca="1" si="25">SUM(H49:H58)</f>
        <v>63.662053664891701</v>
      </c>
      <c r="I48" s="1">
        <f t="shared" ca="1" si="25"/>
        <v>63.103376614556524</v>
      </c>
      <c r="J48" s="1">
        <f t="shared" ca="1" si="25"/>
        <v>62.3508849477981</v>
      </c>
      <c r="K48" s="1">
        <f t="shared" ca="1" si="25"/>
        <v>61.475326188325759</v>
      </c>
    </row>
    <row r="49" spans="1:11" x14ac:dyDescent="0.2">
      <c r="A49" t="str">
        <f ca="1">OFFSET(Gisborne_Reference,0,2)</f>
        <v>Pedestrian</v>
      </c>
      <c r="B49" s="4">
        <f ca="1">'Total Trip Tables Sup #2'!B49</f>
        <v>12.564280467</v>
      </c>
      <c r="C49" s="4">
        <f ca="1">'Total Trip Tables Sup #2'!C49</f>
        <v>12.899899495625053</v>
      </c>
      <c r="D49" s="4">
        <f ca="1">'Total Trip Tables Sup #2'!D49</f>
        <v>13.061541603143624</v>
      </c>
      <c r="E49" s="4">
        <f ca="1">'Total Trip Tables Sup #2'!E49</f>
        <v>13.132101745876975</v>
      </c>
      <c r="F49" s="4">
        <f ca="1">'Total Trip Tables Sup #2'!F49</f>
        <v>13.075572138106658</v>
      </c>
      <c r="G49" s="4">
        <f ca="1">'Total Trip Tables Sup #2'!G49</f>
        <v>12.931368088720918</v>
      </c>
      <c r="H49" s="4">
        <f ca="1">'Total Trip Tables Sup #2'!H49</f>
        <v>12.734536440046005</v>
      </c>
      <c r="I49" s="1">
        <f ca="1">'Total Trip Tables Sup #2'!I49</f>
        <v>12.617766587169683</v>
      </c>
      <c r="J49" s="1">
        <f ca="1">'Total Trip Tables Sup #2'!J49</f>
        <v>12.462426302264253</v>
      </c>
      <c r="K49" s="1">
        <f ca="1">'Total Trip Tables Sup #2'!K49</f>
        <v>12.28268882623836</v>
      </c>
    </row>
    <row r="50" spans="1:11" x14ac:dyDescent="0.2">
      <c r="A50" t="str">
        <f ca="1">OFFSET(Gisborne_Reference,7,2)</f>
        <v>Cyclist</v>
      </c>
      <c r="B50" s="4">
        <f ca="1">'Total Trip Tables Sup #2'!B50</f>
        <v>1.1119455742</v>
      </c>
      <c r="C50" s="4">
        <f ca="1">'Total Trip Tables Sup #2'!C50</f>
        <v>1.1394827596377461</v>
      </c>
      <c r="D50" s="4">
        <f ca="1">'Total Trip Tables Sup #2'!D50</f>
        <v>1.1443348804028384</v>
      </c>
      <c r="E50" s="4">
        <f ca="1">'Total Trip Tables Sup #2'!E50</f>
        <v>1.1404732416121546</v>
      </c>
      <c r="F50" s="4">
        <f ca="1">'Total Trip Tables Sup #2'!F50</f>
        <v>1.1336854443342796</v>
      </c>
      <c r="G50" s="4">
        <f ca="1">'Total Trip Tables Sup #2'!G50</f>
        <v>1.1224973384577315</v>
      </c>
      <c r="H50" s="4">
        <f ca="1">'Total Trip Tables Sup #2'!H50</f>
        <v>1.109154027353497</v>
      </c>
      <c r="I50" s="1">
        <f ca="1">'Total Trip Tables Sup #2'!I50</f>
        <v>1.1052496932977951</v>
      </c>
      <c r="J50" s="1">
        <f ca="1">'Total Trip Tables Sup #2'!J50</f>
        <v>1.0979638936682832</v>
      </c>
      <c r="K50" s="1">
        <f ca="1">'Total Trip Tables Sup #2'!K50</f>
        <v>1.0884901957496003</v>
      </c>
    </row>
    <row r="51" spans="1:11" x14ac:dyDescent="0.2">
      <c r="A51" t="str">
        <f ca="1">OFFSET(Gisborne_Reference,14,2)</f>
        <v>Light Vehicle Driver</v>
      </c>
      <c r="B51" s="4">
        <f ca="1">'Total Trip Tables Sup #2'!B51</f>
        <v>28.776347379000001</v>
      </c>
      <c r="C51" s="4">
        <f ca="1">'Total Trip Tables Sup #2'!C51*(1-'Other Assumptions'!G10)</f>
        <v>30.342645696085157</v>
      </c>
      <c r="D51" s="4">
        <f ca="1">'Total Trip Tables Sup #2'!D51*(1-'Other Assumptions'!H10)</f>
        <v>31.234522490508741</v>
      </c>
      <c r="E51" s="4">
        <f ca="1">'Total Trip Tables Sup #2'!E51*(1-'Other Assumptions'!I10)</f>
        <v>30.05356673609867</v>
      </c>
      <c r="F51" s="4">
        <f ca="1">'Total Trip Tables Sup #2'!F51*(1-'Other Assumptions'!J10)</f>
        <v>28.683620859871358</v>
      </c>
      <c r="G51" s="4">
        <f ca="1">'Total Trip Tables Sup #2'!G51*(1-'Other Assumptions'!K10)</f>
        <v>26.967289330580275</v>
      </c>
      <c r="H51" s="4">
        <f ca="1">'Total Trip Tables Sup #2'!H51*(1-'Other Assumptions'!L10)</f>
        <v>25.161626440605577</v>
      </c>
      <c r="I51" s="1">
        <f ca="1">'Total Trip Tables Sup #2'!I51*(1-'Other Assumptions'!M10)</f>
        <v>23.381081497216481</v>
      </c>
      <c r="J51" s="1">
        <f ca="1">'Total Trip Tables Sup #2'!J51*(1-'Other Assumptions'!N10)</f>
        <v>21.561183615699527</v>
      </c>
      <c r="K51" s="1">
        <f ca="1">'Total Trip Tables Sup #2'!K51*(1-'Other Assumptions'!O10)</f>
        <v>19.739035612437277</v>
      </c>
    </row>
    <row r="52" spans="1:11" x14ac:dyDescent="0.2">
      <c r="A52" t="str">
        <f ca="1">OFFSET(Gisborne_Reference,21,2)</f>
        <v>Light Vehicle Passenger</v>
      </c>
      <c r="B52" s="4">
        <f ca="1">'Total Trip Tables Sup #2'!B52</f>
        <v>18.791024854000003</v>
      </c>
      <c r="C52" s="4">
        <f ca="1">'Total Trip Tables Sup #2'!C52*(1-'Other Assumptions'!G10)</f>
        <v>18.846553731578016</v>
      </c>
      <c r="D52" s="4">
        <f ca="1">'Total Trip Tables Sup #2'!D52*(1-'Other Assumptions'!H10)</f>
        <v>18.819829617832106</v>
      </c>
      <c r="E52" s="4">
        <f ca="1">'Total Trip Tables Sup #2'!E52*(1-'Other Assumptions'!I10)</f>
        <v>17.73964413169746</v>
      </c>
      <c r="F52" s="4">
        <f ca="1">'Total Trip Tables Sup #2'!F52*(1-'Other Assumptions'!J10)</f>
        <v>16.631074454902642</v>
      </c>
      <c r="G52" s="4">
        <f ca="1">'Total Trip Tables Sup #2'!G52*(1-'Other Assumptions'!K10)</f>
        <v>15.435013312993384</v>
      </c>
      <c r="H52" s="4">
        <f ca="1">'Total Trip Tables Sup #2'!H52*(1-'Other Assumptions'!L10)</f>
        <v>14.202019070657153</v>
      </c>
      <c r="I52" s="1">
        <f ca="1">'Total Trip Tables Sup #2'!I52*(1-'Other Assumptions'!M10)</f>
        <v>13.197129557145679</v>
      </c>
      <c r="J52" s="1">
        <f ca="1">'Total Trip Tables Sup #2'!J52*(1-'Other Assumptions'!N10)</f>
        <v>12.169962897780922</v>
      </c>
      <c r="K52" s="1">
        <f ca="1">'Total Trip Tables Sup #2'!K52*(1-'Other Assumptions'!O10)</f>
        <v>11.141473085866028</v>
      </c>
    </row>
    <row r="53" spans="1:11" x14ac:dyDescent="0.2">
      <c r="A53" t="str">
        <f ca="1">OFFSET(Gisborne_Reference,28,2)</f>
        <v>Taxi/Vehicle Share</v>
      </c>
      <c r="B53" s="4">
        <f ca="1">'Total Trip Tables Sup #2'!B53</f>
        <v>2.27015811E-2</v>
      </c>
      <c r="C53" s="4">
        <f ca="1">'Total Trip Tables Sup #2'!C53+((C51+C52)*'Other Assumptions'!G10/(1-'Other Assumptions'!G10))</f>
        <v>2.5017098825534514E-2</v>
      </c>
      <c r="D53" s="4">
        <f ca="1">'Total Trip Tables Sup #2'!D53+((D51+D52)*'Other Assumptions'!H10/(1-'Other Assumptions'!H10))</f>
        <v>2.673633724688023E-2</v>
      </c>
      <c r="E53" s="4">
        <f ca="1">'Total Trip Tables Sup #2'!E53+((E51+E52)*'Other Assumptions'!I10/(1-'Other Assumptions'!I10))</f>
        <v>2.5436733716296116</v>
      </c>
      <c r="F53" s="4">
        <f ca="1">'Total Trip Tables Sup #2'!F53+((F51+F52)*'Other Assumptions'!J10/(1-'Other Assumptions'!J10))</f>
        <v>5.0643848125149216</v>
      </c>
      <c r="G53" s="4">
        <f ca="1">'Total Trip Tables Sup #2'!G53+((G51+G52)*'Other Assumptions'!K10/(1-'Other Assumptions'!K10))</f>
        <v>7.5128738269103401</v>
      </c>
      <c r="H53" s="4">
        <f ca="1">'Total Trip Tables Sup #2'!H53+((H51+H52)*'Other Assumptions'!L10/(1-'Other Assumptions'!L10))</f>
        <v>9.8716178850894174</v>
      </c>
      <c r="I53" s="1">
        <f ca="1">'Total Trip Tables Sup #2'!I53+((I51+I52)*'Other Assumptions'!M10/(1-'Other Assumptions'!M10))</f>
        <v>12.223123831406259</v>
      </c>
      <c r="J53" s="1">
        <f ca="1">'Total Trip Tables Sup #2'!J53+((J51+J52)*'Other Assumptions'!N10/(1-'Other Assumptions'!N10))</f>
        <v>14.486179319615751</v>
      </c>
      <c r="K53" s="1">
        <f ca="1">'Total Trip Tables Sup #2'!K53+((K51+K52)*'Other Assumptions'!O10/(1-'Other Assumptions'!O10))</f>
        <v>16.657467837016483</v>
      </c>
    </row>
    <row r="54" spans="1:11" x14ac:dyDescent="0.2">
      <c r="A54" t="str">
        <f ca="1">OFFSET(Gisborne_Reference,35,2)</f>
        <v>Motorcyclist</v>
      </c>
      <c r="B54" s="4">
        <f ca="1">'Total Trip Tables Sup #2'!B54</f>
        <v>0.20072163900000001</v>
      </c>
      <c r="C54" s="4">
        <f ca="1">'Total Trip Tables Sup #2'!C54</f>
        <v>0.20785646448924675</v>
      </c>
      <c r="D54" s="4">
        <f ca="1">'Total Trip Tables Sup #2'!D54</f>
        <v>0.21058380498103935</v>
      </c>
      <c r="E54" s="4">
        <f ca="1">'Total Trip Tables Sup #2'!E54</f>
        <v>0.20996813537183262</v>
      </c>
      <c r="F54" s="4">
        <f ca="1">'Total Trip Tables Sup #2'!F54</f>
        <v>0.20813827781498723</v>
      </c>
      <c r="G54" s="4">
        <f ca="1">'Total Trip Tables Sup #2'!G54</f>
        <v>0.20233859393356282</v>
      </c>
      <c r="H54" s="4">
        <f ca="1">'Total Trip Tables Sup #2'!H54</f>
        <v>0.19561835744080142</v>
      </c>
      <c r="I54" s="1">
        <f ca="1">'Total Trip Tables Sup #2'!I54</f>
        <v>0.19491562116853772</v>
      </c>
      <c r="J54" s="1">
        <f ca="1">'Total Trip Tables Sup #2'!J54</f>
        <v>0.19360071419138586</v>
      </c>
      <c r="K54" s="1">
        <f ca="1">'Total Trip Tables Sup #2'!K54</f>
        <v>0.19188427138478178</v>
      </c>
    </row>
    <row r="55" spans="1:11" x14ac:dyDescent="0.2">
      <c r="A55" t="str">
        <f ca="1">OFFSET(Gisborne_Reference,42,2)</f>
        <v>Local Train</v>
      </c>
      <c r="B55" s="4">
        <f ca="1">'Total Trip Tables Sup #2'!B55</f>
        <v>0</v>
      </c>
      <c r="C55" s="4">
        <f ca="1">'Total Trip Tables Sup #2'!C55</f>
        <v>0</v>
      </c>
      <c r="D55" s="4">
        <f ca="1">'Total Trip Tables Sup #2'!D55</f>
        <v>0</v>
      </c>
      <c r="E55" s="4">
        <f ca="1">'Total Trip Tables Sup #2'!E55</f>
        <v>0</v>
      </c>
      <c r="F55" s="4">
        <f ca="1">'Total Trip Tables Sup #2'!F55</f>
        <v>0</v>
      </c>
      <c r="G55" s="4">
        <f ca="1">'Total Trip Tables Sup #2'!G55</f>
        <v>0</v>
      </c>
      <c r="H55" s="4">
        <f ca="1">'Total Trip Tables Sup #2'!H55</f>
        <v>0</v>
      </c>
      <c r="I55" s="1">
        <f ca="1">'Total Trip Tables Sup #2'!I55</f>
        <v>0</v>
      </c>
      <c r="J55" s="1">
        <f ca="1">'Total Trip Tables Sup #2'!J55</f>
        <v>0</v>
      </c>
      <c r="K55" s="1">
        <f ca="1">'Total Trip Tables Sup #2'!K55</f>
        <v>0</v>
      </c>
    </row>
    <row r="56" spans="1:11" x14ac:dyDescent="0.2">
      <c r="A56" t="str">
        <f ca="1">OFFSET(Gisborne_Reference,49,2)</f>
        <v>Local Bus</v>
      </c>
      <c r="B56" s="4">
        <f ca="1">'Total Trip Tables Sup #2'!B56</f>
        <v>0.39415976190000002</v>
      </c>
      <c r="C56" s="4">
        <f ca="1">'Total Trip Tables Sup #2'!C56</f>
        <v>0.37874828199728566</v>
      </c>
      <c r="D56" s="4">
        <f ca="1">'Total Trip Tables Sup #2'!D56</f>
        <v>0.36706271374934935</v>
      </c>
      <c r="E56" s="4">
        <f ca="1">'Total Trip Tables Sup #2'!E56</f>
        <v>0.35948197937051712</v>
      </c>
      <c r="F56" s="4">
        <f ca="1">'Total Trip Tables Sup #2'!F56</f>
        <v>0.34837078389846732</v>
      </c>
      <c r="G56" s="4">
        <f ca="1">'Total Trip Tables Sup #2'!G56</f>
        <v>0.33926345014214243</v>
      </c>
      <c r="H56" s="4">
        <f ca="1">'Total Trip Tables Sup #2'!H56</f>
        <v>0.32879780337572262</v>
      </c>
      <c r="I56" s="1">
        <f ca="1">'Total Trip Tables Sup #2'!I56</f>
        <v>0.32614049830473119</v>
      </c>
      <c r="J56" s="1">
        <f ca="1">'Total Trip Tables Sup #2'!J56</f>
        <v>0.32247684628219792</v>
      </c>
      <c r="K56" s="1">
        <f ca="1">'Total Trip Tables Sup #2'!K56</f>
        <v>0.31817095352467051</v>
      </c>
    </row>
    <row r="57" spans="1:11" x14ac:dyDescent="0.2">
      <c r="A57" t="str">
        <f ca="1">OFFSET(Gisborne_Reference,56,2)</f>
        <v>Local Ferry</v>
      </c>
      <c r="B57" s="4">
        <f ca="1">'Total Trip Tables Sup #2'!B57</f>
        <v>1.5651153399999999E-2</v>
      </c>
      <c r="C57" s="4">
        <f ca="1">'Total Trip Tables Sup #2'!C57</f>
        <v>1.6826427410116678E-2</v>
      </c>
      <c r="D57" s="4">
        <f ca="1">'Total Trip Tables Sup #2'!D57</f>
        <v>1.7684647049292623E-2</v>
      </c>
      <c r="E57" s="4">
        <f ca="1">'Total Trip Tables Sup #2'!E57</f>
        <v>1.8234674891820984E-2</v>
      </c>
      <c r="F57" s="4">
        <f ca="1">'Total Trip Tables Sup #2'!F57</f>
        <v>1.8588759283023427E-2</v>
      </c>
      <c r="G57" s="4">
        <f ca="1">'Total Trip Tables Sup #2'!G57</f>
        <v>1.9292912477587496E-2</v>
      </c>
      <c r="H57" s="4">
        <f ca="1">'Total Trip Tables Sup #2'!H57</f>
        <v>1.9869541349225944E-2</v>
      </c>
      <c r="I57" s="1">
        <f ca="1">'Total Trip Tables Sup #2'!I57</f>
        <v>1.937674327174476E-2</v>
      </c>
      <c r="J57" s="1">
        <f ca="1">'Total Trip Tables Sup #2'!J57</f>
        <v>1.8840162846573617E-2</v>
      </c>
      <c r="K57" s="1">
        <f ca="1">'Total Trip Tables Sup #2'!K57</f>
        <v>1.8283112189539333E-2</v>
      </c>
    </row>
    <row r="58" spans="1:11" x14ac:dyDescent="0.2">
      <c r="A58" t="str">
        <f ca="1">OFFSET(Gisborne_Reference,63,2)</f>
        <v>Other Household Travel</v>
      </c>
      <c r="B58" s="4">
        <f ca="1">'Total Trip Tables Sup #2'!B58</f>
        <v>3.13358953E-2</v>
      </c>
      <c r="C58" s="4">
        <f ca="1">'Total Trip Tables Sup #2'!C58</f>
        <v>3.2590405687196455E-2</v>
      </c>
      <c r="D58" s="4">
        <f ca="1">'Total Trip Tables Sup #2'!D58</f>
        <v>3.3874038751515942E-2</v>
      </c>
      <c r="E58" s="4">
        <f ca="1">'Total Trip Tables Sup #2'!E58</f>
        <v>3.5231830222690261E-2</v>
      </c>
      <c r="F58" s="4">
        <f ca="1">'Total Trip Tables Sup #2'!F58</f>
        <v>3.6588940763976209E-2</v>
      </c>
      <c r="G58" s="4">
        <f ca="1">'Total Trip Tables Sup #2'!G58</f>
        <v>3.7855987846307219E-2</v>
      </c>
      <c r="H58" s="4">
        <f ca="1">'Total Trip Tables Sup #2'!H58</f>
        <v>3.8814098974309708E-2</v>
      </c>
      <c r="I58" s="1">
        <f ca="1">'Total Trip Tables Sup #2'!I58</f>
        <v>3.8592585575606186E-2</v>
      </c>
      <c r="J58" s="1">
        <f ca="1">'Total Trip Tables Sup #2'!J58</f>
        <v>3.8251195449215035E-2</v>
      </c>
      <c r="K58" s="1">
        <f ca="1">'Total Trip Tables Sup #2'!K58</f>
        <v>3.7832293919033678E-2</v>
      </c>
    </row>
    <row r="59" spans="1:11" x14ac:dyDescent="0.2">
      <c r="A59" t="str">
        <f ca="1">OFFSET(Hawkes_Bay_Reference,0,0)</f>
        <v>06 HAWKE`S BAY</v>
      </c>
      <c r="B59" s="4">
        <f ca="1">SUM(B60:B69)</f>
        <v>205.37636075960003</v>
      </c>
      <c r="C59" s="4">
        <f t="shared" ref="C59" ca="1" si="26">SUM(C60:C69)</f>
        <v>213.66387363962036</v>
      </c>
      <c r="D59" s="4">
        <f t="shared" ref="D59" ca="1" si="27">SUM(D60:D69)</f>
        <v>217.65598262797414</v>
      </c>
      <c r="E59" s="4">
        <f t="shared" ref="E59" ca="1" si="28">SUM(E60:E69)</f>
        <v>219.45259436468518</v>
      </c>
      <c r="F59" s="4">
        <f t="shared" ref="F59" ca="1" si="29">SUM(F60:F69)</f>
        <v>219.88391332886673</v>
      </c>
      <c r="G59" s="4">
        <f t="shared" ref="G59" ca="1" si="30">SUM(G60:G69)</f>
        <v>218.56348710631886</v>
      </c>
      <c r="H59" s="4">
        <f t="shared" ref="H59:K59" ca="1" si="31">SUM(H60:H69)</f>
        <v>216.15870040632856</v>
      </c>
      <c r="I59" s="1">
        <f t="shared" ca="1" si="31"/>
        <v>214.80207879274394</v>
      </c>
      <c r="J59" s="1">
        <f t="shared" ca="1" si="31"/>
        <v>212.77561631098402</v>
      </c>
      <c r="K59" s="1">
        <f t="shared" ca="1" si="31"/>
        <v>210.31633145982693</v>
      </c>
    </row>
    <row r="60" spans="1:11" x14ac:dyDescent="0.2">
      <c r="A60" t="str">
        <f ca="1">OFFSET(Hawkes_Bay_Reference,0,2)</f>
        <v>Pedestrian</v>
      </c>
      <c r="B60" s="4">
        <f ca="1">'Total Trip Tables Sup #2'!B60</f>
        <v>26.538300281000001</v>
      </c>
      <c r="C60" s="4">
        <f ca="1">'Total Trip Tables Sup #2'!C60</f>
        <v>27.423912940206382</v>
      </c>
      <c r="D60" s="4">
        <f ca="1">'Total Trip Tables Sup #2'!D60</f>
        <v>27.80988514293098</v>
      </c>
      <c r="E60" s="4">
        <f ca="1">'Total Trip Tables Sup #2'!E60</f>
        <v>28.037150047095615</v>
      </c>
      <c r="F60" s="4">
        <f ca="1">'Total Trip Tables Sup #2'!F60</f>
        <v>27.962289564107735</v>
      </c>
      <c r="G60" s="4">
        <f ca="1">'Total Trip Tables Sup #2'!G60</f>
        <v>27.74136502091547</v>
      </c>
      <c r="H60" s="4">
        <f ca="1">'Total Trip Tables Sup #2'!H60</f>
        <v>27.387142002524886</v>
      </c>
      <c r="I60" s="1">
        <f ca="1">'Total Trip Tables Sup #2'!I60</f>
        <v>27.203593878971514</v>
      </c>
      <c r="J60" s="1">
        <f ca="1">'Total Trip Tables Sup #2'!J60</f>
        <v>26.935597689180454</v>
      </c>
      <c r="K60" s="1">
        <f ca="1">'Total Trip Tables Sup #2'!K60</f>
        <v>26.613235890662313</v>
      </c>
    </row>
    <row r="61" spans="1:11" x14ac:dyDescent="0.2">
      <c r="A61" t="str">
        <f ca="1">OFFSET(Hawkes_Bay_Reference,7,2)</f>
        <v>Cyclist</v>
      </c>
      <c r="B61" s="4">
        <f ca="1">'Total Trip Tables Sup #2'!B61</f>
        <v>3.1819840940000002</v>
      </c>
      <c r="C61" s="4">
        <f ca="1">'Total Trip Tables Sup #2'!C61</f>
        <v>3.2819340212736554</v>
      </c>
      <c r="D61" s="4">
        <f ca="1">'Total Trip Tables Sup #2'!D61</f>
        <v>3.3009343372071567</v>
      </c>
      <c r="E61" s="4">
        <f ca="1">'Total Trip Tables Sup #2'!E61</f>
        <v>3.2988587423782176</v>
      </c>
      <c r="F61" s="4">
        <f ca="1">'Total Trip Tables Sup #2'!F61</f>
        <v>3.2846083357880227</v>
      </c>
      <c r="G61" s="4">
        <f ca="1">'Total Trip Tables Sup #2'!G61</f>
        <v>3.262478551226359</v>
      </c>
      <c r="H61" s="4">
        <f ca="1">'Total Trip Tables Sup #2'!H61</f>
        <v>3.231725209091739</v>
      </c>
      <c r="I61" s="1">
        <f ca="1">'Total Trip Tables Sup #2'!I61</f>
        <v>3.228369152029098</v>
      </c>
      <c r="J61" s="1">
        <f ca="1">'Total Trip Tables Sup #2'!J61</f>
        <v>3.2150746765305889</v>
      </c>
      <c r="K61" s="1">
        <f ca="1">'Total Trip Tables Sup #2'!K61</f>
        <v>3.1952713691665577</v>
      </c>
    </row>
    <row r="62" spans="1:11" x14ac:dyDescent="0.2">
      <c r="A62" t="str">
        <f ca="1">OFFSET(Hawkes_Bay_Reference,14,2)</f>
        <v>Light Vehicle Driver</v>
      </c>
      <c r="B62" s="4">
        <f ca="1">'Total Trip Tables Sup #2'!B62</f>
        <v>111.16933473</v>
      </c>
      <c r="C62" s="4">
        <f ca="1">'Total Trip Tables Sup #2'!C62*(1-'Other Assumptions'!G11)</f>
        <v>117.98054516115759</v>
      </c>
      <c r="D62" s="4">
        <f ca="1">'Total Trip Tables Sup #2'!D62*(1-'Other Assumptions'!H11)</f>
        <v>121.63357900558486</v>
      </c>
      <c r="E62" s="4">
        <f ca="1">'Total Trip Tables Sup #2'!E62*(1-'Other Assumptions'!I11)</f>
        <v>117.35713694793485</v>
      </c>
      <c r="F62" s="4">
        <f ca="1">'Total Trip Tables Sup #2'!F62*(1-'Other Assumptions'!J11)</f>
        <v>112.1914752692692</v>
      </c>
      <c r="G62" s="4">
        <f ca="1">'Total Trip Tables Sup #2'!G62*(1-'Other Assumptions'!K11)</f>
        <v>105.81189817580547</v>
      </c>
      <c r="H62" s="4">
        <f ca="1">'Total Trip Tables Sup #2'!H62*(1-'Other Assumptions'!L11)</f>
        <v>98.972864810827872</v>
      </c>
      <c r="I62" s="1">
        <f ca="1">'Total Trip Tables Sup #2'!I62*(1-'Other Assumptions'!M11)</f>
        <v>92.198158508409904</v>
      </c>
      <c r="J62" s="1">
        <f ca="1">'Total Trip Tables Sup #2'!J62*(1-'Other Assumptions'!N11)</f>
        <v>85.233528854772473</v>
      </c>
      <c r="K62" s="1">
        <f ca="1">'Total Trip Tables Sup #2'!K62*(1-'Other Assumptions'!O11)</f>
        <v>78.224720914171215</v>
      </c>
    </row>
    <row r="63" spans="1:11" x14ac:dyDescent="0.2">
      <c r="A63" t="str">
        <f ca="1">OFFSET(Hawkes_Bay_Reference,21,2)</f>
        <v>Light Vehicle Passenger</v>
      </c>
      <c r="B63" s="4">
        <f ca="1">'Total Trip Tables Sup #2'!B63</f>
        <v>58.497679762000011</v>
      </c>
      <c r="C63" s="4">
        <f ca="1">'Total Trip Tables Sup #2'!C63*(1-'Other Assumptions'!G11)</f>
        <v>59.051064932849378</v>
      </c>
      <c r="D63" s="4">
        <f ca="1">'Total Trip Tables Sup #2'!D63*(1-'Other Assumptions'!H11)</f>
        <v>59.057238649143045</v>
      </c>
      <c r="E63" s="4">
        <f ca="1">'Total Trip Tables Sup #2'!E63*(1-'Other Assumptions'!I11)</f>
        <v>55.820949901906687</v>
      </c>
      <c r="F63" s="4">
        <f ca="1">'Total Trip Tables Sup #2'!F63*(1-'Other Assumptions'!J11)</f>
        <v>52.418552952508144</v>
      </c>
      <c r="G63" s="4">
        <f ca="1">'Total Trip Tables Sup #2'!G63*(1-'Other Assumptions'!K11)</f>
        <v>48.802610507049465</v>
      </c>
      <c r="H63" s="4">
        <f ca="1">'Total Trip Tables Sup #2'!H63*(1-'Other Assumptions'!L11)</f>
        <v>45.015943483600566</v>
      </c>
      <c r="I63" s="1">
        <f ca="1">'Total Trip Tables Sup #2'!I63*(1-'Other Assumptions'!M11)</f>
        <v>41.934934201112888</v>
      </c>
      <c r="J63" s="1">
        <f ca="1">'Total Trip Tables Sup #2'!J63*(1-'Other Assumptions'!N11)</f>
        <v>38.767336165832837</v>
      </c>
      <c r="K63" s="1">
        <f ca="1">'Total Trip Tables Sup #2'!K63*(1-'Other Assumptions'!O11)</f>
        <v>35.579475516053051</v>
      </c>
    </row>
    <row r="64" spans="1:11" x14ac:dyDescent="0.2">
      <c r="A64" t="str">
        <f ca="1">OFFSET(Hawkes_Bay_Reference,28,2)</f>
        <v>Taxi/Vehicle Share</v>
      </c>
      <c r="B64" s="4">
        <f ca="1">'Total Trip Tables Sup #2'!B64</f>
        <v>0.32519619989999998</v>
      </c>
      <c r="C64" s="4">
        <f ca="1">'Total Trip Tables Sup #2'!C64+((C62+C63)*'Other Assumptions'!G11/(1-'Other Assumptions'!G11))</f>
        <v>0.36068984397201681</v>
      </c>
      <c r="D64" s="4">
        <f ca="1">'Total Trip Tables Sup #2'!D64+((D62+D63)*'Other Assumptions'!H11/(1-'Other Assumptions'!H11))</f>
        <v>0.38606509935232908</v>
      </c>
      <c r="E64" s="4">
        <f ca="1">'Total Trip Tables Sup #2'!E64+((E62+E63)*'Other Assumptions'!I11/(1-'Other Assumptions'!I11))</f>
        <v>9.5235548453522991</v>
      </c>
      <c r="F64" s="4">
        <f ca="1">'Total Trip Tables Sup #2'!F64+((F62+F63)*'Other Assumptions'!J11/(1-'Other Assumptions'!J11))</f>
        <v>18.716669969074736</v>
      </c>
      <c r="G64" s="4">
        <f ca="1">'Total Trip Tables Sup #2'!G64+((G62+G63)*'Other Assumptions'!K11/(1-'Other Assumptions'!K11))</f>
        <v>27.723053813923972</v>
      </c>
      <c r="H64" s="4">
        <f ca="1">'Total Trip Tables Sup #2'!H64+((H62+H63)*'Other Assumptions'!L11/(1-'Other Assumptions'!L11))</f>
        <v>36.445067840865647</v>
      </c>
      <c r="I64" s="1">
        <f ca="1">'Total Trip Tables Sup #2'!I64+((I62+I63)*'Other Assumptions'!M11/(1-'Other Assumptions'!M11))</f>
        <v>45.155337565684611</v>
      </c>
      <c r="J64" s="1">
        <f ca="1">'Total Trip Tables Sup #2'!J64+((J62+J63)*'Other Assumptions'!N11/(1-'Other Assumptions'!N11))</f>
        <v>53.582585143469373</v>
      </c>
      <c r="K64" s="1">
        <f ca="1">'Total Trip Tables Sup #2'!K64+((K62+K63)*'Other Assumptions'!O11/(1-'Other Assumptions'!O11))</f>
        <v>61.712697462457122</v>
      </c>
    </row>
    <row r="65" spans="1:11" x14ac:dyDescent="0.2">
      <c r="A65" t="str">
        <f ca="1">OFFSET(Hawkes_Bay_Reference,35,2)</f>
        <v>Motorcyclist</v>
      </c>
      <c r="B65" s="4">
        <f ca="1">'Total Trip Tables Sup #2'!B65</f>
        <v>0.65061969099999994</v>
      </c>
      <c r="C65" s="4">
        <f ca="1">'Total Trip Tables Sup #2'!C65</f>
        <v>0.67811625962670852</v>
      </c>
      <c r="D65" s="4">
        <f ca="1">'Total Trip Tables Sup #2'!D65</f>
        <v>0.68806149191531352</v>
      </c>
      <c r="E65" s="4">
        <f ca="1">'Total Trip Tables Sup #2'!E65</f>
        <v>0.68793997375198879</v>
      </c>
      <c r="F65" s="4">
        <f ca="1">'Total Trip Tables Sup #2'!F65</f>
        <v>0.68306418014327985</v>
      </c>
      <c r="G65" s="4">
        <f ca="1">'Total Trip Tables Sup #2'!G65</f>
        <v>0.6661309426063512</v>
      </c>
      <c r="H65" s="4">
        <f ca="1">'Total Trip Tables Sup #2'!H65</f>
        <v>0.64561068304403546</v>
      </c>
      <c r="I65" s="1">
        <f ca="1">'Total Trip Tables Sup #2'!I65</f>
        <v>0.64489345121333175</v>
      </c>
      <c r="J65" s="1">
        <f ca="1">'Total Trip Tables Sup #2'!J65</f>
        <v>0.64213818453892535</v>
      </c>
      <c r="K65" s="1">
        <f ca="1">'Total Trip Tables Sup #2'!K65</f>
        <v>0.63803005706922578</v>
      </c>
    </row>
    <row r="66" spans="1:11" x14ac:dyDescent="0.2">
      <c r="A66" t="str">
        <f ca="1">OFFSET(Auckland_Reference,42,2)</f>
        <v>Local Train</v>
      </c>
      <c r="B66" s="4">
        <f ca="1">'Total Trip Tables Sup #2'!B66</f>
        <v>0</v>
      </c>
      <c r="C66" s="4">
        <f ca="1">'Total Trip Tables Sup #2'!C66</f>
        <v>0</v>
      </c>
      <c r="D66" s="4">
        <f ca="1">'Total Trip Tables Sup #2'!D66</f>
        <v>0</v>
      </c>
      <c r="E66" s="4">
        <f ca="1">'Total Trip Tables Sup #2'!E66</f>
        <v>0</v>
      </c>
      <c r="F66" s="4">
        <f ca="1">'Total Trip Tables Sup #2'!F66</f>
        <v>0</v>
      </c>
      <c r="G66" s="4">
        <f ca="1">'Total Trip Tables Sup #2'!G66</f>
        <v>0</v>
      </c>
      <c r="H66" s="4">
        <f ca="1">'Total Trip Tables Sup #2'!H66</f>
        <v>0</v>
      </c>
      <c r="I66" s="1">
        <f ca="1">'Total Trip Tables Sup #2'!I66</f>
        <v>0</v>
      </c>
      <c r="J66" s="1">
        <f ca="1">'Total Trip Tables Sup #2'!J66</f>
        <v>0</v>
      </c>
      <c r="K66" s="1">
        <f ca="1">'Total Trip Tables Sup #2'!K66</f>
        <v>0</v>
      </c>
    </row>
    <row r="67" spans="1:11" x14ac:dyDescent="0.2">
      <c r="A67" t="str">
        <f ca="1">OFFSET(Hawkes_Bay_Reference,42,2)</f>
        <v>Local Bus</v>
      </c>
      <c r="B67" s="4">
        <f ca="1">'Total Trip Tables Sup #2'!B67</f>
        <v>4.5218645043999999</v>
      </c>
      <c r="C67" s="4">
        <f ca="1">'Total Trip Tables Sup #2'!C67</f>
        <v>4.3732423270360963</v>
      </c>
      <c r="D67" s="4">
        <f ca="1">'Total Trip Tables Sup #2'!D67</f>
        <v>4.2447762688594617</v>
      </c>
      <c r="E67" s="4">
        <f ca="1">'Total Trip Tables Sup #2'!E67</f>
        <v>4.1685645190437244</v>
      </c>
      <c r="F67" s="4">
        <f ca="1">'Total Trip Tables Sup #2'!F67</f>
        <v>4.046350785892785</v>
      </c>
      <c r="G67" s="4">
        <f ca="1">'Total Trip Tables Sup #2'!G67</f>
        <v>3.9530308495596573</v>
      </c>
      <c r="H67" s="4">
        <f ca="1">'Total Trip Tables Sup #2'!H67</f>
        <v>3.8406281167955996</v>
      </c>
      <c r="I67" s="1">
        <f ca="1">'Total Trip Tables Sup #2'!I67</f>
        <v>3.8190759938226013</v>
      </c>
      <c r="J67" s="1">
        <f ca="1">'Total Trip Tables Sup #2'!J67</f>
        <v>3.7855791244465249</v>
      </c>
      <c r="K67" s="1">
        <f ca="1">'Total Trip Tables Sup #2'!K67</f>
        <v>3.7443336415254262</v>
      </c>
    </row>
    <row r="68" spans="1:11" x14ac:dyDescent="0.2">
      <c r="A68" t="str">
        <f ca="1">OFFSET(Waikato_Reference,56,2)</f>
        <v>Local Ferry</v>
      </c>
      <c r="B68" s="4">
        <f ca="1">'Total Trip Tables Sup #2'!B68</f>
        <v>0</v>
      </c>
      <c r="C68" s="4">
        <f ca="1">'Total Trip Tables Sup #2'!C68</f>
        <v>0</v>
      </c>
      <c r="D68" s="4">
        <f ca="1">'Total Trip Tables Sup #2'!D68</f>
        <v>0</v>
      </c>
      <c r="E68" s="4">
        <f ca="1">'Total Trip Tables Sup #2'!E68</f>
        <v>0</v>
      </c>
      <c r="F68" s="4">
        <f ca="1">'Total Trip Tables Sup #2'!F68</f>
        <v>0</v>
      </c>
      <c r="G68" s="4">
        <f ca="1">'Total Trip Tables Sup #2'!G68</f>
        <v>0</v>
      </c>
      <c r="H68" s="4">
        <f ca="1">'Total Trip Tables Sup #2'!H68</f>
        <v>0</v>
      </c>
      <c r="I68" s="1">
        <f ca="1">'Total Trip Tables Sup #2'!I68</f>
        <v>0</v>
      </c>
      <c r="J68" s="1">
        <f ca="1">'Total Trip Tables Sup #2'!J68</f>
        <v>0</v>
      </c>
      <c r="K68" s="1">
        <f ca="1">'Total Trip Tables Sup #2'!K68</f>
        <v>0</v>
      </c>
    </row>
    <row r="69" spans="1:11" x14ac:dyDescent="0.2">
      <c r="A69" t="str">
        <f ca="1">OFFSET(Hawkes_Bay_Reference,49,2)</f>
        <v>Other Household Travel</v>
      </c>
      <c r="B69" s="4">
        <f ca="1">'Total Trip Tables Sup #2'!B69</f>
        <v>0.49138149730000003</v>
      </c>
      <c r="C69" s="4">
        <f ca="1">'Total Trip Tables Sup #2'!C69</f>
        <v>0.51436815349850595</v>
      </c>
      <c r="D69" s="4">
        <f ca="1">'Total Trip Tables Sup #2'!D69</f>
        <v>0.53544263298101846</v>
      </c>
      <c r="E69" s="4">
        <f ca="1">'Total Trip Tables Sup #2'!E69</f>
        <v>0.55843938722181619</v>
      </c>
      <c r="F69" s="4">
        <f ca="1">'Total Trip Tables Sup #2'!F69</f>
        <v>0.58090227208283174</v>
      </c>
      <c r="G69" s="4">
        <f ca="1">'Total Trip Tables Sup #2'!G69</f>
        <v>0.60291924523213936</v>
      </c>
      <c r="H69" s="4">
        <f ca="1">'Total Trip Tables Sup #2'!H69</f>
        <v>0.61971825957826632</v>
      </c>
      <c r="I69" s="1">
        <f ca="1">'Total Trip Tables Sup #2'!I69</f>
        <v>0.61771604149999304</v>
      </c>
      <c r="J69" s="1">
        <f ca="1">'Total Trip Tables Sup #2'!J69</f>
        <v>0.61377647221283904</v>
      </c>
      <c r="K69" s="1">
        <f ca="1">'Total Trip Tables Sup #2'!K69</f>
        <v>0.60856660872202417</v>
      </c>
    </row>
    <row r="70" spans="1:11" x14ac:dyDescent="0.2">
      <c r="A70" t="str">
        <f ca="1">OFFSET(Taranaki_Reference,0,0)</f>
        <v>07 TARANAKI</v>
      </c>
      <c r="B70" s="4">
        <f ca="1">SUM(B71:B80)</f>
        <v>164.86299707219999</v>
      </c>
      <c r="C70" s="4">
        <f t="shared" ref="C70" ca="1" si="32">SUM(C71:C80)</f>
        <v>173.39807255865449</v>
      </c>
      <c r="D70" s="4">
        <f t="shared" ref="D70" ca="1" si="33">SUM(D71:D80)</f>
        <v>178.26448809310725</v>
      </c>
      <c r="E70" s="4">
        <f t="shared" ref="E70" ca="1" si="34">SUM(E71:E80)</f>
        <v>181.52934629783127</v>
      </c>
      <c r="F70" s="4">
        <f t="shared" ref="F70" ca="1" si="35">SUM(F71:F80)</f>
        <v>183.90597872387872</v>
      </c>
      <c r="G70" s="4">
        <f t="shared" ref="G70" ca="1" si="36">SUM(G71:G80)</f>
        <v>185.06194202984506</v>
      </c>
      <c r="H70" s="4">
        <f t="shared" ref="H70:K70" ca="1" si="37">SUM(H71:H80)</f>
        <v>185.55968130522012</v>
      </c>
      <c r="I70" s="1">
        <f t="shared" ca="1" si="37"/>
        <v>186.89724599593654</v>
      </c>
      <c r="J70" s="1">
        <f t="shared" ca="1" si="37"/>
        <v>187.64617690324349</v>
      </c>
      <c r="K70" s="1">
        <f t="shared" ca="1" si="37"/>
        <v>187.99409814139884</v>
      </c>
    </row>
    <row r="71" spans="1:11" x14ac:dyDescent="0.2">
      <c r="A71" t="str">
        <f ca="1">OFFSET(Taranaki_Reference,0,2)</f>
        <v>Pedestrian</v>
      </c>
      <c r="B71" s="4">
        <f ca="1">'Total Trip Tables Sup #2'!B71</f>
        <v>23.308571313000002</v>
      </c>
      <c r="C71" s="4">
        <f ca="1">'Total Trip Tables Sup #2'!C71</f>
        <v>24.313859804670702</v>
      </c>
      <c r="D71" s="4">
        <f ca="1">'Total Trip Tables Sup #2'!D71</f>
        <v>24.860000696402359</v>
      </c>
      <c r="E71" s="4">
        <f ca="1">'Total Trip Tables Sup #2'!E71</f>
        <v>25.299126059983472</v>
      </c>
      <c r="F71" s="4">
        <f ca="1">'Total Trip Tables Sup #2'!F71</f>
        <v>25.498881370268276</v>
      </c>
      <c r="G71" s="4">
        <f ca="1">'Total Trip Tables Sup #2'!G71</f>
        <v>25.604015645072177</v>
      </c>
      <c r="H71" s="4">
        <f ca="1">'Total Trip Tables Sup #2'!H71</f>
        <v>25.620517489873826</v>
      </c>
      <c r="I71" s="1">
        <f ca="1">'Total Trip Tables Sup #2'!I71</f>
        <v>25.794575988739616</v>
      </c>
      <c r="J71" s="1">
        <f ca="1">'Total Trip Tables Sup #2'!J71</f>
        <v>25.887472721523888</v>
      </c>
      <c r="K71" s="1">
        <f ca="1">'Total Trip Tables Sup #2'!K71</f>
        <v>25.925172078509462</v>
      </c>
    </row>
    <row r="72" spans="1:11" x14ac:dyDescent="0.2">
      <c r="A72" t="str">
        <f ca="1">OFFSET(Taranaki_Reference,7,2)</f>
        <v>Cyclist</v>
      </c>
      <c r="B72" s="4">
        <f ca="1">'Total Trip Tables Sup #2'!B72</f>
        <v>2.1611397319000001</v>
      </c>
      <c r="C72" s="4">
        <f ca="1">'Total Trip Tables Sup #2'!C72</f>
        <v>2.2500730881179463</v>
      </c>
      <c r="D72" s="4">
        <f ca="1">'Total Trip Tables Sup #2'!D72</f>
        <v>2.2818186182114686</v>
      </c>
      <c r="E72" s="4">
        <f ca="1">'Total Trip Tables Sup #2'!E72</f>
        <v>2.3018534233935801</v>
      </c>
      <c r="F72" s="4">
        <f ca="1">'Total Trip Tables Sup #2'!F72</f>
        <v>2.3161905383385295</v>
      </c>
      <c r="G72" s="4">
        <f ca="1">'Total Trip Tables Sup #2'!G72</f>
        <v>2.3284676843676428</v>
      </c>
      <c r="H72" s="4">
        <f ca="1">'Total Trip Tables Sup #2'!H72</f>
        <v>2.3378567820057028</v>
      </c>
      <c r="I72" s="1">
        <f ca="1">'Total Trip Tables Sup #2'!I72</f>
        <v>2.3671598840271373</v>
      </c>
      <c r="J72" s="1">
        <f ca="1">'Total Trip Tables Sup #2'!J72</f>
        <v>2.3894414597533147</v>
      </c>
      <c r="K72" s="1">
        <f ca="1">'Total Trip Tables Sup #2'!K72</f>
        <v>2.4069884428603041</v>
      </c>
    </row>
    <row r="73" spans="1:11" x14ac:dyDescent="0.2">
      <c r="A73" t="str">
        <f ca="1">OFFSET(Taranaki_Reference,14,2)</f>
        <v>Light Vehicle Driver</v>
      </c>
      <c r="B73" s="4">
        <f ca="1">'Total Trip Tables Sup #2'!B73</f>
        <v>90.801950900999998</v>
      </c>
      <c r="C73" s="4">
        <f ca="1">'Total Trip Tables Sup #2'!C73*(1-'Other Assumptions'!G12)</f>
        <v>97.275284003799115</v>
      </c>
      <c r="D73" s="4">
        <f ca="1">'Total Trip Tables Sup #2'!D73*(1-'Other Assumptions'!H12)</f>
        <v>101.11673761011636</v>
      </c>
      <c r="E73" s="4">
        <f ca="1">'Total Trip Tables Sup #2'!E73*(1-'Other Assumptions'!I12)</f>
        <v>98.48016809844431</v>
      </c>
      <c r="F73" s="4">
        <f ca="1">'Total Trip Tables Sup #2'!F73*(1-'Other Assumptions'!J12)</f>
        <v>95.142789572566045</v>
      </c>
      <c r="G73" s="4">
        <f ca="1">'Total Trip Tables Sup #2'!G73*(1-'Other Assumptions'!K12)</f>
        <v>90.820185488846406</v>
      </c>
      <c r="H73" s="4">
        <f ca="1">'Total Trip Tables Sup #2'!H73*(1-'Other Assumptions'!L12)</f>
        <v>86.104321193653334</v>
      </c>
      <c r="I73" s="1">
        <f ca="1">'Total Trip Tables Sup #2'!I73*(1-'Other Assumptions'!M12)</f>
        <v>81.300268470746943</v>
      </c>
      <c r="J73" s="1">
        <f ca="1">'Total Trip Tables Sup #2'!J73*(1-'Other Assumptions'!N12)</f>
        <v>76.180028219058158</v>
      </c>
      <c r="K73" s="1">
        <f ca="1">'Total Trip Tables Sup #2'!K73*(1-'Other Assumptions'!O12)</f>
        <v>70.865622890885916</v>
      </c>
    </row>
    <row r="74" spans="1:11" x14ac:dyDescent="0.2">
      <c r="A74" t="str">
        <f ca="1">OFFSET(Taranaki_Reference,21,2)</f>
        <v>Light Vehicle Passenger</v>
      </c>
      <c r="B74" s="4">
        <f ca="1">'Total Trip Tables Sup #2'!B74</f>
        <v>45.484067730000007</v>
      </c>
      <c r="C74" s="4">
        <f ca="1">'Total Trip Tables Sup #2'!C74*(1-'Other Assumptions'!G12)</f>
        <v>46.347928363204687</v>
      </c>
      <c r="D74" s="4">
        <f ca="1">'Total Trip Tables Sup #2'!D74*(1-'Other Assumptions'!H12)</f>
        <v>46.736176981643339</v>
      </c>
      <c r="E74" s="4">
        <f ca="1">'Total Trip Tables Sup #2'!E74*(1-'Other Assumptions'!I12)</f>
        <v>44.590976388260984</v>
      </c>
      <c r="F74" s="4">
        <f ca="1">'Total Trip Tables Sup #2'!F74*(1-'Other Assumptions'!J12)</f>
        <v>42.316674779900346</v>
      </c>
      <c r="G74" s="4">
        <f ca="1">'Total Trip Tables Sup #2'!G74*(1-'Other Assumptions'!K12)</f>
        <v>39.875066177773526</v>
      </c>
      <c r="H74" s="4">
        <f ca="1">'Total Trip Tables Sup #2'!H74*(1-'Other Assumptions'!L12)</f>
        <v>37.280836380253355</v>
      </c>
      <c r="I74" s="1">
        <f ca="1">'Total Trip Tables Sup #2'!I74*(1-'Other Assumptions'!M12)</f>
        <v>35.201095773944772</v>
      </c>
      <c r="J74" s="1">
        <f ca="1">'Total Trip Tables Sup #2'!J74*(1-'Other Assumptions'!N12)</f>
        <v>32.984287247688187</v>
      </c>
      <c r="K74" s="1">
        <f ca="1">'Total Trip Tables Sup #2'!K74*(1-'Other Assumptions'!O12)</f>
        <v>30.683267923329407</v>
      </c>
    </row>
    <row r="75" spans="1:11" x14ac:dyDescent="0.2">
      <c r="A75" t="str">
        <f ca="1">OFFSET(Taranaki_Reference,28,2)</f>
        <v>Taxi/Vehicle Share</v>
      </c>
      <c r="B75" s="4">
        <f ca="1">'Total Trip Tables Sup #2'!B75</f>
        <v>0.56194422089999996</v>
      </c>
      <c r="C75" s="4">
        <f ca="1">'Total Trip Tables Sup #2'!C75+((C73+C74)*'Other Assumptions'!G12/(1-'Other Assumptions'!G12))</f>
        <v>0.62916361228526252</v>
      </c>
      <c r="D75" s="4">
        <f ca="1">'Total Trip Tables Sup #2'!D75+((D73+D74)*'Other Assumptions'!H12/(1-'Other Assumptions'!H12))</f>
        <v>0.67899672671634503</v>
      </c>
      <c r="E75" s="4">
        <f ca="1">'Total Trip Tables Sup #2'!E75+((E73+E74)*'Other Assumptions'!I12/(1-'Other Assumptions'!I12))</f>
        <v>8.256022115580766</v>
      </c>
      <c r="F75" s="4">
        <f ca="1">'Total Trip Tables Sup #2'!F75+((F73+F74)*'Other Assumptions'!J12/(1-'Other Assumptions'!J12))</f>
        <v>16.03876903291787</v>
      </c>
      <c r="G75" s="4">
        <f ca="1">'Total Trip Tables Sup #2'!G75+((G73+G74)*'Other Assumptions'!K12/(1-'Other Assumptions'!K12))</f>
        <v>23.859475443978155</v>
      </c>
      <c r="H75" s="4">
        <f ca="1">'Total Trip Tables Sup #2'!H75+((H73+H74)*'Other Assumptions'!L12/(1-'Other Assumptions'!L12))</f>
        <v>31.670606378906765</v>
      </c>
      <c r="I75" s="1">
        <f ca="1">'Total Trip Tables Sup #2'!I75+((I73+I74)*'Other Assumptions'!M12/(1-'Other Assumptions'!M12))</f>
        <v>39.662665165758469</v>
      </c>
      <c r="J75" s="1">
        <f ca="1">'Total Trip Tables Sup #2'!J75+((J73+J74)*'Other Assumptions'!N12/(1-'Other Assumptions'!N12))</f>
        <v>47.615486677639062</v>
      </c>
      <c r="K75" s="1">
        <f ca="1">'Total Trip Tables Sup #2'!K75+((K73+K74)*'Other Assumptions'!O12/(1-'Other Assumptions'!O12))</f>
        <v>55.511041939543915</v>
      </c>
    </row>
    <row r="76" spans="1:11" x14ac:dyDescent="0.2">
      <c r="A76" t="str">
        <f ca="1">OFFSET(Taranaki_Reference,35,2)</f>
        <v>Motorcyclist</v>
      </c>
      <c r="B76" s="4">
        <f ca="1">'Total Trip Tables Sup #2'!B76</f>
        <v>1.091812341</v>
      </c>
      <c r="C76" s="4">
        <f ca="1">'Total Trip Tables Sup #2'!C76</f>
        <v>1.1487007106046316</v>
      </c>
      <c r="D76" s="4">
        <f ca="1">'Total Trip Tables Sup #2'!D76</f>
        <v>1.1751882465067192</v>
      </c>
      <c r="E76" s="4">
        <f ca="1">'Total Trip Tables Sup #2'!E76</f>
        <v>1.1860430251792429</v>
      </c>
      <c r="F76" s="4">
        <f ca="1">'Total Trip Tables Sup #2'!F76</f>
        <v>1.1901128830078291</v>
      </c>
      <c r="G76" s="4">
        <f ca="1">'Total Trip Tables Sup #2'!G76</f>
        <v>1.1746760384406774</v>
      </c>
      <c r="H76" s="4">
        <f ca="1">'Total Trip Tables Sup #2'!H76</f>
        <v>1.1539583583978772</v>
      </c>
      <c r="I76" s="1">
        <f ca="1">'Total Trip Tables Sup #2'!I76</f>
        <v>1.1683375167684444</v>
      </c>
      <c r="J76" s="1">
        <f ca="1">'Total Trip Tables Sup #2'!J76</f>
        <v>1.1791519636122287</v>
      </c>
      <c r="K76" s="1">
        <f ca="1">'Total Trip Tables Sup #2'!K76</f>
        <v>1.1875266042798738</v>
      </c>
    </row>
    <row r="77" spans="1:11" x14ac:dyDescent="0.2">
      <c r="A77" t="str">
        <f ca="1">OFFSET(Taranaki_Reference,42,2)</f>
        <v>Local Train</v>
      </c>
      <c r="B77" s="4">
        <f ca="1">'Total Trip Tables Sup #2'!B77</f>
        <v>0</v>
      </c>
      <c r="C77" s="4">
        <f ca="1">'Total Trip Tables Sup #2'!C77</f>
        <v>0</v>
      </c>
      <c r="D77" s="4">
        <f ca="1">'Total Trip Tables Sup #2'!D77</f>
        <v>0</v>
      </c>
      <c r="E77" s="4">
        <f ca="1">'Total Trip Tables Sup #2'!E77</f>
        <v>0</v>
      </c>
      <c r="F77" s="4">
        <f ca="1">'Total Trip Tables Sup #2'!F77</f>
        <v>0</v>
      </c>
      <c r="G77" s="4">
        <f ca="1">'Total Trip Tables Sup #2'!G77</f>
        <v>0</v>
      </c>
      <c r="H77" s="4">
        <f ca="1">'Total Trip Tables Sup #2'!H77</f>
        <v>0</v>
      </c>
      <c r="I77" s="1">
        <f ca="1">'Total Trip Tables Sup #2'!I77</f>
        <v>0</v>
      </c>
      <c r="J77" s="1">
        <f ca="1">'Total Trip Tables Sup #2'!J77</f>
        <v>0</v>
      </c>
      <c r="K77" s="1">
        <f ca="1">'Total Trip Tables Sup #2'!K77</f>
        <v>0</v>
      </c>
    </row>
    <row r="78" spans="1:11" x14ac:dyDescent="0.2">
      <c r="A78" t="str">
        <f ca="1">OFFSET(Taranaki_Reference,49,2)</f>
        <v>Local Bus</v>
      </c>
      <c r="B78" s="4">
        <f ca="1">'Total Trip Tables Sup #2'!B78</f>
        <v>1.2787514622</v>
      </c>
      <c r="C78" s="4">
        <f ca="1">'Total Trip Tables Sup #2'!C78</f>
        <v>1.2484009123762567</v>
      </c>
      <c r="D78" s="4">
        <f ca="1">'Total Trip Tables Sup #2'!D78</f>
        <v>1.221751255018682</v>
      </c>
      <c r="E78" s="4">
        <f ca="1">'Total Trip Tables Sup #2'!E78</f>
        <v>1.2111117811282683</v>
      </c>
      <c r="F78" s="4">
        <f ca="1">'Total Trip Tables Sup #2'!F78</f>
        <v>1.1880589148956591</v>
      </c>
      <c r="G78" s="4">
        <f ca="1">'Total Trip Tables Sup #2'!G78</f>
        <v>1.1747258040034181</v>
      </c>
      <c r="H78" s="4">
        <f ca="1">'Total Trip Tables Sup #2'!H78</f>
        <v>1.1568298565517745</v>
      </c>
      <c r="I78" s="1">
        <f ca="1">'Total Trip Tables Sup #2'!I78</f>
        <v>1.16596753677242</v>
      </c>
      <c r="J78" s="1">
        <f ca="1">'Total Trip Tables Sup #2'!J78</f>
        <v>1.1714436793034464</v>
      </c>
      <c r="K78" s="1">
        <f ca="1">'Total Trip Tables Sup #2'!K78</f>
        <v>1.1744230112896623</v>
      </c>
    </row>
    <row r="79" spans="1:11" x14ac:dyDescent="0.2">
      <c r="A79" t="str">
        <f ca="1">OFFSET(Waikato_Reference,56,2)</f>
        <v>Local Ferry</v>
      </c>
      <c r="B79" s="4">
        <f ca="1">'Total Trip Tables Sup #2'!B79</f>
        <v>0</v>
      </c>
      <c r="C79" s="4">
        <f ca="1">'Total Trip Tables Sup #2'!C79</f>
        <v>0</v>
      </c>
      <c r="D79" s="4">
        <f ca="1">'Total Trip Tables Sup #2'!D79</f>
        <v>0</v>
      </c>
      <c r="E79" s="4">
        <f ca="1">'Total Trip Tables Sup #2'!E79</f>
        <v>0</v>
      </c>
      <c r="F79" s="4">
        <f ca="1">'Total Trip Tables Sup #2'!F79</f>
        <v>0</v>
      </c>
      <c r="G79" s="4">
        <f ca="1">'Total Trip Tables Sup #2'!G79</f>
        <v>0</v>
      </c>
      <c r="H79" s="4">
        <f ca="1">'Total Trip Tables Sup #2'!H79</f>
        <v>0</v>
      </c>
      <c r="I79" s="1">
        <f ca="1">'Total Trip Tables Sup #2'!I79</f>
        <v>0</v>
      </c>
      <c r="J79" s="1">
        <f ca="1">'Total Trip Tables Sup #2'!J79</f>
        <v>0</v>
      </c>
      <c r="K79" s="1">
        <f ca="1">'Total Trip Tables Sup #2'!K79</f>
        <v>0</v>
      </c>
    </row>
    <row r="80" spans="1:11" x14ac:dyDescent="0.2">
      <c r="A80" t="str">
        <f ca="1">OFFSET(Taranaki_Reference,56,2)</f>
        <v>Other Household Travel</v>
      </c>
      <c r="B80" s="4">
        <f ca="1">'Total Trip Tables Sup #2'!B80</f>
        <v>0.17475937220000001</v>
      </c>
      <c r="C80" s="4">
        <f ca="1">'Total Trip Tables Sup #2'!C80</f>
        <v>0.18466206359588325</v>
      </c>
      <c r="D80" s="4">
        <f ca="1">'Total Trip Tables Sup #2'!D80</f>
        <v>0.19381795849196792</v>
      </c>
      <c r="E80" s="4">
        <f ca="1">'Total Trip Tables Sup #2'!E80</f>
        <v>0.20404540586064057</v>
      </c>
      <c r="F80" s="4">
        <f ca="1">'Total Trip Tables Sup #2'!F80</f>
        <v>0.21450163198417854</v>
      </c>
      <c r="G80" s="4">
        <f ca="1">'Total Trip Tables Sup #2'!G80</f>
        <v>0.22532974736302663</v>
      </c>
      <c r="H80" s="4">
        <f ca="1">'Total Trip Tables Sup #2'!H80</f>
        <v>0.23475486557744782</v>
      </c>
      <c r="I80" s="1">
        <f ca="1">'Total Trip Tables Sup #2'!I80</f>
        <v>0.23717565917875594</v>
      </c>
      <c r="J80" s="1">
        <f ca="1">'Total Trip Tables Sup #2'!J80</f>
        <v>0.23886493466515965</v>
      </c>
      <c r="K80" s="1">
        <f ca="1">'Total Trip Tables Sup #2'!K80</f>
        <v>0.24005525070028061</v>
      </c>
    </row>
    <row r="81" spans="1:11" x14ac:dyDescent="0.2">
      <c r="A81" t="str">
        <f ca="1">OFFSET(Manawatu_Reference,0,0)</f>
        <v>08 MANAWATU-WANGANUI</v>
      </c>
      <c r="B81" s="4">
        <f ca="1">SUM(B82:B91)</f>
        <v>314.31283259870003</v>
      </c>
      <c r="C81" s="4">
        <f t="shared" ref="C81" ca="1" si="38">SUM(C82:C91)</f>
        <v>328.02424178576001</v>
      </c>
      <c r="D81" s="4">
        <f t="shared" ref="D81" ca="1" si="39">SUM(D82:D91)</f>
        <v>333.47278679752503</v>
      </c>
      <c r="E81" s="4">
        <f t="shared" ref="E81" ca="1" si="40">SUM(E82:E91)</f>
        <v>335.40742114468156</v>
      </c>
      <c r="F81" s="4">
        <f t="shared" ref="F81" ca="1" si="41">SUM(F82:F91)</f>
        <v>335.5912743991376</v>
      </c>
      <c r="G81" s="4">
        <f t="shared" ref="G81" ca="1" si="42">SUM(G82:G91)</f>
        <v>333.17489339768241</v>
      </c>
      <c r="H81" s="4">
        <f t="shared" ref="H81:K81" ca="1" si="43">SUM(H82:H91)</f>
        <v>329.20083009960945</v>
      </c>
      <c r="I81" s="1">
        <f t="shared" ca="1" si="43"/>
        <v>326.6924074919595</v>
      </c>
      <c r="J81" s="1">
        <f t="shared" ca="1" si="43"/>
        <v>323.17277139485338</v>
      </c>
      <c r="K81" s="1">
        <f t="shared" ca="1" si="43"/>
        <v>319.00554555755701</v>
      </c>
    </row>
    <row r="82" spans="1:11" x14ac:dyDescent="0.2">
      <c r="A82" t="str">
        <f ca="1">OFFSET(Manawatu_Reference,0,2)</f>
        <v>Pedestrian</v>
      </c>
      <c r="B82" s="4">
        <f ca="1">'Total Trip Tables Sup #2'!B82</f>
        <v>39.544031846000003</v>
      </c>
      <c r="C82" s="4">
        <f ca="1">'Total Trip Tables Sup #2'!C82</f>
        <v>40.927293108338063</v>
      </c>
      <c r="D82" s="4">
        <f ca="1">'Total Trip Tables Sup #2'!D82</f>
        <v>41.378743119573976</v>
      </c>
      <c r="E82" s="4">
        <f ca="1">'Total Trip Tables Sup #2'!E82</f>
        <v>41.590370656867591</v>
      </c>
      <c r="F82" s="4">
        <f ca="1">'Total Trip Tables Sup #2'!F82</f>
        <v>41.397199813466003</v>
      </c>
      <c r="G82" s="4">
        <f ca="1">'Total Trip Tables Sup #2'!G82</f>
        <v>41.005724152438816</v>
      </c>
      <c r="H82" s="4">
        <f ca="1">'Total Trip Tables Sup #2'!H82</f>
        <v>40.428403186238768</v>
      </c>
      <c r="I82" s="1">
        <f ca="1">'Total Trip Tables Sup #2'!I82</f>
        <v>40.104155247183321</v>
      </c>
      <c r="J82" s="1">
        <f ca="1">'Total Trip Tables Sup #2'!J82</f>
        <v>39.656366763014788</v>
      </c>
      <c r="K82" s="1">
        <f ca="1">'Total Trip Tables Sup #2'!K82</f>
        <v>39.129761847073873</v>
      </c>
    </row>
    <row r="83" spans="1:11" x14ac:dyDescent="0.2">
      <c r="A83" t="str">
        <f ca="1">OFFSET(Manawatu_Reference,7,2)</f>
        <v>Cyclist</v>
      </c>
      <c r="B83" s="4">
        <f ca="1">'Total Trip Tables Sup #2'!B83</f>
        <v>4.6745036201000003</v>
      </c>
      <c r="C83" s="4">
        <f ca="1">'Total Trip Tables Sup #2'!C83</f>
        <v>4.8288431492398463</v>
      </c>
      <c r="D83" s="4">
        <f ca="1">'Total Trip Tables Sup #2'!D83</f>
        <v>4.8422213436288244</v>
      </c>
      <c r="E83" s="4">
        <f ca="1">'Total Trip Tables Sup #2'!E83</f>
        <v>4.8244998481265</v>
      </c>
      <c r="F83" s="4">
        <f ca="1">'Total Trip Tables Sup #2'!F83</f>
        <v>4.7941484775834677</v>
      </c>
      <c r="G83" s="4">
        <f ca="1">'Total Trip Tables Sup #2'!G83</f>
        <v>4.754380947135604</v>
      </c>
      <c r="H83" s="4">
        <f ca="1">'Total Trip Tables Sup #2'!H83</f>
        <v>4.703313776996179</v>
      </c>
      <c r="I83" s="1">
        <f ca="1">'Total Trip Tables Sup #2'!I83</f>
        <v>4.6921936958879114</v>
      </c>
      <c r="J83" s="1">
        <f ca="1">'Total Trip Tables Sup #2'!J83</f>
        <v>4.6666692689309643</v>
      </c>
      <c r="K83" s="1">
        <f ca="1">'Total Trip Tables Sup #2'!K83</f>
        <v>4.6317693224238869</v>
      </c>
    </row>
    <row r="84" spans="1:11" x14ac:dyDescent="0.2">
      <c r="A84" t="str">
        <f ca="1">OFFSET(Manawatu_Reference,14,2)</f>
        <v>Light Vehicle Driver</v>
      </c>
      <c r="B84" s="4">
        <f ca="1">'Total Trip Tables Sup #2'!B84</f>
        <v>178.69640117</v>
      </c>
      <c r="C84" s="4">
        <f ca="1">'Total Trip Tables Sup #2'!C84*(1-'Other Assumptions'!G13)</f>
        <v>189.94022797872088</v>
      </c>
      <c r="D84" s="4">
        <f ca="1">'Total Trip Tables Sup #2'!D84*(1-'Other Assumptions'!H13)</f>
        <v>195.2335905717274</v>
      </c>
      <c r="E84" s="4">
        <f ca="1">'Total Trip Tables Sup #2'!E84*(1-'Other Assumptions'!I13)</f>
        <v>187.7981834006919</v>
      </c>
      <c r="F84" s="4">
        <f ca="1">'Total Trip Tables Sup #2'!F84*(1-'Other Assumptions'!J13)</f>
        <v>179.17650118279684</v>
      </c>
      <c r="G84" s="4">
        <f ca="1">'Total Trip Tables Sup #2'!G84*(1-'Other Assumptions'!K13)</f>
        <v>168.7229345783301</v>
      </c>
      <c r="H84" s="4">
        <f ca="1">'Total Trip Tables Sup #2'!H84*(1-'Other Assumptions'!L13)</f>
        <v>157.60825909478763</v>
      </c>
      <c r="I84" s="1">
        <f ca="1">'Total Trip Tables Sup #2'!I84*(1-'Other Assumptions'!M13)</f>
        <v>146.62509047943161</v>
      </c>
      <c r="J84" s="1">
        <f ca="1">'Total Trip Tables Sup #2'!J84*(1-'Other Assumptions'!N13)</f>
        <v>135.36915916852405</v>
      </c>
      <c r="K84" s="1">
        <f ca="1">'Total Trip Tables Sup #2'!K84*(1-'Other Assumptions'!O13)</f>
        <v>124.07277614145808</v>
      </c>
    </row>
    <row r="85" spans="1:11" x14ac:dyDescent="0.2">
      <c r="A85" t="str">
        <f ca="1">OFFSET(Manawatu_Reference,21,2)</f>
        <v>Light Vehicle Passenger</v>
      </c>
      <c r="B85" s="4">
        <f ca="1">'Total Trip Tables Sup #2'!B85</f>
        <v>84.046137803000008</v>
      </c>
      <c r="C85" s="4">
        <f ca="1">'Total Trip Tables Sup #2'!C85*(1-'Other Assumptions'!G13)</f>
        <v>84.973324764537011</v>
      </c>
      <c r="D85" s="4">
        <f ca="1">'Total Trip Tables Sup #2'!D85*(1-'Other Assumptions'!H13)</f>
        <v>84.727133444589924</v>
      </c>
      <c r="E85" s="4">
        <f ca="1">'Total Trip Tables Sup #2'!E85*(1-'Other Assumptions'!I13)</f>
        <v>79.841267797719524</v>
      </c>
      <c r="F85" s="4">
        <f ca="1">'Total Trip Tables Sup #2'!F85*(1-'Other Assumptions'!J13)</f>
        <v>74.826346648716424</v>
      </c>
      <c r="G85" s="4">
        <f ca="1">'Total Trip Tables Sup #2'!G85*(1-'Other Assumptions'!K13)</f>
        <v>69.55542193551652</v>
      </c>
      <c r="H85" s="4">
        <f ca="1">'Total Trip Tables Sup #2'!H85*(1-'Other Assumptions'!L13)</f>
        <v>64.073361395286526</v>
      </c>
      <c r="I85" s="1">
        <f ca="1">'Total Trip Tables Sup #2'!I85*(1-'Other Assumptions'!M13)</f>
        <v>59.608793680223165</v>
      </c>
      <c r="J85" s="1">
        <f ca="1">'Total Trip Tables Sup #2'!J85*(1-'Other Assumptions'!N13)</f>
        <v>55.033044957500479</v>
      </c>
      <c r="K85" s="1">
        <f ca="1">'Total Trip Tables Sup #2'!K85*(1-'Other Assumptions'!O13)</f>
        <v>50.440611152705983</v>
      </c>
    </row>
    <row r="86" spans="1:11" x14ac:dyDescent="0.2">
      <c r="A86" t="str">
        <f ca="1">OFFSET(Manawatu_Reference,28,2)</f>
        <v>Taxi/Vehicle Share</v>
      </c>
      <c r="B86" s="4">
        <f ca="1">'Total Trip Tables Sup #2'!B86</f>
        <v>0.99874441920000001</v>
      </c>
      <c r="C86" s="4">
        <f ca="1">'Total Trip Tables Sup #2'!C86+((C84+C85)*'Other Assumptions'!G13/(1-'Other Assumptions'!G13))</f>
        <v>1.1094776920379619</v>
      </c>
      <c r="D86" s="4">
        <f ca="1">'Total Trip Tables Sup #2'!D86+((D84+D85)*'Other Assumptions'!H13/(1-'Other Assumptions'!H13))</f>
        <v>1.1839672859378993</v>
      </c>
      <c r="E86" s="4">
        <f ca="1">'Total Trip Tables Sup #2'!E86+((E84+E85)*'Other Assumptions'!I13/(1-'Other Assumptions'!I13))</f>
        <v>15.336537159970636</v>
      </c>
      <c r="F86" s="4">
        <f ca="1">'Total Trip Tables Sup #2'!F86+((F84+F85)*'Other Assumptions'!J13/(1-'Other Assumptions'!J13))</f>
        <v>29.524470288319666</v>
      </c>
      <c r="G86" s="4">
        <f ca="1">'Total Trip Tables Sup #2'!G86+((G84+G85)*'Other Assumptions'!K13/(1-'Other Assumptions'!K13))</f>
        <v>43.383967649015474</v>
      </c>
      <c r="H86" s="4">
        <f ca="1">'Total Trip Tables Sup #2'!H86+((H84+H85)*'Other Assumptions'!L13/(1-'Other Assumptions'!L13))</f>
        <v>56.78306918708207</v>
      </c>
      <c r="I86" s="1">
        <f ca="1">'Total Trip Tables Sup #2'!I86+((I84+I85)*'Other Assumptions'!M13/(1-'Other Assumptions'!M13))</f>
        <v>70.094669109309805</v>
      </c>
      <c r="J86" s="1">
        <f ca="1">'Total Trip Tables Sup #2'!J86+((J84+J85)*'Other Assumptions'!N13/(1-'Other Assumptions'!N13))</f>
        <v>82.934174971945424</v>
      </c>
      <c r="K86" s="1">
        <f ca="1">'Total Trip Tables Sup #2'!K86+((K84+K85)*'Other Assumptions'!O13/(1-'Other Assumptions'!O13))</f>
        <v>95.282502299366428</v>
      </c>
    </row>
    <row r="87" spans="1:11" x14ac:dyDescent="0.2">
      <c r="A87" t="str">
        <f ca="1">OFFSET(Manawatu_Reference,35,2)</f>
        <v>Motorcyclist</v>
      </c>
      <c r="B87" s="4">
        <f ca="1">'Total Trip Tables Sup #2'!B87</f>
        <v>0.79000583589999995</v>
      </c>
      <c r="C87" s="4">
        <f ca="1">'Total Trip Tables Sup #2'!C87</f>
        <v>0.8246753456441539</v>
      </c>
      <c r="D87" s="4">
        <f ca="1">'Total Trip Tables Sup #2'!D87</f>
        <v>0.83425843320688153</v>
      </c>
      <c r="E87" s="4">
        <f ca="1">'Total Trip Tables Sup #2'!E87</f>
        <v>0.83158131699249382</v>
      </c>
      <c r="F87" s="4">
        <f ca="1">'Total Trip Tables Sup #2'!F87</f>
        <v>0.82405272804578267</v>
      </c>
      <c r="G87" s="4">
        <f ca="1">'Total Trip Tables Sup #2'!G87</f>
        <v>0.80236415693205287</v>
      </c>
      <c r="H87" s="4">
        <f ca="1">'Total Trip Tables Sup #2'!H87</f>
        <v>0.7766151095455639</v>
      </c>
      <c r="I87" s="1">
        <f ca="1">'Total Trip Tables Sup #2'!I87</f>
        <v>0.77472275109893829</v>
      </c>
      <c r="J87" s="1">
        <f ca="1">'Total Trip Tables Sup #2'!J87</f>
        <v>0.77038896726782746</v>
      </c>
      <c r="K87" s="1">
        <f ca="1">'Total Trip Tables Sup #2'!K87</f>
        <v>0.76444441627131254</v>
      </c>
    </row>
    <row r="88" spans="1:11" x14ac:dyDescent="0.2">
      <c r="A88" t="str">
        <f ca="1">OFFSET(Taranaki_Reference,42,2)</f>
        <v>Local Train</v>
      </c>
      <c r="B88" s="4">
        <f ca="1">'Total Trip Tables Sup #2'!B88</f>
        <v>0</v>
      </c>
      <c r="C88" s="4">
        <f ca="1">'Total Trip Tables Sup #2'!C88</f>
        <v>0</v>
      </c>
      <c r="D88" s="4">
        <f ca="1">'Total Trip Tables Sup #2'!D88</f>
        <v>0</v>
      </c>
      <c r="E88" s="4">
        <f ca="1">'Total Trip Tables Sup #2'!E88</f>
        <v>0</v>
      </c>
      <c r="F88" s="4">
        <f ca="1">'Total Trip Tables Sup #2'!F88</f>
        <v>0</v>
      </c>
      <c r="G88" s="4">
        <f ca="1">'Total Trip Tables Sup #2'!G88</f>
        <v>0</v>
      </c>
      <c r="H88" s="4">
        <f ca="1">'Total Trip Tables Sup #2'!H88</f>
        <v>0</v>
      </c>
      <c r="I88" s="1">
        <f ca="1">'Total Trip Tables Sup #2'!I88</f>
        <v>0</v>
      </c>
      <c r="J88" s="1">
        <f ca="1">'Total Trip Tables Sup #2'!J88</f>
        <v>0</v>
      </c>
      <c r="K88" s="1">
        <f ca="1">'Total Trip Tables Sup #2'!K88</f>
        <v>0</v>
      </c>
    </row>
    <row r="89" spans="1:11" x14ac:dyDescent="0.2">
      <c r="A89" t="str">
        <f ca="1">OFFSET(Manawatu_Reference,42,2)</f>
        <v>Local Bus</v>
      </c>
      <c r="B89" s="4">
        <f ca="1">'Total Trip Tables Sup #2'!B89</f>
        <v>5.2110099151</v>
      </c>
      <c r="C89" s="4">
        <f ca="1">'Total Trip Tables Sup #2'!C89</f>
        <v>5.0475851552032802</v>
      </c>
      <c r="D89" s="4">
        <f ca="1">'Total Trip Tables Sup #2'!D89</f>
        <v>4.8846046171021245</v>
      </c>
      <c r="E89" s="4">
        <f ca="1">'Total Trip Tables Sup #2'!E89</f>
        <v>4.7823566831725746</v>
      </c>
      <c r="F89" s="4">
        <f ca="1">'Total Trip Tables Sup #2'!F89</f>
        <v>4.6329570928973265</v>
      </c>
      <c r="G89" s="4">
        <f ca="1">'Total Trip Tables Sup #2'!G89</f>
        <v>4.5190107451138726</v>
      </c>
      <c r="H89" s="4">
        <f ca="1">'Total Trip Tables Sup #2'!H89</f>
        <v>4.3846874661139283</v>
      </c>
      <c r="I89" s="1">
        <f ca="1">'Total Trip Tables Sup #2'!I89</f>
        <v>4.3542955309877511</v>
      </c>
      <c r="J89" s="1">
        <f ca="1">'Total Trip Tables Sup #2'!J89</f>
        <v>4.3103758927372358</v>
      </c>
      <c r="K89" s="1">
        <f ca="1">'Total Trip Tables Sup #2'!K89</f>
        <v>4.2577540678557009</v>
      </c>
    </row>
    <row r="90" spans="1:11" x14ac:dyDescent="0.2">
      <c r="A90" t="str">
        <f ca="1">OFFSET(Manawatu_Reference,49,2)</f>
        <v>Local Ferry</v>
      </c>
      <c r="B90" s="4">
        <f ca="1">'Total Trip Tables Sup #2'!B90</f>
        <v>0.1068619116</v>
      </c>
      <c r="C90" s="4">
        <f ca="1">'Total Trip Tables Sup #2'!C90</f>
        <v>0.11581155083774959</v>
      </c>
      <c r="D90" s="4">
        <f ca="1">'Total Trip Tables Sup #2'!D90</f>
        <v>0.12153812141158445</v>
      </c>
      <c r="E90" s="4">
        <f ca="1">'Total Trip Tables Sup #2'!E90</f>
        <v>0.12528233596712401</v>
      </c>
      <c r="F90" s="4">
        <f ca="1">'Total Trip Tables Sup #2'!F90</f>
        <v>0.12767149208833212</v>
      </c>
      <c r="G90" s="4">
        <f ca="1">'Total Trip Tables Sup #2'!G90</f>
        <v>0.13271837999868169</v>
      </c>
      <c r="H90" s="4">
        <f ca="1">'Total Trip Tables Sup #2'!H90</f>
        <v>0.13684362053631477</v>
      </c>
      <c r="I90" s="1">
        <f ca="1">'Total Trip Tables Sup #2'!I90</f>
        <v>0.13360445342992511</v>
      </c>
      <c r="J90" s="1">
        <f ca="1">'Total Trip Tables Sup #2'!J90</f>
        <v>0.13005535464046938</v>
      </c>
      <c r="K90" s="1">
        <f ca="1">'Total Trip Tables Sup #2'!K90</f>
        <v>0.12635637131344946</v>
      </c>
    </row>
    <row r="91" spans="1:11" x14ac:dyDescent="0.2">
      <c r="A91" t="str">
        <f ca="1">OFFSET(Manawatu_Reference,56,2)</f>
        <v>Other Household Travel</v>
      </c>
      <c r="B91" s="4">
        <f ca="1">'Total Trip Tables Sup #2'!B91</f>
        <v>0.24513607779999999</v>
      </c>
      <c r="C91" s="4">
        <f ca="1">'Total Trip Tables Sup #2'!C91</f>
        <v>0.25700304120108286</v>
      </c>
      <c r="D91" s="4">
        <f ca="1">'Total Trip Tables Sup #2'!D91</f>
        <v>0.26672986034643886</v>
      </c>
      <c r="E91" s="4">
        <f ca="1">'Total Trip Tables Sup #2'!E91</f>
        <v>0.27734194517316663</v>
      </c>
      <c r="F91" s="4">
        <f ca="1">'Total Trip Tables Sup #2'!F91</f>
        <v>0.28792667522380966</v>
      </c>
      <c r="G91" s="4">
        <f ca="1">'Total Trip Tables Sup #2'!G91</f>
        <v>0.29837085320134671</v>
      </c>
      <c r="H91" s="4">
        <f ca="1">'Total Trip Tables Sup #2'!H91</f>
        <v>0.30627726302246816</v>
      </c>
      <c r="I91" s="1">
        <f ca="1">'Total Trip Tables Sup #2'!I91</f>
        <v>0.30488254440706486</v>
      </c>
      <c r="J91" s="1">
        <f ca="1">'Total Trip Tables Sup #2'!J91</f>
        <v>0.30253605029216102</v>
      </c>
      <c r="K91" s="1">
        <f ca="1">'Total Trip Tables Sup #2'!K91</f>
        <v>0.29956993908818008</v>
      </c>
    </row>
    <row r="92" spans="1:11" x14ac:dyDescent="0.2">
      <c r="A92" t="str">
        <f ca="1">OFFSET(Wellington_Reference,0,0)</f>
        <v>09 WELLINGTON</v>
      </c>
      <c r="B92" s="4">
        <f ca="1">SUM(B93:B102)</f>
        <v>793.10387762659991</v>
      </c>
      <c r="C92" s="4">
        <f t="shared" ref="C92" ca="1" si="44">SUM(C93:C102)</f>
        <v>841.92226551612725</v>
      </c>
      <c r="D92" s="4">
        <f t="shared" ref="D92" ca="1" si="45">SUM(D93:D102)</f>
        <v>870.31537385766262</v>
      </c>
      <c r="E92" s="4">
        <f t="shared" ref="E92" ca="1" si="46">SUM(E93:E102)</f>
        <v>888.30678162081836</v>
      </c>
      <c r="F92" s="4">
        <f t="shared" ref="F92" ca="1" si="47">SUM(F93:F102)</f>
        <v>901.89659036167529</v>
      </c>
      <c r="G92" s="4">
        <f t="shared" ref="G92" ca="1" si="48">SUM(G93:G102)</f>
        <v>909.27695598846105</v>
      </c>
      <c r="H92" s="4">
        <f t="shared" ref="H92:K92" ca="1" si="49">SUM(H93:H102)</f>
        <v>912.30311741385469</v>
      </c>
      <c r="I92" s="1">
        <f t="shared" ca="1" si="49"/>
        <v>919.44384788039383</v>
      </c>
      <c r="J92" s="1">
        <f t="shared" ca="1" si="49"/>
        <v>923.77091209599917</v>
      </c>
      <c r="K92" s="1">
        <f t="shared" ca="1" si="49"/>
        <v>926.19821279734174</v>
      </c>
    </row>
    <row r="93" spans="1:11" x14ac:dyDescent="0.2">
      <c r="A93" t="str">
        <f ca="1">OFFSET(Wellington_Reference,0,2)</f>
        <v>Pedestrian</v>
      </c>
      <c r="B93" s="4">
        <f ca="1">'Total Trip Tables Sup #2'!B93</f>
        <v>182.29561206</v>
      </c>
      <c r="C93" s="4">
        <f ca="1">'Total Trip Tables Sup #2'!C93+'Total Trip Tables Sup #2'!C95*'Other Assumptions'!G77*'Other Assumptions'!G84+'Total Trip Tables Sup #2'!C96*'Other Assumptions'!G77*'Other Assumptions'!G84</f>
        <v>191.97689370546487</v>
      </c>
      <c r="D93" s="4">
        <f ca="1">'Total Trip Tables Sup #2'!D93+'Total Trip Tables Sup #2'!D95*'Other Assumptions'!H77*'Other Assumptions'!H84+'Total Trip Tables Sup #2'!D96*'Other Assumptions'!H77*'Other Assumptions'!H84</f>
        <v>197.1177137702993</v>
      </c>
      <c r="E93" s="4">
        <f ca="1">'Total Trip Tables Sup #2'!E93+'Total Trip Tables Sup #2'!E95*'Other Assumptions'!I77*'Other Assumptions'!I84+'Total Trip Tables Sup #2'!E96*'Other Assumptions'!I77*'Other Assumptions'!I84</f>
        <v>200.75243246145371</v>
      </c>
      <c r="F93" s="4">
        <f ca="1">'Total Trip Tables Sup #2'!F93+'Total Trip Tables Sup #2'!F95*'Other Assumptions'!J77*'Other Assumptions'!J84+'Total Trip Tables Sup #2'!F96*'Other Assumptions'!J77*'Other Assumptions'!J84</f>
        <v>202.72565326842587</v>
      </c>
      <c r="G93" s="4">
        <f ca="1">'Total Trip Tables Sup #2'!G93+'Total Trip Tables Sup #2'!G95*'Other Assumptions'!K77*'Other Assumptions'!K84+'Total Trip Tables Sup #2'!G96*'Other Assumptions'!K77*'Other Assumptions'!K84</f>
        <v>203.79097044043618</v>
      </c>
      <c r="H93" s="4">
        <f ca="1">'Total Trip Tables Sup #2'!H93+'Total Trip Tables Sup #2'!H95*'Other Assumptions'!L77*'Other Assumptions'!L84+'Total Trip Tables Sup #2'!H96*'Other Assumptions'!L77*'Other Assumptions'!L84</f>
        <v>203.86928093475234</v>
      </c>
      <c r="I93" s="1">
        <f ca="1">'Total Trip Tables Sup #2'!I93+'Total Trip Tables Sup #2'!I95*'Other Assumptions'!M77*'Other Assumptions'!M84+'Total Trip Tables Sup #2'!I96*'Other Assumptions'!M77*'Other Assumptions'!M84</f>
        <v>205.22552198352915</v>
      </c>
      <c r="J93" s="1">
        <f ca="1">'Total Trip Tables Sup #2'!J93+'Total Trip Tables Sup #2'!J95*'Other Assumptions'!N77*'Other Assumptions'!N84+'Total Trip Tables Sup #2'!J96*'Other Assumptions'!N77*'Other Assumptions'!N84</f>
        <v>205.92957750955301</v>
      </c>
      <c r="K93" s="1">
        <f ca="1">'Total Trip Tables Sup #2'!K93+'Total Trip Tables Sup #2'!K95*'Other Assumptions'!O77*'Other Assumptions'!O84+'Total Trip Tables Sup #2'!K96*'Other Assumptions'!O77*'Other Assumptions'!O84</f>
        <v>206.18946034725735</v>
      </c>
    </row>
    <row r="94" spans="1:11" x14ac:dyDescent="0.2">
      <c r="A94" t="str">
        <f ca="1">OFFSET(Wellington_Reference,7,2)</f>
        <v>Cyclist</v>
      </c>
      <c r="B94" s="4">
        <f ca="1">'Total Trip Tables Sup #2'!B94</f>
        <v>8.1327913301999999</v>
      </c>
      <c r="C94" s="4">
        <f ca="1">'Total Trip Tables Sup #2'!C94+'Total Trip Tables Sup #2'!C95*'Other Assumptions'!G77*'Other Assumptions'!G83+'Total Trip Tables Sup #2'!C96*'Other Assumptions'!G77*'Other Assumptions'!G83</f>
        <v>8.5493773237157953</v>
      </c>
      <c r="D94" s="4">
        <f ca="1">'Total Trip Tables Sup #2'!D94+'Total Trip Tables Sup #2'!D95*'Other Assumptions'!H77*'Other Assumptions'!H83+'Total Trip Tables Sup #2'!D96*'Other Assumptions'!H77*'Other Assumptions'!H83</f>
        <v>8.712412100335623</v>
      </c>
      <c r="E94" s="4">
        <f ca="1">'Total Trip Tables Sup #2'!E94+'Total Trip Tables Sup #2'!E95*'Other Assumptions'!I77*'Other Assumptions'!I83+'Total Trip Tables Sup #2'!E96*'Other Assumptions'!I77*'Other Assumptions'!I83</f>
        <v>8.7995284963163307</v>
      </c>
      <c r="F94" s="4">
        <f ca="1">'Total Trip Tables Sup #2'!F94+'Total Trip Tables Sup #2'!F95*'Other Assumptions'!J77*'Other Assumptions'!J83+'Total Trip Tables Sup #2'!F96*'Other Assumptions'!J77*'Other Assumptions'!J83</f>
        <v>8.8732794768664274</v>
      </c>
      <c r="G94" s="4">
        <f ca="1">'Total Trip Tables Sup #2'!G94+'Total Trip Tables Sup #2'!G95*'Other Assumptions'!K77*'Other Assumptions'!K83+'Total Trip Tables Sup #2'!G96*'Other Assumptions'!K77*'Other Assumptions'!K83</f>
        <v>8.9327177993553057</v>
      </c>
      <c r="H94" s="4">
        <f ca="1">'Total Trip Tables Sup #2'!H94+'Total Trip Tables Sup #2'!H95*'Other Assumptions'!L77*'Other Assumptions'!L83+'Total Trip Tables Sup #2'!H96*'Other Assumptions'!L77*'Other Assumptions'!L83</f>
        <v>8.9690851974138877</v>
      </c>
      <c r="I94" s="1">
        <f ca="1">'Total Trip Tables Sup #2'!I94+'Total Trip Tables Sup #2'!I95*'Other Assumptions'!M77*'Other Assumptions'!M83+'Total Trip Tables Sup #2'!I96*'Other Assumptions'!M77*'Other Assumptions'!M83</f>
        <v>9.0818575735570128</v>
      </c>
      <c r="J94" s="1">
        <f ca="1">'Total Trip Tables Sup #2'!J94+'Total Trip Tables Sup #2'!J95*'Other Assumptions'!N77*'Other Assumptions'!N83+'Total Trip Tables Sup #2'!J96*'Other Assumptions'!N77*'Other Assumptions'!N83</f>
        <v>9.1676988176558378</v>
      </c>
      <c r="K94" s="1">
        <f ca="1">'Total Trip Tables Sup #2'!K94+'Total Trip Tables Sup #2'!K95*'Other Assumptions'!O77*'Other Assumptions'!O83+'Total Trip Tables Sup #2'!K96*'Other Assumptions'!O77*'Other Assumptions'!O83</f>
        <v>9.2353805369753985</v>
      </c>
    </row>
    <row r="95" spans="1:11" x14ac:dyDescent="0.2">
      <c r="A95" t="str">
        <f ca="1">OFFSET(Wellington_Reference,14,2)</f>
        <v>Light Vehicle Driver</v>
      </c>
      <c r="B95" s="4">
        <f ca="1">'Total Trip Tables Sup #2'!B95</f>
        <v>377.93589692</v>
      </c>
      <c r="C95" s="4">
        <f ca="1">'Total Trip Tables Sup #2'!C95*(1-'Other Assumptions'!G14)*(1-'Other Assumptions'!G77)</f>
        <v>408.55902563305511</v>
      </c>
      <c r="D95" s="4">
        <f ca="1">'Total Trip Tables Sup #2'!D95*(1-'Other Assumptions'!H14)*(1-'Other Assumptions'!H77)</f>
        <v>425.47770803348442</v>
      </c>
      <c r="E95" s="4">
        <f ca="1">'Total Trip Tables Sup #2'!E95*(1-'Other Assumptions'!I14)*(1-'Other Assumptions'!I77)</f>
        <v>413.99610917479453</v>
      </c>
      <c r="F95" s="4">
        <f ca="1">'Total Trip Tables Sup #2'!F95*(1-'Other Assumptions'!J14)*(1-'Other Assumptions'!J77)</f>
        <v>400.35448350490412</v>
      </c>
      <c r="G95" s="4">
        <f ca="1">'Total Trip Tables Sup #2'!G95*(1-'Other Assumptions'!K14)*(1-'Other Assumptions'!K77)</f>
        <v>382.20007925745244</v>
      </c>
      <c r="H95" s="4">
        <f ca="1">'Total Trip Tables Sup #2'!H95*(1-'Other Assumptions'!L14)*(1-'Other Assumptions'!L77)</f>
        <v>361.84410955866502</v>
      </c>
      <c r="I95" s="1">
        <f ca="1">'Total Trip Tables Sup #2'!I95*(1-'Other Assumptions'!M14)*(1-'Other Assumptions'!M77)</f>
        <v>341.25757373637219</v>
      </c>
      <c r="J95" s="1">
        <f ca="1">'Total Trip Tables Sup #2'!J95*(1-'Other Assumptions'!N14)*(1-'Other Assumptions'!N77)</f>
        <v>319.33814047964978</v>
      </c>
      <c r="K95" s="1">
        <f ca="1">'Total Trip Tables Sup #2'!K95*(1-'Other Assumptions'!O14)*(1-'Other Assumptions'!O77)</f>
        <v>296.61983250812375</v>
      </c>
    </row>
    <row r="96" spans="1:11" x14ac:dyDescent="0.2">
      <c r="A96" t="str">
        <f ca="1">OFFSET(Wellington_Reference,21,2)</f>
        <v>Light Vehicle Passenger</v>
      </c>
      <c r="B96" s="4">
        <f ca="1">'Total Trip Tables Sup #2'!B96</f>
        <v>183.55442563000003</v>
      </c>
      <c r="C96" s="4">
        <f ca="1">'Total Trip Tables Sup #2'!C96*(1-'Other Assumptions'!G14)*(1-'Other Assumptions'!G77+'Other Assumptions'!G77*'Other Assumptions'!G80)+'Total Trip Tables Sup #2'!C95*(1-'Other Assumptions'!G14)*'Other Assumptions'!G77*'Other Assumptions'!G80</f>
        <v>188.61309901873273</v>
      </c>
      <c r="D96" s="4">
        <f ca="1">'Total Trip Tables Sup #2'!D96*(1-'Other Assumptions'!H14)*(1-'Other Assumptions'!H77+'Other Assumptions'!H77*'Other Assumptions'!H80)+'Total Trip Tables Sup #2'!D95*(1-'Other Assumptions'!H14)*'Other Assumptions'!H77*'Other Assumptions'!H80</f>
        <v>189.8229397809223</v>
      </c>
      <c r="E96" s="4">
        <f ca="1">'Total Trip Tables Sup #2'!E96*(1-'Other Assumptions'!I14)*(1-'Other Assumptions'!I77+'Other Assumptions'!I77*'Other Assumptions'!I80)+'Total Trip Tables Sup #2'!E95*(1-'Other Assumptions'!I14)*'Other Assumptions'!I77*'Other Assumptions'!I80</f>
        <v>180.4101021535692</v>
      </c>
      <c r="F96" s="4">
        <f ca="1">'Total Trip Tables Sup #2'!F96*(1-'Other Assumptions'!J14)*(1-'Other Assumptions'!J77+'Other Assumptions'!J77*'Other Assumptions'!J80)+'Total Trip Tables Sup #2'!F95*(1-'Other Assumptions'!J14)*'Other Assumptions'!J77*'Other Assumptions'!J80</f>
        <v>171.06634829090339</v>
      </c>
      <c r="G96" s="4">
        <f ca="1">'Total Trip Tables Sup #2'!G96*(1-'Other Assumptions'!K14)*(1-'Other Assumptions'!K77+'Other Assumptions'!K77*'Other Assumptions'!K80)+'Total Trip Tables Sup #2'!G95*(1-'Other Assumptions'!K14)*'Other Assumptions'!K77*'Other Assumptions'!K80</f>
        <v>160.88944661299234</v>
      </c>
      <c r="H96" s="4">
        <f ca="1">'Total Trip Tables Sup #2'!H96*(1-'Other Assumptions'!L14)*(1-'Other Assumptions'!L77+'Other Assumptions'!L77*'Other Assumptions'!L80)+'Total Trip Tables Sup #2'!H95*(1-'Other Assumptions'!L14)*'Other Assumptions'!L77*'Other Assumptions'!L80</f>
        <v>149.86235799687947</v>
      </c>
      <c r="I96" s="1">
        <f ca="1">'Total Trip Tables Sup #2'!I96*(1-'Other Assumptions'!M14)*(1-'Other Assumptions'!M77+'Other Assumptions'!M77*'Other Assumptions'!M80)+'Total Trip Tables Sup #2'!I95*(1-'Other Assumptions'!M14)*'Other Assumptions'!M77*'Other Assumptions'!M80</f>
        <v>141.09640806354986</v>
      </c>
      <c r="J96" s="1">
        <f ca="1">'Total Trip Tables Sup #2'!J96*(1-'Other Assumptions'!N14)*(1-'Other Assumptions'!N77+'Other Assumptions'!N77*'Other Assumptions'!N80)+'Total Trip Tables Sup #2'!J95*(1-'Other Assumptions'!N14)*'Other Assumptions'!N77*'Other Assumptions'!N80</f>
        <v>131.77627789773996</v>
      </c>
      <c r="K96" s="1">
        <f ca="1">'Total Trip Tables Sup #2'!K96*(1-'Other Assumptions'!O14)*(1-'Other Assumptions'!O77+'Other Assumptions'!O77*'Other Assumptions'!O80)+'Total Trip Tables Sup #2'!K95*(1-'Other Assumptions'!O14)*'Other Assumptions'!O77*'Other Assumptions'!O80</f>
        <v>122.13573826336075</v>
      </c>
    </row>
    <row r="97" spans="1:16" x14ac:dyDescent="0.2">
      <c r="A97" t="str">
        <f ca="1">OFFSET(Wellington_Reference,28,2)</f>
        <v>Taxi/Vehicle Share</v>
      </c>
      <c r="B97" s="4">
        <f ca="1">'Total Trip Tables Sup #2'!B97</f>
        <v>2.3579512121000001</v>
      </c>
      <c r="C97" s="4">
        <f ca="1">'Total Trip Tables Sup #2'!C97+((C95+C96)*'Other Assumptions'!G14/(1-'Other Assumptions'!G14))</f>
        <v>2.6655466093958666</v>
      </c>
      <c r="D97" s="4">
        <f ca="1">'Total Trip Tables Sup #2'!D97+((D95+D96)*'Other Assumptions'!H14/(1-'Other Assumptions'!H14))</f>
        <v>2.8907450783646964</v>
      </c>
      <c r="E97" s="4">
        <f ca="1">'Total Trip Tables Sup #2'!E97+((E95+E96)*'Other Assumptions'!I14/(1-'Other Assumptions'!I14))</f>
        <v>34.378965402714165</v>
      </c>
      <c r="F97" s="4">
        <f ca="1">'Total Trip Tables Sup #2'!F97+((F95+F96)*'Other Assumptions'!J14/(1-'Other Assumptions'!J14))</f>
        <v>66.761123944680548</v>
      </c>
      <c r="G97" s="4">
        <f ca="1">'Total Trip Tables Sup #2'!G97+((G95+G96)*'Other Assumptions'!K14/(1-'Other Assumptions'!K14))</f>
        <v>99.242603484561585</v>
      </c>
      <c r="H97" s="4">
        <f ca="1">'Total Trip Tables Sup #2'!H97+((H95+H96)*'Other Assumptions'!L14/(1-'Other Assumptions'!L14))</f>
        <v>131.45283620161476</v>
      </c>
      <c r="I97" s="1">
        <f ca="1">'Total Trip Tables Sup #2'!I97+((I95+I96)*'Other Assumptions'!M14/(1-'Other Assumptions'!M14))</f>
        <v>164.33052441337753</v>
      </c>
      <c r="J97" s="1">
        <f ca="1">'Total Trip Tables Sup #2'!J97+((J95+J96)*'Other Assumptions'!N14/(1-'Other Assumptions'!N14))</f>
        <v>196.88889313815361</v>
      </c>
      <c r="K97" s="1">
        <f ca="1">'Total Trip Tables Sup #2'!K97+((K95+K96)*'Other Assumptions'!O14/(1-'Other Assumptions'!O14))</f>
        <v>229.03843383388528</v>
      </c>
      <c r="L97" s="4"/>
      <c r="M97" s="4"/>
      <c r="N97" s="4"/>
      <c r="O97" s="4"/>
      <c r="P97" s="4"/>
    </row>
    <row r="98" spans="1:16" x14ac:dyDescent="0.2">
      <c r="A98" t="str">
        <f ca="1">OFFSET(Wellington_Reference,35,2)</f>
        <v>Motorcyclist</v>
      </c>
      <c r="B98" s="4">
        <f ca="1">'Total Trip Tables Sup #2'!B98</f>
        <v>2.4968267649999998</v>
      </c>
      <c r="C98" s="4">
        <f ca="1">'Total Trip Tables Sup #2'!C98</f>
        <v>2.6523350226552869</v>
      </c>
      <c r="D98" s="4">
        <f ca="1">'Total Trip Tables Sup #2'!D98</f>
        <v>2.7267690757577632</v>
      </c>
      <c r="E98" s="4">
        <f ca="1">'Total Trip Tables Sup #2'!E98</f>
        <v>2.7552804533456285</v>
      </c>
      <c r="F98" s="4">
        <f ca="1">'Total Trip Tables Sup #2'!F98</f>
        <v>2.7706499809381016</v>
      </c>
      <c r="G98" s="4">
        <f ca="1">'Total Trip Tables Sup #2'!G98</f>
        <v>2.7385150980720989</v>
      </c>
      <c r="H98" s="4">
        <f ca="1">'Total Trip Tables Sup #2'!H98</f>
        <v>2.6903204609874858</v>
      </c>
      <c r="I98" s="1">
        <f ca="1">'Total Trip Tables Sup #2'!I98</f>
        <v>2.7239494746674437</v>
      </c>
      <c r="J98" s="1">
        <f ca="1">'Total Trip Tables Sup #2'!J98</f>
        <v>2.7492697360060929</v>
      </c>
      <c r="K98" s="1">
        <f ca="1">'Total Trip Tables Sup #2'!K98</f>
        <v>2.7689031698292808</v>
      </c>
    </row>
    <row r="99" spans="1:16" x14ac:dyDescent="0.2">
      <c r="A99" t="str">
        <f ca="1">OFFSET(Wellington_Reference,42,2)</f>
        <v>Local Train</v>
      </c>
      <c r="B99" s="4">
        <f ca="1">'Total Trip Tables Sup #2'!B99</f>
        <v>12.37</v>
      </c>
      <c r="C99" s="4">
        <f ca="1">'Total Trip Tables Sup #2'!C99+'Total Trip Tables Sup #2'!C95*'Other Assumptions'!G77*'Other Assumptions'!G82+'Total Trip Tables Sup #2'!C96*'Other Assumptions'!G77*'Other Assumptions'!G82</f>
        <v>13.600000000000001</v>
      </c>
      <c r="D99" s="4">
        <f ca="1">'Total Trip Tables Sup #2'!D99+'Total Trip Tables Sup #2'!D95*'Other Assumptions'!H77*'Other Assumptions'!H82+'Total Trip Tables Sup #2'!D96*'Other Assumptions'!H77*'Other Assumptions'!H82</f>
        <v>15.225</v>
      </c>
      <c r="E99" s="4">
        <f ca="1">'Total Trip Tables Sup #2'!E99+'Total Trip Tables Sup #2'!E95*'Other Assumptions'!I77*'Other Assumptions'!I82+'Total Trip Tables Sup #2'!E96*'Other Assumptions'!I77*'Other Assumptions'!I82</f>
        <v>16.66</v>
      </c>
      <c r="F99" s="4">
        <f ca="1">'Total Trip Tables Sup #2'!F99+'Total Trip Tables Sup #2'!F95*'Other Assumptions'!J77*'Other Assumptions'!J82+'Total Trip Tables Sup #2'!F96*'Other Assumptions'!J77*'Other Assumptions'!J82</f>
        <v>17.809999999999999</v>
      </c>
      <c r="G99" s="4">
        <f ca="1">'Total Trip Tables Sup #2'!G99+'Total Trip Tables Sup #2'!G95*'Other Assumptions'!K77*'Other Assumptions'!K82+'Total Trip Tables Sup #2'!G96*'Other Assumptions'!K77*'Other Assumptions'!K82</f>
        <v>18.96</v>
      </c>
      <c r="H99" s="4">
        <f ca="1">'Total Trip Tables Sup #2'!H99+'Total Trip Tables Sup #2'!H95*'Other Assumptions'!L77*'Other Assumptions'!L82+'Total Trip Tables Sup #2'!H96*'Other Assumptions'!L77*'Other Assumptions'!L82</f>
        <v>20.11</v>
      </c>
      <c r="I99" s="1">
        <f ca="1">'Total Trip Tables Sup #2'!I99+'Total Trip Tables Sup #2'!I95*'Other Assumptions'!M77*'Other Assumptions'!M82+'Total Trip Tables Sup #2'!I96*'Other Assumptions'!M77*'Other Assumptions'!M82</f>
        <v>21.2677438742083</v>
      </c>
      <c r="J99" s="1">
        <f ca="1">'Total Trip Tables Sup #2'!J99+'Total Trip Tables Sup #2'!J95*'Other Assumptions'!N77*'Other Assumptions'!N82+'Total Trip Tables Sup #2'!J96*'Other Assumptions'!N77*'Other Assumptions'!N82</f>
        <v>22.483640772950388</v>
      </c>
      <c r="K99" s="1">
        <f ca="1">'Total Trip Tables Sup #2'!K99+'Total Trip Tables Sup #2'!K95*'Other Assumptions'!O77*'Other Assumptions'!O82+'Total Trip Tables Sup #2'!K96*'Other Assumptions'!O77*'Other Assumptions'!O82</f>
        <v>23.769051639752035</v>
      </c>
    </row>
    <row r="100" spans="1:16" x14ac:dyDescent="0.2">
      <c r="A100" t="str">
        <f ca="1">OFFSET(Wellington_Reference,49,2)</f>
        <v>Local Bus</v>
      </c>
      <c r="B100" s="4">
        <f ca="1">'Total Trip Tables Sup #2'!B100</f>
        <v>23.4</v>
      </c>
      <c r="C100" s="4">
        <f ca="1">'Total Trip Tables Sup #2'!C100+'Total Trip Tables Sup #2'!C95*'Other Assumptions'!G77*'Other Assumptions'!G81+'Total Trip Tables Sup #2'!C96*'Other Assumptions'!G77*'Other Assumptions'!G81</f>
        <v>24.7</v>
      </c>
      <c r="D100" s="4">
        <f ca="1">'Total Trip Tables Sup #2'!D100+'Total Trip Tables Sup #2'!D95*'Other Assumptions'!H77*'Other Assumptions'!H81+'Total Trip Tables Sup #2'!D96*'Other Assumptions'!H77*'Other Assumptions'!H81</f>
        <v>27.7</v>
      </c>
      <c r="E100" s="4">
        <f ca="1">'Total Trip Tables Sup #2'!E100+'Total Trip Tables Sup #2'!E95*'Other Assumptions'!I77*'Other Assumptions'!I81+'Total Trip Tables Sup #2'!E96*'Other Assumptions'!I77*'Other Assumptions'!I81</f>
        <v>29.879999999999995</v>
      </c>
      <c r="F100" s="4">
        <f ca="1">'Total Trip Tables Sup #2'!F100+'Total Trip Tables Sup #2'!F95*'Other Assumptions'!J77*'Other Assumptions'!J81+'Total Trip Tables Sup #2'!F96*'Other Assumptions'!J77*'Other Assumptions'!J81</f>
        <v>30.829999999999995</v>
      </c>
      <c r="G100" s="4">
        <f ca="1">'Total Trip Tables Sup #2'!G100+'Total Trip Tables Sup #2'!G95*'Other Assumptions'!K77*'Other Assumptions'!K81+'Total Trip Tables Sup #2'!G96*'Other Assumptions'!K77*'Other Assumptions'!K81</f>
        <v>31.78</v>
      </c>
      <c r="H100" s="4">
        <f ca="1">'Total Trip Tables Sup #2'!H100+'Total Trip Tables Sup #2'!H95*'Other Assumptions'!L77*'Other Assumptions'!L81+'Total Trip Tables Sup #2'!H96*'Other Assumptions'!L77*'Other Assumptions'!L81</f>
        <v>32.729999999999997</v>
      </c>
      <c r="I100" s="1">
        <f ca="1">'Total Trip Tables Sup #2'!I100+'Total Trip Tables Sup #2'!I95*'Other Assumptions'!M77*'Other Assumptions'!M81+'Total Trip Tables Sup #2'!I96*'Other Assumptions'!M77*'Other Assumptions'!M81</f>
        <v>33.683277171789733</v>
      </c>
      <c r="J100" s="1">
        <f ca="1">'Total Trip Tables Sup #2'!J100+'Total Trip Tables Sup #2'!J95*'Other Assumptions'!N77*'Other Assumptions'!N81+'Total Trip Tables Sup #2'!J96*'Other Assumptions'!N77*'Other Assumptions'!N81</f>
        <v>34.660881438910685</v>
      </c>
      <c r="K100" s="1">
        <f ca="1">'Total Trip Tables Sup #2'!K100+'Total Trip Tables Sup #2'!K95*'Other Assumptions'!O77*'Other Assumptions'!O81+'Total Trip Tables Sup #2'!K96*'Other Assumptions'!O77*'Other Assumptions'!O81</f>
        <v>35.666859135915509</v>
      </c>
    </row>
    <row r="101" spans="1:16" x14ac:dyDescent="0.2">
      <c r="A101" t="str">
        <f ca="1">OFFSET(Wellington_Reference,56,2)</f>
        <v>Local Ferry</v>
      </c>
      <c r="B101" s="4">
        <f ca="1">'Total Trip Tables Sup #2'!B101</f>
        <v>0.22615005399999999</v>
      </c>
      <c r="C101" s="4">
        <f ca="1">'Total Trip Tables Sup #2'!C101</f>
        <v>0.24940944241185231</v>
      </c>
      <c r="D101" s="4">
        <f ca="1">'Total Trip Tables Sup #2'!D101</f>
        <v>0.26599649814852505</v>
      </c>
      <c r="E101" s="4">
        <f ca="1">'Total Trip Tables Sup #2'!E101</f>
        <v>0.27794993416369901</v>
      </c>
      <c r="F101" s="4">
        <f ca="1">'Total Trip Tables Sup #2'!F101</f>
        <v>0.28743274486736298</v>
      </c>
      <c r="G101" s="4">
        <f ca="1">'Total Trip Tables Sup #2'!G101</f>
        <v>0.30331251991776398</v>
      </c>
      <c r="H101" s="4">
        <f ca="1">'Total Trip Tables Sup #2'!H101</f>
        <v>0.31742299145587005</v>
      </c>
      <c r="I101" s="1">
        <f ca="1">'Total Trip Tables Sup #2'!I101</f>
        <v>0.31454973080066412</v>
      </c>
      <c r="J101" s="1">
        <f ca="1">'Total Trip Tables Sup #2'!J101</f>
        <v>0.31077865282937045</v>
      </c>
      <c r="K101" s="1">
        <f ca="1">'Total Trip Tables Sup #2'!K101</f>
        <v>0.30646059922629604</v>
      </c>
    </row>
    <row r="102" spans="1:16" x14ac:dyDescent="0.2">
      <c r="A102" t="str">
        <f ca="1">OFFSET(Wellington_Reference,63,2)</f>
        <v>Other Household Travel</v>
      </c>
      <c r="B102" s="4">
        <f ca="1">'Total Trip Tables Sup #2'!B102</f>
        <v>0.33422365529999998</v>
      </c>
      <c r="C102" s="4">
        <f ca="1">'Total Trip Tables Sup #2'!C102</f>
        <v>0.35657876069563327</v>
      </c>
      <c r="D102" s="4">
        <f ca="1">'Total Trip Tables Sup #2'!D102</f>
        <v>0.37608952035000737</v>
      </c>
      <c r="E102" s="4">
        <f ca="1">'Total Trip Tables Sup #2'!E102</f>
        <v>0.3964135444611771</v>
      </c>
      <c r="F102" s="4">
        <f ca="1">'Total Trip Tables Sup #2'!F102</f>
        <v>0.41761915008949213</v>
      </c>
      <c r="G102" s="4">
        <f ca="1">'Total Trip Tables Sup #2'!G102</f>
        <v>0.43931077567329813</v>
      </c>
      <c r="H102" s="4">
        <f ca="1">'Total Trip Tables Sup #2'!H102</f>
        <v>0.45770407208594882</v>
      </c>
      <c r="I102" s="1">
        <f ca="1">'Total Trip Tables Sup #2'!I102</f>
        <v>0.46244185854185194</v>
      </c>
      <c r="J102" s="1">
        <f ca="1">'Total Trip Tables Sup #2'!J102</f>
        <v>0.46575365255036932</v>
      </c>
      <c r="K102" s="1">
        <f ca="1">'Total Trip Tables Sup #2'!K102</f>
        <v>0.46809276301609892</v>
      </c>
    </row>
    <row r="103" spans="1:16" x14ac:dyDescent="0.2">
      <c r="A103" t="str">
        <f ca="1">OFFSET(Nelson_Reference,0,0)</f>
        <v>10 NELS-MARLB-TAS</v>
      </c>
      <c r="B103" s="4">
        <f ca="1">SUM(B104:B113)</f>
        <v>187.1494005328</v>
      </c>
      <c r="C103" s="4">
        <f t="shared" ref="C103" ca="1" si="50">SUM(C104:C113)</f>
        <v>196.81909925631976</v>
      </c>
      <c r="D103" s="4">
        <f t="shared" ref="D103" ca="1" si="51">SUM(D104:D113)</f>
        <v>202.64929017508572</v>
      </c>
      <c r="E103" s="4">
        <f t="shared" ref="E103" ca="1" si="52">SUM(E104:E113)</f>
        <v>205.93744863802468</v>
      </c>
      <c r="F103" s="4">
        <f t="shared" ref="F103" ca="1" si="53">SUM(F104:F113)</f>
        <v>208.01469044435561</v>
      </c>
      <c r="G103" s="4">
        <f t="shared" ref="G103" ca="1" si="54">SUM(G104:G113)</f>
        <v>208.30838783153044</v>
      </c>
      <c r="H103" s="4">
        <f t="shared" ref="H103:K103" ca="1" si="55">SUM(H104:H113)</f>
        <v>207.22707006275667</v>
      </c>
      <c r="I103" s="1">
        <f t="shared" ca="1" si="55"/>
        <v>207.04934612859756</v>
      </c>
      <c r="J103" s="1">
        <f t="shared" ca="1" si="55"/>
        <v>206.22429062307964</v>
      </c>
      <c r="K103" s="1">
        <f t="shared" ca="1" si="55"/>
        <v>204.9719826226447</v>
      </c>
    </row>
    <row r="104" spans="1:16" x14ac:dyDescent="0.2">
      <c r="A104" t="str">
        <f ca="1">OFFSET(Nelson_Reference,0,2)</f>
        <v>Pedestrian</v>
      </c>
      <c r="B104" s="4">
        <f ca="1">'Total Trip Tables Sup #2'!B104</f>
        <v>34.609993433</v>
      </c>
      <c r="C104" s="4">
        <f ca="1">'Total Trip Tables Sup #2'!C104</f>
        <v>36.106416498305528</v>
      </c>
      <c r="D104" s="4">
        <f ca="1">'Total Trip Tables Sup #2'!D104</f>
        <v>36.976079412659246</v>
      </c>
      <c r="E104" s="4">
        <f ca="1">'Total Trip Tables Sup #2'!E104</f>
        <v>37.542746679210431</v>
      </c>
      <c r="F104" s="4">
        <f ca="1">'Total Trip Tables Sup #2'!F104</f>
        <v>37.726210973634764</v>
      </c>
      <c r="G104" s="4">
        <f ca="1">'Total Trip Tables Sup #2'!G104</f>
        <v>37.689362329457772</v>
      </c>
      <c r="H104" s="4">
        <f ca="1">'Total Trip Tables Sup #2'!H104</f>
        <v>37.408528653249796</v>
      </c>
      <c r="I104" s="1">
        <f ca="1">'Total Trip Tables Sup #2'!I104</f>
        <v>37.359721151525477</v>
      </c>
      <c r="J104" s="1">
        <f ca="1">'Total Trip Tables Sup #2'!J104</f>
        <v>37.194428808030807</v>
      </c>
      <c r="K104" s="1">
        <f ca="1">'Total Trip Tables Sup #2'!K104</f>
        <v>36.952465442592832</v>
      </c>
    </row>
    <row r="105" spans="1:16" x14ac:dyDescent="0.2">
      <c r="A105" t="str">
        <f ca="1">OFFSET(Nelson_Reference,7,2)</f>
        <v>Cyclist</v>
      </c>
      <c r="B105" s="4">
        <f ca="1">'Total Trip Tables Sup #2'!B105</f>
        <v>2.9519642961999999</v>
      </c>
      <c r="C105" s="4">
        <f ca="1">'Total Trip Tables Sup #2'!C105</f>
        <v>3.0737567461646411</v>
      </c>
      <c r="D105" s="4">
        <f ca="1">'Total Trip Tables Sup #2'!D105</f>
        <v>3.122074297707786</v>
      </c>
      <c r="E105" s="4">
        <f ca="1">'Total Trip Tables Sup #2'!E105</f>
        <v>3.142248875834134</v>
      </c>
      <c r="F105" s="4">
        <f ca="1">'Total Trip Tables Sup #2'!F105</f>
        <v>3.1523812378801237</v>
      </c>
      <c r="G105" s="4">
        <f ca="1">'Total Trip Tables Sup #2'!G105</f>
        <v>3.1529952096092955</v>
      </c>
      <c r="H105" s="4">
        <f ca="1">'Total Trip Tables Sup #2'!H105</f>
        <v>3.1400966983987439</v>
      </c>
      <c r="I105" s="1">
        <f ca="1">'Total Trip Tables Sup #2'!I105</f>
        <v>3.1538803638733119</v>
      </c>
      <c r="J105" s="1">
        <f ca="1">'Total Trip Tables Sup #2'!J105</f>
        <v>3.1581083402665127</v>
      </c>
      <c r="K105" s="1">
        <f ca="1">'Total Trip Tables Sup #2'!K105</f>
        <v>3.1560085206741104</v>
      </c>
    </row>
    <row r="106" spans="1:16" x14ac:dyDescent="0.2">
      <c r="A106" t="str">
        <f ca="1">OFFSET(Nelson_Reference,14,2)</f>
        <v>Light Vehicle Driver</v>
      </c>
      <c r="B106" s="4">
        <f ca="1">'Total Trip Tables Sup #2'!B106</f>
        <v>98.206986838999995</v>
      </c>
      <c r="C106" s="4">
        <f ca="1">'Total Trip Tables Sup #2'!C106*(1-'Other Assumptions'!G15)</f>
        <v>105.21903906385637</v>
      </c>
      <c r="D106" s="4">
        <f ca="1">'Total Trip Tables Sup #2'!D106*(1-'Other Assumptions'!H15)</f>
        <v>109.54791547588179</v>
      </c>
      <c r="E106" s="4">
        <f ca="1">'Total Trip Tables Sup #2'!E106*(1-'Other Assumptions'!I15)</f>
        <v>106.44631944756827</v>
      </c>
      <c r="F106" s="4">
        <f ca="1">'Total Trip Tables Sup #2'!F106*(1-'Other Assumptions'!J15)</f>
        <v>102.53196621284074</v>
      </c>
      <c r="G106" s="4">
        <f ca="1">'Total Trip Tables Sup #2'!G106*(1-'Other Assumptions'!K15)</f>
        <v>97.376561441086139</v>
      </c>
      <c r="H106" s="4">
        <f ca="1">'Total Trip Tables Sup #2'!H106*(1-'Other Assumptions'!L15)</f>
        <v>91.573332919845029</v>
      </c>
      <c r="I106" s="1">
        <f ca="1">'Total Trip Tables Sup #2'!I106*(1-'Other Assumptions'!M15)</f>
        <v>85.768646543835757</v>
      </c>
      <c r="J106" s="1">
        <f ca="1">'Total Trip Tables Sup #2'!J106*(1-'Other Assumptions'!N15)</f>
        <v>79.724299682180089</v>
      </c>
      <c r="K106" s="1">
        <f ca="1">'Total Trip Tables Sup #2'!K106*(1-'Other Assumptions'!O15)</f>
        <v>73.573044028974223</v>
      </c>
    </row>
    <row r="107" spans="1:16" x14ac:dyDescent="0.2">
      <c r="A107" t="str">
        <f ca="1">OFFSET(Nelson_Reference,21,2)</f>
        <v>Light Vehicle Passenger</v>
      </c>
      <c r="B107" s="4">
        <f ca="1">'Total Trip Tables Sup #2'!B107</f>
        <v>45.895773311000006</v>
      </c>
      <c r="C107" s="4">
        <f ca="1">'Total Trip Tables Sup #2'!C107*(1-'Other Assumptions'!G15)</f>
        <v>46.772258172639802</v>
      </c>
      <c r="D107" s="4">
        <f ca="1">'Total Trip Tables Sup #2'!D107*(1-'Other Assumptions'!H15)</f>
        <v>47.238972259427143</v>
      </c>
      <c r="E107" s="4">
        <f ca="1">'Total Trip Tables Sup #2'!E107*(1-'Other Assumptions'!I15)</f>
        <v>44.967116327212729</v>
      </c>
      <c r="F107" s="4">
        <f ca="1">'Total Trip Tables Sup #2'!F107*(1-'Other Assumptions'!J15)</f>
        <v>42.546234183709608</v>
      </c>
      <c r="G107" s="4">
        <f ca="1">'Total Trip Tables Sup #2'!G107*(1-'Other Assumptions'!K15)</f>
        <v>39.887760581663635</v>
      </c>
      <c r="H107" s="4">
        <f ca="1">'Total Trip Tables Sup #2'!H107*(1-'Other Assumptions'!L15)</f>
        <v>36.99098605319076</v>
      </c>
      <c r="I107" s="1">
        <f ca="1">'Total Trip Tables Sup #2'!I107*(1-'Other Assumptions'!M15)</f>
        <v>34.646466395661044</v>
      </c>
      <c r="J107" s="1">
        <f ca="1">'Total Trip Tables Sup #2'!J107*(1-'Other Assumptions'!N15)</f>
        <v>32.204968235844568</v>
      </c>
      <c r="K107" s="1">
        <f ca="1">'Total Trip Tables Sup #2'!K107*(1-'Other Assumptions'!O15)</f>
        <v>29.720144452361261</v>
      </c>
    </row>
    <row r="108" spans="1:16" x14ac:dyDescent="0.2">
      <c r="A108" t="str">
        <f ca="1">OFFSET(Nelson_Reference,28,2)</f>
        <v>Taxi/Vehicle Share</v>
      </c>
      <c r="B108" s="4">
        <f ca="1">'Total Trip Tables Sup #2'!B108</f>
        <v>0.40359339709999997</v>
      </c>
      <c r="C108" s="4">
        <f ca="1">'Total Trip Tables Sup #2'!C108+((C106+C107)*'Other Assumptions'!G15/(1-'Other Assumptions'!G15))</f>
        <v>0.45191739403028536</v>
      </c>
      <c r="D108" s="4">
        <f ca="1">'Total Trip Tables Sup #2'!D108+((D106+D107)*'Other Assumptions'!H15/(1-'Other Assumptions'!H15))</f>
        <v>0.48848629747629757</v>
      </c>
      <c r="E108" s="4">
        <f ca="1">'Total Trip Tables Sup #2'!E108+((E106+E107)*'Other Assumptions'!I15/(1-'Other Assumptions'!I15))</f>
        <v>8.4902020995117713</v>
      </c>
      <c r="F108" s="4">
        <f ca="1">'Total Trip Tables Sup #2'!F108+((F106+F107)*'Other Assumptions'!J15/(1-'Other Assumptions'!J15))</f>
        <v>16.667609497239837</v>
      </c>
      <c r="G108" s="4">
        <f ca="1">'Total Trip Tables Sup #2'!G108+((G106+G107)*'Other Assumptions'!K15/(1-'Other Assumptions'!K15))</f>
        <v>24.789582575126051</v>
      </c>
      <c r="H108" s="4">
        <f ca="1">'Total Trip Tables Sup #2'!H108+((H106+H107)*'Other Assumptions'!L15/(1-'Other Assumptions'!L15))</f>
        <v>32.723239203169911</v>
      </c>
      <c r="I108" s="1">
        <f ca="1">'Total Trip Tables Sup #2'!I108+((I106+I107)*'Other Assumptions'!M15/(1-'Other Assumptions'!M15))</f>
        <v>40.719042259955614</v>
      </c>
      <c r="J108" s="1">
        <f ca="1">'Total Trip Tables Sup #2'!J108+((J106+J107)*'Other Assumptions'!N15/(1-'Other Assumptions'!N15))</f>
        <v>48.547036394901319</v>
      </c>
      <c r="K108" s="1">
        <f ca="1">'Total Trip Tables Sup #2'!K108+((K106+K107)*'Other Assumptions'!O15/(1-'Other Assumptions'!O15))</f>
        <v>56.192231343312244</v>
      </c>
    </row>
    <row r="109" spans="1:16" x14ac:dyDescent="0.2">
      <c r="A109" t="str">
        <f ca="1">OFFSET(Nelson_Reference,35,2)</f>
        <v>Motorcyclist</v>
      </c>
      <c r="B109" s="4">
        <f ca="1">'Total Trip Tables Sup #2'!B109</f>
        <v>1.5095151791999999</v>
      </c>
      <c r="C109" s="4">
        <f ca="1">'Total Trip Tables Sup #2'!C109</f>
        <v>1.5883309268752379</v>
      </c>
      <c r="D109" s="4">
        <f ca="1">'Total Trip Tables Sup #2'!D109</f>
        <v>1.6275366864497431</v>
      </c>
      <c r="E109" s="4">
        <f ca="1">'Total Trip Tables Sup #2'!E109</f>
        <v>1.6387948520716118</v>
      </c>
      <c r="F109" s="4">
        <f ca="1">'Total Trip Tables Sup #2'!F109</f>
        <v>1.6395091329640834</v>
      </c>
      <c r="G109" s="4">
        <f ca="1">'Total Trip Tables Sup #2'!G109</f>
        <v>1.6100243295072032</v>
      </c>
      <c r="H109" s="4">
        <f ca="1">'Total Trip Tables Sup #2'!H109</f>
        <v>1.5688321828144842</v>
      </c>
      <c r="I109" s="1">
        <f ca="1">'Total Trip Tables Sup #2'!I109</f>
        <v>1.5756043767596948</v>
      </c>
      <c r="J109" s="1">
        <f ca="1">'Total Trip Tables Sup #2'!J109</f>
        <v>1.5774719339840346</v>
      </c>
      <c r="K109" s="1">
        <f ca="1">'Total Trip Tables Sup #2'!K109</f>
        <v>1.5760454696591215</v>
      </c>
    </row>
    <row r="110" spans="1:16" x14ac:dyDescent="0.2">
      <c r="A110" t="str">
        <f ca="1">OFFSET(Nelson_Reference,42,2)</f>
        <v>Local Train</v>
      </c>
      <c r="B110" s="4">
        <f ca="1">'Total Trip Tables Sup #2'!B110</f>
        <v>0</v>
      </c>
      <c r="C110" s="4">
        <f ca="1">'Total Trip Tables Sup #2'!C110</f>
        <v>0</v>
      </c>
      <c r="D110" s="4">
        <f ca="1">'Total Trip Tables Sup #2'!D110</f>
        <v>0</v>
      </c>
      <c r="E110" s="4">
        <f ca="1">'Total Trip Tables Sup #2'!E110</f>
        <v>0</v>
      </c>
      <c r="F110" s="4">
        <f ca="1">'Total Trip Tables Sup #2'!F110</f>
        <v>0</v>
      </c>
      <c r="G110" s="4">
        <f ca="1">'Total Trip Tables Sup #2'!G110</f>
        <v>0</v>
      </c>
      <c r="H110" s="4">
        <f ca="1">'Total Trip Tables Sup #2'!H110</f>
        <v>0</v>
      </c>
      <c r="I110" s="1">
        <f ca="1">'Total Trip Tables Sup #2'!I110</f>
        <v>0</v>
      </c>
      <c r="J110" s="1">
        <f ca="1">'Total Trip Tables Sup #2'!J110</f>
        <v>0</v>
      </c>
      <c r="K110" s="1">
        <f ca="1">'Total Trip Tables Sup #2'!K110</f>
        <v>0</v>
      </c>
    </row>
    <row r="111" spans="1:16" x14ac:dyDescent="0.2">
      <c r="A111" t="str">
        <f ca="1">OFFSET(Nelson_Reference,49,2)</f>
        <v>Local Bus</v>
      </c>
      <c r="B111" s="4">
        <f ca="1">'Total Trip Tables Sup #2'!B111</f>
        <v>2.0764681202999999</v>
      </c>
      <c r="C111" s="4">
        <f ca="1">'Total Trip Tables Sup #2'!C111</f>
        <v>2.0273924220525252</v>
      </c>
      <c r="D111" s="4">
        <f ca="1">'Total Trip Tables Sup #2'!D111</f>
        <v>1.9872649842958103</v>
      </c>
      <c r="E111" s="4">
        <f ca="1">'Total Trip Tables Sup #2'!E111</f>
        <v>1.965431964517051</v>
      </c>
      <c r="F111" s="4">
        <f ca="1">'Total Trip Tables Sup #2'!F111</f>
        <v>1.9222651846606165</v>
      </c>
      <c r="G111" s="4">
        <f ca="1">'Total Trip Tables Sup #2'!G111</f>
        <v>1.8910389597839246</v>
      </c>
      <c r="H111" s="4">
        <f ca="1">'Total Trip Tables Sup #2'!H111</f>
        <v>1.8471641039528617</v>
      </c>
      <c r="I111" s="1">
        <f ca="1">'Total Trip Tables Sup #2'!I111</f>
        <v>1.8467791112969698</v>
      </c>
      <c r="J111" s="1">
        <f ca="1">'Total Trip Tables Sup #2'!J111</f>
        <v>1.8406148218050227</v>
      </c>
      <c r="K111" s="1">
        <f ca="1">'Total Trip Tables Sup #2'!K111</f>
        <v>1.8306258303511198</v>
      </c>
    </row>
    <row r="112" spans="1:16" x14ac:dyDescent="0.2">
      <c r="A112" t="str">
        <f ca="1">OFFSET(Wellington_Reference,56,2)</f>
        <v>Local Ferry</v>
      </c>
      <c r="B112" s="4">
        <f ca="1">'Total Trip Tables Sup #2'!B112</f>
        <v>0</v>
      </c>
      <c r="C112" s="4">
        <f ca="1">'Total Trip Tables Sup #2'!C112</f>
        <v>0</v>
      </c>
      <c r="D112" s="4">
        <f ca="1">'Total Trip Tables Sup #2'!D112</f>
        <v>0</v>
      </c>
      <c r="E112" s="4">
        <f ca="1">'Total Trip Tables Sup #2'!E112</f>
        <v>0</v>
      </c>
      <c r="F112" s="4">
        <f ca="1">'Total Trip Tables Sup #2'!F112</f>
        <v>0</v>
      </c>
      <c r="G112" s="4">
        <f ca="1">'Total Trip Tables Sup #2'!G112</f>
        <v>0</v>
      </c>
      <c r="H112" s="4">
        <f ca="1">'Total Trip Tables Sup #2'!H112</f>
        <v>0</v>
      </c>
      <c r="I112" s="1">
        <f ca="1">'Total Trip Tables Sup #2'!I112</f>
        <v>0</v>
      </c>
      <c r="J112" s="1">
        <f ca="1">'Total Trip Tables Sup #2'!J112</f>
        <v>0</v>
      </c>
      <c r="K112" s="1">
        <f ca="1">'Total Trip Tables Sup #2'!K112</f>
        <v>0</v>
      </c>
    </row>
    <row r="113" spans="1:11" x14ac:dyDescent="0.2">
      <c r="A113" t="str">
        <f ca="1">OFFSET(Nelson_Reference,56,2)</f>
        <v>Other Household Travel</v>
      </c>
      <c r="B113" s="4">
        <f ca="1">'Total Trip Tables Sup #2'!B113</f>
        <v>1.495105957</v>
      </c>
      <c r="C113" s="4">
        <f ca="1">'Total Trip Tables Sup #2'!C113</f>
        <v>1.5799880323954032</v>
      </c>
      <c r="D113" s="4">
        <f ca="1">'Total Trip Tables Sup #2'!D113</f>
        <v>1.6609607611878912</v>
      </c>
      <c r="E113" s="4">
        <f ca="1">'Total Trip Tables Sup #2'!E113</f>
        <v>1.7445883920986733</v>
      </c>
      <c r="F113" s="4">
        <f ca="1">'Total Trip Tables Sup #2'!F113</f>
        <v>1.8285140214258402</v>
      </c>
      <c r="G113" s="4">
        <f ca="1">'Total Trip Tables Sup #2'!G113</f>
        <v>1.911062405296448</v>
      </c>
      <c r="H113" s="4">
        <f ca="1">'Total Trip Tables Sup #2'!H113</f>
        <v>1.9748902481350989</v>
      </c>
      <c r="I113" s="1">
        <f ca="1">'Total Trip Tables Sup #2'!I113</f>
        <v>1.979205925689713</v>
      </c>
      <c r="J113" s="1">
        <f ca="1">'Total Trip Tables Sup #2'!J113</f>
        <v>1.9773624060672677</v>
      </c>
      <c r="K113" s="1">
        <f ca="1">'Total Trip Tables Sup #2'!K113</f>
        <v>1.9714175347197767</v>
      </c>
    </row>
    <row r="114" spans="1:11" x14ac:dyDescent="0.2">
      <c r="A114" t="str">
        <f ca="1">OFFSET(West_Coast_Reference,0,0)</f>
        <v>12 WEST COAST</v>
      </c>
      <c r="B114" s="4">
        <f ca="1">SUM(B115:B124)</f>
        <v>39.320985915800001</v>
      </c>
      <c r="C114" s="4">
        <f t="shared" ref="C114" ca="1" si="56">SUM(C115:C124)</f>
        <v>38.831904540847816</v>
      </c>
      <c r="D114" s="4">
        <f t="shared" ref="D114" ca="1" si="57">SUM(D115:D124)</f>
        <v>38.804634425887144</v>
      </c>
      <c r="E114" s="4">
        <f t="shared" ref="E114" ca="1" si="58">SUM(E115:E124)</f>
        <v>38.331935801235062</v>
      </c>
      <c r="F114" s="4">
        <f t="shared" ref="F114" ca="1" si="59">SUM(F115:F124)</f>
        <v>37.661643513787041</v>
      </c>
      <c r="G114" s="4">
        <f t="shared" ref="G114" ca="1" si="60">SUM(G115:G124)</f>
        <v>36.700890582683542</v>
      </c>
      <c r="H114" s="4">
        <f t="shared" ref="H114:K114" ca="1" si="61">SUM(H115:H124)</f>
        <v>35.623057706182259</v>
      </c>
      <c r="I114" s="1">
        <f t="shared" ca="1" si="61"/>
        <v>34.728752211451784</v>
      </c>
      <c r="J114" s="1">
        <f t="shared" ca="1" si="61"/>
        <v>33.749301000714134</v>
      </c>
      <c r="K114" s="1">
        <f t="shared" ca="1" si="61"/>
        <v>32.727147827242085</v>
      </c>
    </row>
    <row r="115" spans="1:11" x14ac:dyDescent="0.2">
      <c r="A115" t="str">
        <f ca="1">OFFSET(West_Coast_Reference,0,2)</f>
        <v>Pedestrian</v>
      </c>
      <c r="B115" s="4">
        <f ca="1">'Total Trip Tables Sup #2'!B115</f>
        <v>5.2699511529</v>
      </c>
      <c r="C115" s="4">
        <f ca="1">'Total Trip Tables Sup #2'!C115</f>
        <v>5.1639358019106343</v>
      </c>
      <c r="D115" s="4">
        <f ca="1">'Total Trip Tables Sup #2'!D115</f>
        <v>5.1333837977936492</v>
      </c>
      <c r="E115" s="4">
        <f ca="1">'Total Trip Tables Sup #2'!E115</f>
        <v>5.0678020439689844</v>
      </c>
      <c r="F115" s="4">
        <f ca="1">'Total Trip Tables Sup #2'!F115</f>
        <v>4.9537750843185009</v>
      </c>
      <c r="G115" s="4">
        <f ca="1">'Total Trip Tables Sup #2'!G115</f>
        <v>4.8165711474862167</v>
      </c>
      <c r="H115" s="4">
        <f ca="1">'Total Trip Tables Sup #2'!H115</f>
        <v>4.6650564867942013</v>
      </c>
      <c r="I115" s="1">
        <f ca="1">'Total Trip Tables Sup #2'!I115</f>
        <v>4.5460741588676541</v>
      </c>
      <c r="J115" s="1">
        <f ca="1">'Total Trip Tables Sup #2'!J115</f>
        <v>4.4160795726350059</v>
      </c>
      <c r="K115" s="1">
        <f ca="1">'Total Trip Tables Sup #2'!K115</f>
        <v>4.2806330184385439</v>
      </c>
    </row>
    <row r="116" spans="1:11" x14ac:dyDescent="0.2">
      <c r="A116" t="str">
        <f ca="1">OFFSET(West_Coast_Reference,7,2)</f>
        <v>Cyclist</v>
      </c>
      <c r="B116" s="4">
        <f ca="1">'Total Trip Tables Sup #2'!B116</f>
        <v>0.73381292249999996</v>
      </c>
      <c r="C116" s="4">
        <f ca="1">'Total Trip Tables Sup #2'!C116</f>
        <v>0.71768707334388304</v>
      </c>
      <c r="D116" s="4">
        <f ca="1">'Total Trip Tables Sup #2'!D116</f>
        <v>0.70761216546835271</v>
      </c>
      <c r="E116" s="4">
        <f ca="1">'Total Trip Tables Sup #2'!E116</f>
        <v>0.69247382333999541</v>
      </c>
      <c r="F116" s="4">
        <f ca="1">'Total Trip Tables Sup #2'!F116</f>
        <v>0.67577327338961068</v>
      </c>
      <c r="G116" s="4">
        <f ca="1">'Total Trip Tables Sup #2'!G116</f>
        <v>0.65782698250207106</v>
      </c>
      <c r="H116" s="4">
        <f ca="1">'Total Trip Tables Sup #2'!H116</f>
        <v>0.63929084368285771</v>
      </c>
      <c r="I116" s="1">
        <f ca="1">'Total Trip Tables Sup #2'!I116</f>
        <v>0.62653781372011319</v>
      </c>
      <c r="J116" s="1">
        <f ca="1">'Total Trip Tables Sup #2'!J116</f>
        <v>0.61214626408083084</v>
      </c>
      <c r="K116" s="1">
        <f ca="1">'Total Trip Tables Sup #2'!K116</f>
        <v>0.5968592471145987</v>
      </c>
    </row>
    <row r="117" spans="1:11" x14ac:dyDescent="0.2">
      <c r="A117" t="str">
        <f ca="1">OFFSET(West_Coast_Reference,14,2)</f>
        <v>Light Vehicle Driver</v>
      </c>
      <c r="B117" s="4">
        <f ca="1">'Total Trip Tables Sup #2'!B117</f>
        <v>21.329902885999999</v>
      </c>
      <c r="C117" s="4">
        <f ca="1">'Total Trip Tables Sup #2'!C117*(1-'Other Assumptions'!G16)</f>
        <v>21.465064460658038</v>
      </c>
      <c r="D117" s="4">
        <f ca="1">'Total Trip Tables Sup #2'!D117*(1-'Other Assumptions'!H16)</f>
        <v>21.693439333318089</v>
      </c>
      <c r="E117" s="4">
        <f ca="1">'Total Trip Tables Sup #2'!E117*(1-'Other Assumptions'!I16)</f>
        <v>20.495837438669547</v>
      </c>
      <c r="F117" s="4">
        <f ca="1">'Total Trip Tables Sup #2'!F117*(1-'Other Assumptions'!J16)</f>
        <v>19.204092981351359</v>
      </c>
      <c r="G117" s="4">
        <f ca="1">'Total Trip Tables Sup #2'!G117*(1-'Other Assumptions'!K16)</f>
        <v>17.75068200049029</v>
      </c>
      <c r="H117" s="4">
        <f ca="1">'Total Trip Tables Sup #2'!H117*(1-'Other Assumptions'!L16)</f>
        <v>16.289086138198208</v>
      </c>
      <c r="I117" s="1">
        <f ca="1">'Total Trip Tables Sup #2'!I117*(1-'Other Assumptions'!M16)</f>
        <v>14.886851824972036</v>
      </c>
      <c r="J117" s="1">
        <f ca="1">'Total Trip Tables Sup #2'!J117*(1-'Other Assumptions'!N16)</f>
        <v>13.501783148043678</v>
      </c>
      <c r="K117" s="1">
        <f ca="1">'Total Trip Tables Sup #2'!K117*(1-'Other Assumptions'!O16)</f>
        <v>12.156952547007727</v>
      </c>
    </row>
    <row r="118" spans="1:11" x14ac:dyDescent="0.2">
      <c r="A118" t="str">
        <f ca="1">OFFSET(West_Coast_Reference,21,2)</f>
        <v>Light Vehicle Passenger</v>
      </c>
      <c r="B118" s="4">
        <f ca="1">'Total Trip Tables Sup #2'!B118</f>
        <v>11.090105215000001</v>
      </c>
      <c r="C118" s="4">
        <f ca="1">'Total Trip Tables Sup #2'!C118*(1-'Other Assumptions'!G16)</f>
        <v>10.615554563120725</v>
      </c>
      <c r="D118" s="4">
        <f ca="1">'Total Trip Tables Sup #2'!D118*(1-'Other Assumptions'!H16)</f>
        <v>10.40737532303045</v>
      </c>
      <c r="E118" s="4">
        <f ca="1">'Total Trip Tables Sup #2'!E118*(1-'Other Assumptions'!I16)</f>
        <v>9.6326668191869853</v>
      </c>
      <c r="F118" s="4">
        <f ca="1">'Total Trip Tables Sup #2'!F118*(1-'Other Assumptions'!J16)</f>
        <v>8.8656814626763261</v>
      </c>
      <c r="G118" s="4">
        <f ca="1">'Total Trip Tables Sup #2'!G118*(1-'Other Assumptions'!K16)</f>
        <v>8.0894081146013175</v>
      </c>
      <c r="H118" s="4">
        <f ca="1">'Total Trip Tables Sup #2'!H118*(1-'Other Assumptions'!L16)</f>
        <v>7.3204889577633399</v>
      </c>
      <c r="I118" s="1">
        <f ca="1">'Total Trip Tables Sup #2'!I118*(1-'Other Assumptions'!M16)</f>
        <v>6.6903638792791416</v>
      </c>
      <c r="J118" s="1">
        <f ca="1">'Total Trip Tables Sup #2'!J118*(1-'Other Assumptions'!N16)</f>
        <v>6.0679189819901502</v>
      </c>
      <c r="K118" s="1">
        <f ca="1">'Total Trip Tables Sup #2'!K118*(1-'Other Assumptions'!O16)</f>
        <v>5.4635307944627325</v>
      </c>
    </row>
    <row r="119" spans="1:11" x14ac:dyDescent="0.2">
      <c r="A119" t="str">
        <f ca="1">OFFSET(West_Coast_Reference,28,2)</f>
        <v>Taxi/Vehicle Share</v>
      </c>
      <c r="B119" s="4">
        <f ca="1">'Total Trip Tables Sup #2'!B119</f>
        <v>0.29973375209999997</v>
      </c>
      <c r="C119" s="4">
        <f ca="1">'Total Trip Tables Sup #2'!C119+((C117+C118)*'Other Assumptions'!G16/(1-'Other Assumptions'!G16))</f>
        <v>0.31524051567243067</v>
      </c>
      <c r="D119" s="4">
        <f ca="1">'Total Trip Tables Sup #2'!D119+((D117+D118)*'Other Assumptions'!H16/(1-'Other Assumptions'!H16))</f>
        <v>0.33076670385326756</v>
      </c>
      <c r="E119" s="4">
        <f ca="1">'Total Trip Tables Sup #2'!E119+((E117+E118)*'Other Assumptions'!I16/(1-'Other Assumptions'!I16))</f>
        <v>1.9287781458314628</v>
      </c>
      <c r="F119" s="4">
        <f ca="1">'Total Trip Tables Sup #2'!F119+((F117+F118)*'Other Assumptions'!J16/(1-'Other Assumptions'!J16))</f>
        <v>3.469703859680477</v>
      </c>
      <c r="G119" s="4">
        <f ca="1">'Total Trip Tables Sup #2'!G119+((G117+G118)*'Other Assumptions'!K16/(1-'Other Assumptions'!K16))</f>
        <v>4.9131017186768986</v>
      </c>
      <c r="H119" s="4">
        <f ca="1">'Total Trip Tables Sup #2'!H119+((H117+H118)*'Other Assumptions'!L16/(1-'Other Assumptions'!L16))</f>
        <v>6.2564846724376304</v>
      </c>
      <c r="I119" s="1">
        <f ca="1">'Total Trip Tables Sup #2'!I119+((I117+I118)*'Other Assumptions'!M16/(1-'Other Assumptions'!M16))</f>
        <v>7.5370326012340092</v>
      </c>
      <c r="J119" s="1">
        <f ca="1">'Total Trip Tables Sup #2'!J119+((J117+J118)*'Other Assumptions'!N16/(1-'Other Assumptions'!N16))</f>
        <v>8.7213524749932549</v>
      </c>
      <c r="K119" s="1">
        <f ca="1">'Total Trip Tables Sup #2'!K119+((K117+K118)*'Other Assumptions'!O16/(1-'Other Assumptions'!O16))</f>
        <v>9.8115990678075722</v>
      </c>
    </row>
    <row r="120" spans="1:11" x14ac:dyDescent="0.2">
      <c r="A120" t="str">
        <f ca="1">OFFSET(West_Coast_Reference,35,2)</f>
        <v>Motorcyclist</v>
      </c>
      <c r="B120" s="4">
        <f ca="1">'Total Trip Tables Sup #2'!B120</f>
        <v>6.1723256599999998E-2</v>
      </c>
      <c r="C120" s="4">
        <f ca="1">'Total Trip Tables Sup #2'!C120</f>
        <v>6.1001949405226741E-2</v>
      </c>
      <c r="D120" s="4">
        <f ca="1">'Total Trip Tables Sup #2'!D120</f>
        <v>6.0676418213435696E-2</v>
      </c>
      <c r="E120" s="4">
        <f ca="1">'Total Trip Tables Sup #2'!E120</f>
        <v>5.9405200348677308E-2</v>
      </c>
      <c r="F120" s="4">
        <f ca="1">'Total Trip Tables Sup #2'!F120</f>
        <v>5.7811363199779094E-2</v>
      </c>
      <c r="G120" s="4">
        <f ca="1">'Total Trip Tables Sup #2'!G120</f>
        <v>5.5253259569314435E-2</v>
      </c>
      <c r="H120" s="4">
        <f ca="1">'Total Trip Tables Sup #2'!H120</f>
        <v>5.2537456594963804E-2</v>
      </c>
      <c r="I120" s="1">
        <f ca="1">'Total Trip Tables Sup #2'!I120</f>
        <v>5.1485666952290614E-2</v>
      </c>
      <c r="J120" s="1">
        <f ca="1">'Total Trip Tables Sup #2'!J120</f>
        <v>5.0295243175606505E-2</v>
      </c>
      <c r="K120" s="1">
        <f ca="1">'Total Trip Tables Sup #2'!K120</f>
        <v>4.9027482692997601E-2</v>
      </c>
    </row>
    <row r="121" spans="1:11" x14ac:dyDescent="0.2">
      <c r="A121" t="str">
        <f ca="1">OFFSET(Nelson_Reference,42,2)</f>
        <v>Local Train</v>
      </c>
      <c r="B121" s="4">
        <f ca="1">'Total Trip Tables Sup #2'!B121</f>
        <v>0</v>
      </c>
      <c r="C121" s="4">
        <f ca="1">'Total Trip Tables Sup #2'!C121</f>
        <v>0</v>
      </c>
      <c r="D121" s="4">
        <f ca="1">'Total Trip Tables Sup #2'!D121</f>
        <v>0</v>
      </c>
      <c r="E121" s="4">
        <f ca="1">'Total Trip Tables Sup #2'!E121</f>
        <v>0</v>
      </c>
      <c r="F121" s="4">
        <f ca="1">'Total Trip Tables Sup #2'!F121</f>
        <v>0</v>
      </c>
      <c r="G121" s="4">
        <f ca="1">'Total Trip Tables Sup #2'!G121</f>
        <v>0</v>
      </c>
      <c r="H121" s="4">
        <f ca="1">'Total Trip Tables Sup #2'!H121</f>
        <v>0</v>
      </c>
      <c r="I121" s="1">
        <f ca="1">'Total Trip Tables Sup #2'!I121</f>
        <v>0</v>
      </c>
      <c r="J121" s="1">
        <f ca="1">'Total Trip Tables Sup #2'!J121</f>
        <v>0</v>
      </c>
      <c r="K121" s="1">
        <f ca="1">'Total Trip Tables Sup #2'!K121</f>
        <v>0</v>
      </c>
    </row>
    <row r="122" spans="1:11" x14ac:dyDescent="0.2">
      <c r="A122" t="str">
        <f ca="1">OFFSET(West_Coast_Reference,42,2)</f>
        <v>Local Bus</v>
      </c>
      <c r="B122" s="4">
        <f ca="1">'Total Trip Tables Sup #2'!B122</f>
        <v>0.50805546800000001</v>
      </c>
      <c r="C122" s="4">
        <f ca="1">'Total Trip Tables Sup #2'!C122</f>
        <v>0.46592397120598</v>
      </c>
      <c r="D122" s="4">
        <f ca="1">'Total Trip Tables Sup #2'!D122</f>
        <v>0.44332216363417049</v>
      </c>
      <c r="E122" s="4">
        <f ca="1">'Total Trip Tables Sup #2'!E122</f>
        <v>0.42631675676734987</v>
      </c>
      <c r="F122" s="4">
        <f ca="1">'Total Trip Tables Sup #2'!F122</f>
        <v>0.405589949606178</v>
      </c>
      <c r="G122" s="4">
        <f ca="1">'Total Trip Tables Sup #2'!G122</f>
        <v>0.38832956450477696</v>
      </c>
      <c r="H122" s="4">
        <f ca="1">'Total Trip Tables Sup #2'!H122</f>
        <v>0.37014556430160439</v>
      </c>
      <c r="I122" s="1">
        <f ca="1">'Total Trip Tables Sup #2'!I122</f>
        <v>0.36110095144900772</v>
      </c>
      <c r="J122" s="1">
        <f ca="1">'Total Trip Tables Sup #2'!J122</f>
        <v>0.35115810820225002</v>
      </c>
      <c r="K122" s="1">
        <f ca="1">'Total Trip Tables Sup #2'!K122</f>
        <v>0.3407571307399585</v>
      </c>
    </row>
    <row r="123" spans="1:11" x14ac:dyDescent="0.2">
      <c r="A123" t="str">
        <f ca="1">OFFSET(Wellington_Reference,56,2)</f>
        <v>Local Ferry</v>
      </c>
      <c r="B123" s="4">
        <f ca="1">'Total Trip Tables Sup #2'!B123</f>
        <v>0</v>
      </c>
      <c r="C123" s="4">
        <f ca="1">'Total Trip Tables Sup #2'!C123</f>
        <v>0</v>
      </c>
      <c r="D123" s="4">
        <f ca="1">'Total Trip Tables Sup #2'!D123</f>
        <v>0</v>
      </c>
      <c r="E123" s="4">
        <f ca="1">'Total Trip Tables Sup #2'!E123</f>
        <v>0</v>
      </c>
      <c r="F123" s="4">
        <f ca="1">'Total Trip Tables Sup #2'!F123</f>
        <v>0</v>
      </c>
      <c r="G123" s="4">
        <f ca="1">'Total Trip Tables Sup #2'!G123</f>
        <v>0</v>
      </c>
      <c r="H123" s="4">
        <f ca="1">'Total Trip Tables Sup #2'!H123</f>
        <v>0</v>
      </c>
      <c r="I123" s="1">
        <f ca="1">'Total Trip Tables Sup #2'!I123</f>
        <v>0</v>
      </c>
      <c r="J123" s="1">
        <f ca="1">'Total Trip Tables Sup #2'!J123</f>
        <v>0</v>
      </c>
      <c r="K123" s="1">
        <f ca="1">'Total Trip Tables Sup #2'!K123</f>
        <v>0</v>
      </c>
    </row>
    <row r="124" spans="1:11" x14ac:dyDescent="0.2">
      <c r="A124" t="str">
        <f ca="1">OFFSET(West_Coast_Reference,49,2)</f>
        <v>Other Household Travel</v>
      </c>
      <c r="B124" s="4">
        <f ca="1">'Total Trip Tables Sup #2'!B124</f>
        <v>2.77012627E-2</v>
      </c>
      <c r="C124" s="4">
        <f ca="1">'Total Trip Tables Sup #2'!C124</f>
        <v>2.7496205530899764E-2</v>
      </c>
      <c r="D124" s="4">
        <f ca="1">'Total Trip Tables Sup #2'!D124</f>
        <v>2.8058520575733176E-2</v>
      </c>
      <c r="E124" s="4">
        <f ca="1">'Total Trip Tables Sup #2'!E124</f>
        <v>2.8655573122055338E-2</v>
      </c>
      <c r="F124" s="4">
        <f ca="1">'Total Trip Tables Sup #2'!F124</f>
        <v>2.9215539564805448E-2</v>
      </c>
      <c r="G124" s="4">
        <f ca="1">'Total Trip Tables Sup #2'!G124</f>
        <v>2.9717794852660847E-2</v>
      </c>
      <c r="H124" s="4">
        <f ca="1">'Total Trip Tables Sup #2'!H124</f>
        <v>2.9967586409465695E-2</v>
      </c>
      <c r="I124" s="1">
        <f ca="1">'Total Trip Tables Sup #2'!I124</f>
        <v>2.9305314977526222E-2</v>
      </c>
      <c r="J124" s="1">
        <f ca="1">'Total Trip Tables Sup #2'!J124</f>
        <v>2.8567207593363359E-2</v>
      </c>
      <c r="K124" s="1">
        <f ca="1">'Total Trip Tables Sup #2'!K124</f>
        <v>2.7788538977948255E-2</v>
      </c>
    </row>
    <row r="125" spans="1:11" x14ac:dyDescent="0.2">
      <c r="A125" t="str">
        <f ca="1">OFFSET(Canterbury_Reference,0,0)</f>
        <v>13 CANTERBURY</v>
      </c>
      <c r="B125" s="4">
        <f ca="1">SUM(B126:B135)</f>
        <v>787.72987151590007</v>
      </c>
      <c r="C125" s="4">
        <f t="shared" ref="C125" ca="1" si="62">SUM(C126:C135)</f>
        <v>873.68578761853178</v>
      </c>
      <c r="D125" s="4">
        <f t="shared" ref="D125" ca="1" si="63">SUM(D126:D135)</f>
        <v>929.530193820862</v>
      </c>
      <c r="E125" s="4">
        <f t="shared" ref="E125" ca="1" si="64">SUM(E126:E135)</f>
        <v>965.65062425317228</v>
      </c>
      <c r="F125" s="4">
        <f t="shared" ref="F125" ca="1" si="65">SUM(F126:F135)</f>
        <v>997.96372592559612</v>
      </c>
      <c r="G125" s="4">
        <f t="shared" ref="G125" ca="1" si="66">SUM(G126:G135)</f>
        <v>1023.7602574664309</v>
      </c>
      <c r="H125" s="4">
        <f t="shared" ref="H125:K125" ca="1" si="67">SUM(H126:H135)</f>
        <v>1045.2809784965848</v>
      </c>
      <c r="I125" s="1">
        <f t="shared" ca="1" si="67"/>
        <v>1071.9356067402223</v>
      </c>
      <c r="J125" s="1">
        <f t="shared" ca="1" si="67"/>
        <v>1095.8565810338971</v>
      </c>
      <c r="K125" s="1">
        <f t="shared" ca="1" si="67"/>
        <v>1117.9652397826635</v>
      </c>
    </row>
    <row r="126" spans="1:11" x14ac:dyDescent="0.2">
      <c r="A126" t="str">
        <f ca="1">OFFSET(Canterbury_Reference,0,2)</f>
        <v>Pedestrian</v>
      </c>
      <c r="B126" s="4">
        <f ca="1">'Total Trip Tables Sup #2'!B126</f>
        <v>131.04676542000001</v>
      </c>
      <c r="C126" s="4">
        <f ca="1">'Total Trip Tables Sup #2'!C126+'Total Trip Tables Sup #2'!C128*'Other Assumptions'!G88*'Other Assumptions'!G95+'Total Trip Tables Sup #2'!C129*'Other Assumptions'!G88*'Other Assumptions'!G95</f>
        <v>144.35350240460434</v>
      </c>
      <c r="D126" s="4">
        <f ca="1">'Total Trip Tables Sup #2'!D126+'Total Trip Tables Sup #2'!D128*'Other Assumptions'!H88*'Other Assumptions'!H95+'Total Trip Tables Sup #2'!D129*'Other Assumptions'!H88*'Other Assumptions'!H95</f>
        <v>152.94019977857369</v>
      </c>
      <c r="E126" s="4">
        <f ca="1">'Total Trip Tables Sup #2'!E126+'Total Trip Tables Sup #2'!E128*'Other Assumptions'!I88*'Other Assumptions'!I95+'Total Trip Tables Sup #2'!E129*'Other Assumptions'!I88*'Other Assumptions'!I95</f>
        <v>158.80592164234429</v>
      </c>
      <c r="F126" s="4">
        <f ca="1">'Total Trip Tables Sup #2'!F126+'Total Trip Tables Sup #2'!F128*'Other Assumptions'!J88*'Other Assumptions'!J95+'Total Trip Tables Sup #2'!F129*'Other Assumptions'!J88*'Other Assumptions'!J95</f>
        <v>163.38219035345972</v>
      </c>
      <c r="G126" s="4">
        <f ca="1">'Total Trip Tables Sup #2'!G126+'Total Trip Tables Sup #2'!G128*'Other Assumptions'!K88*'Other Assumptions'!K95+'Total Trip Tables Sup #2'!G129*'Other Assumptions'!K88*'Other Assumptions'!K95</f>
        <v>167.30866297620133</v>
      </c>
      <c r="H126" s="4">
        <f ca="1">'Total Trip Tables Sup #2'!H126+'Total Trip Tables Sup #2'!H128*'Other Assumptions'!L88*'Other Assumptions'!L95+'Total Trip Tables Sup #2'!H129*'Other Assumptions'!L88*'Other Assumptions'!L95</f>
        <v>170.53090067101419</v>
      </c>
      <c r="I126" s="1">
        <f ca="1">'Total Trip Tables Sup #2'!I126+'Total Trip Tables Sup #2'!I128*'Other Assumptions'!M88*'Other Assumptions'!M95+'Total Trip Tables Sup #2'!I129*'Other Assumptions'!M88*'Other Assumptions'!M95</f>
        <v>174.88333445738397</v>
      </c>
      <c r="J126" s="1">
        <f ca="1">'Total Trip Tables Sup #2'!J126+'Total Trip Tables Sup #2'!J128*'Other Assumptions'!N88*'Other Assumptions'!N95+'Total Trip Tables Sup #2'!J129*'Other Assumptions'!N88*'Other Assumptions'!N95</f>
        <v>178.77818743342212</v>
      </c>
      <c r="K126" s="1">
        <f ca="1">'Total Trip Tables Sup #2'!K126+'Total Trip Tables Sup #2'!K128*'Other Assumptions'!O88*'Other Assumptions'!O95+'Total Trip Tables Sup #2'!K129*'Other Assumptions'!O88*'Other Assumptions'!O95</f>
        <v>182.36914703177459</v>
      </c>
    </row>
    <row r="127" spans="1:11" x14ac:dyDescent="0.2">
      <c r="A127" t="str">
        <f ca="1">OFFSET(Canterbury_Reference,7,2)</f>
        <v>Cyclist</v>
      </c>
      <c r="B127" s="4">
        <f ca="1">'Total Trip Tables Sup #2'!B127</f>
        <v>23.740018446000001</v>
      </c>
      <c r="C127" s="4">
        <f ca="1">'Total Trip Tables Sup #2'!C127+'Total Trip Tables Sup #2'!C128*'Other Assumptions'!G88*'Other Assumptions'!G94+'Total Trip Tables Sup #2'!C129*'Other Assumptions'!G88*'Other Assumptions'!G94</f>
        <v>26.101026976101569</v>
      </c>
      <c r="D127" s="4">
        <f ca="1">'Total Trip Tables Sup #2'!D127+'Total Trip Tables Sup #2'!D128*'Other Assumptions'!H88*'Other Assumptions'!H94+'Total Trip Tables Sup #2'!D129*'Other Assumptions'!H88*'Other Assumptions'!H94</f>
        <v>27.427687265780683</v>
      </c>
      <c r="E127" s="4">
        <f ca="1">'Total Trip Tables Sup #2'!E127+'Total Trip Tables Sup #2'!E128*'Other Assumptions'!I88*'Other Assumptions'!I94+'Total Trip Tables Sup #2'!E129*'Other Assumptions'!I88*'Other Assumptions'!I94</f>
        <v>28.231008433397243</v>
      </c>
      <c r="F127" s="4">
        <f ca="1">'Total Trip Tables Sup #2'!F127+'Total Trip Tables Sup #2'!F128*'Other Assumptions'!J88*'Other Assumptions'!J94+'Total Trip Tables Sup #2'!F129*'Other Assumptions'!J88*'Other Assumptions'!J94</f>
        <v>28.996489435401688</v>
      </c>
      <c r="G127" s="4">
        <f ca="1">'Total Trip Tables Sup #2'!G127+'Total Trip Tables Sup #2'!G128*'Other Assumptions'!K88*'Other Assumptions'!K94+'Total Trip Tables Sup #2'!G129*'Other Assumptions'!K88*'Other Assumptions'!K94</f>
        <v>29.728165669223117</v>
      </c>
      <c r="H127" s="4">
        <f ca="1">'Total Trip Tables Sup #2'!H127+'Total Trip Tables Sup #2'!H128*'Other Assumptions'!L88*'Other Assumptions'!L94+'Total Trip Tables Sup #2'!H129*'Other Assumptions'!L88*'Other Assumptions'!L94</f>
        <v>30.403294325544529</v>
      </c>
      <c r="I127" s="1">
        <f ca="1">'Total Trip Tables Sup #2'!I127+'Total Trip Tables Sup #2'!I128*'Other Assumptions'!M88*'Other Assumptions'!M94+'Total Trip Tables Sup #2'!I129*'Other Assumptions'!M88*'Other Assumptions'!M94</f>
        <v>31.357048454412748</v>
      </c>
      <c r="J127" s="1">
        <f ca="1">'Total Trip Tables Sup #2'!J127+'Total Trip Tables Sup #2'!J128*'Other Assumptions'!N88*'Other Assumptions'!N94+'Total Trip Tables Sup #2'!J129*'Other Assumptions'!N88*'Other Assumptions'!N94</f>
        <v>32.241023740142815</v>
      </c>
      <c r="K127" s="1">
        <f ca="1">'Total Trip Tables Sup #2'!K127+'Total Trip Tables Sup #2'!K128*'Other Assumptions'!O88*'Other Assumptions'!O94+'Total Trip Tables Sup #2'!K129*'Other Assumptions'!O88*'Other Assumptions'!O94</f>
        <v>33.081963415674792</v>
      </c>
    </row>
    <row r="128" spans="1:11" x14ac:dyDescent="0.2">
      <c r="A128" t="str">
        <f ca="1">OFFSET(Canterbury_Reference,14,2)</f>
        <v>Light Vehicle Driver</v>
      </c>
      <c r="B128" s="4">
        <f ca="1">'Total Trip Tables Sup #2'!B128</f>
        <v>417.41567177000002</v>
      </c>
      <c r="C128" s="4">
        <f ca="1">'Total Trip Tables Sup #2'!C128*(1-'Other Assumptions'!G17)*(1-'Other Assumptions'!G88)</f>
        <v>472.21398434351363</v>
      </c>
      <c r="D128" s="4">
        <f ca="1">'Total Trip Tables Sup #2'!D128*(1-'Other Assumptions'!H17)*(1-'Other Assumptions'!H88)</f>
        <v>508.63528592958988</v>
      </c>
      <c r="E128" s="4">
        <f ca="1">'Total Trip Tables Sup #2'!E128*(1-'Other Assumptions'!I17)*(1-'Other Assumptions'!I88)</f>
        <v>505.44380081691918</v>
      </c>
      <c r="F128" s="4">
        <f ca="1">'Total Trip Tables Sup #2'!F128*(1-'Other Assumptions'!J17)*(1-'Other Assumptions'!J88)</f>
        <v>498.45090159939861</v>
      </c>
      <c r="G128" s="4">
        <f ca="1">'Total Trip Tables Sup #2'!G128*(1-'Other Assumptions'!K17)*(1-'Other Assumptions'!K88)</f>
        <v>485.23894392519264</v>
      </c>
      <c r="H128" s="4">
        <f ca="1">'Total Trip Tables Sup #2'!H128*(1-'Other Assumptions'!L17)*(1-'Other Assumptions'!L88)</f>
        <v>468.60083185596261</v>
      </c>
      <c r="I128" s="1">
        <f ca="1">'Total Trip Tables Sup #2'!I128*(1-'Other Assumptions'!M17)*(1-'Other Assumptions'!M88)</f>
        <v>450.68689637763077</v>
      </c>
      <c r="J128" s="1">
        <f ca="1">'Total Trip Tables Sup #2'!J128*(1-'Other Assumptions'!N17)*(1-'Other Assumptions'!N88)</f>
        <v>430.15891130864117</v>
      </c>
      <c r="K128" s="1">
        <f ca="1">'Total Trip Tables Sup #2'!K128*(1-'Other Assumptions'!O17)*(1-'Other Assumptions'!O88)</f>
        <v>407.59443659726708</v>
      </c>
    </row>
    <row r="129" spans="1:11" x14ac:dyDescent="0.2">
      <c r="A129" t="str">
        <f ca="1">OFFSET(Canterbury_Reference,21,2)</f>
        <v>Light Vehicle Passenger</v>
      </c>
      <c r="B129" s="4">
        <f ca="1">'Total Trip Tables Sup #2'!B129</f>
        <v>189.77500578000001</v>
      </c>
      <c r="C129" s="4">
        <f ca="1">'Total Trip Tables Sup #2'!C129*(1-'Other Assumptions'!G17)*(1-'Other Assumptions'!G88+'Other Assumptions'!G88*'Other Assumptions'!G91)+'Total Trip Tables Sup #2'!C128*(1-'Other Assumptions'!G17)*'Other Assumptions'!G88*'Other Assumptions'!G91</f>
        <v>204.20802670643374</v>
      </c>
      <c r="D129" s="4">
        <f ca="1">'Total Trip Tables Sup #2'!D129*(1-'Other Assumptions'!H17)*(1-'Other Assumptions'!H88+'Other Assumptions'!H88*'Other Assumptions'!H91)+'Total Trip Tables Sup #2'!D128*(1-'Other Assumptions'!H17)*'Other Assumptions'!H88*'Other Assumptions'!H91</f>
        <v>213.37462224970315</v>
      </c>
      <c r="E129" s="4">
        <f ca="1">'Total Trip Tables Sup #2'!E129*(1-'Other Assumptions'!I17)*(1-'Other Assumptions'!I88+'Other Assumptions'!I88*'Other Assumptions'!I91)+'Total Trip Tables Sup #2'!E128*(1-'Other Assumptions'!I17)*'Other Assumptions'!I88*'Other Assumptions'!I91</f>
        <v>207.71947674455456</v>
      </c>
      <c r="F129" s="4">
        <f ca="1">'Total Trip Tables Sup #2'!F129*(1-'Other Assumptions'!J17)*(1-'Other Assumptions'!J88+'Other Assumptions'!J88*'Other Assumptions'!J91)+'Total Trip Tables Sup #2'!F128*(1-'Other Assumptions'!J17)*'Other Assumptions'!J88*'Other Assumptions'!J91</f>
        <v>201.2167748315853</v>
      </c>
      <c r="G129" s="4">
        <f ca="1">'Total Trip Tables Sup #2'!G129*(1-'Other Assumptions'!K17)*(1-'Other Assumptions'!K88+'Other Assumptions'!K88*'Other Assumptions'!K91)+'Total Trip Tables Sup #2'!G128*(1-'Other Assumptions'!K17)*'Other Assumptions'!K88*'Other Assumptions'!K91</f>
        <v>193.36631722559457</v>
      </c>
      <c r="H129" s="4">
        <f ca="1">'Total Trip Tables Sup #2'!H129*(1-'Other Assumptions'!L17)*(1-'Other Assumptions'!L88+'Other Assumptions'!L88*'Other Assumptions'!L91)+'Total Trip Tables Sup #2'!H128*(1-'Other Assumptions'!L17)*'Other Assumptions'!L88*'Other Assumptions'!L91</f>
        <v>184.14922680151514</v>
      </c>
      <c r="I129" s="1">
        <f ca="1">'Total Trip Tables Sup #2'!I129*(1-'Other Assumptions'!M17)*(1-'Other Assumptions'!M88+'Other Assumptions'!M88*'Other Assumptions'!M91)+'Total Trip Tables Sup #2'!I128*(1-'Other Assumptions'!M17)*'Other Assumptions'!M88*'Other Assumptions'!M91</f>
        <v>177.11089558184401</v>
      </c>
      <c r="J129" s="1">
        <f ca="1">'Total Trip Tables Sup #2'!J129*(1-'Other Assumptions'!N17)*(1-'Other Assumptions'!N88+'Other Assumptions'!N88*'Other Assumptions'!N91)+'Total Trip Tables Sup #2'!J128*(1-'Other Assumptions'!N17)*'Other Assumptions'!N88*'Other Assumptions'!N91</f>
        <v>169.04449945648392</v>
      </c>
      <c r="K129" s="1">
        <f ca="1">'Total Trip Tables Sup #2'!K129*(1-'Other Assumptions'!O17)*(1-'Other Assumptions'!O88+'Other Assumptions'!O88*'Other Assumptions'!O91)+'Total Trip Tables Sup #2'!K128*(1-'Other Assumptions'!O17)*'Other Assumptions'!O88*'Other Assumptions'!O91</f>
        <v>160.17708867232395</v>
      </c>
    </row>
    <row r="130" spans="1:11" x14ac:dyDescent="0.2">
      <c r="A130" t="str">
        <f ca="1">OFFSET(Canterbury_Reference,28,2)</f>
        <v>Taxi/Vehicle Share</v>
      </c>
      <c r="B130" s="4">
        <f ca="1">'Total Trip Tables Sup #2'!B130</f>
        <v>2.2446435044999999</v>
      </c>
      <c r="C130" s="4">
        <f ca="1">'Total Trip Tables Sup #2'!C130+((C128+C129)*'Other Assumptions'!G17/(1-'Other Assumptions'!G17))</f>
        <v>2.6538754062801151</v>
      </c>
      <c r="D130" s="4">
        <f ca="1">'Total Trip Tables Sup #2'!D130+((D128+D129)*'Other Assumptions'!H17/(1-'Other Assumptions'!H17))</f>
        <v>2.9677800604633453</v>
      </c>
      <c r="E130" s="4">
        <f ca="1">'Total Trip Tables Sup #2'!E130+((E128+E129)*'Other Assumptions'!I17/(1-'Other Assumptions'!I17))</f>
        <v>40.772474410439941</v>
      </c>
      <c r="F130" s="4">
        <f ca="1">'Total Trip Tables Sup #2'!F130+((F128+F129)*'Other Assumptions'!J17/(1-'Other Assumptions'!J17))</f>
        <v>81.225586527906955</v>
      </c>
      <c r="G130" s="4">
        <f ca="1">'Total Trip Tables Sup #2'!G130+((G128+G129)*'Other Assumptions'!K17/(1-'Other Assumptions'!K17))</f>
        <v>123.44749401073973</v>
      </c>
      <c r="H130" s="4">
        <f ca="1">'Total Trip Tables Sup #2'!H130+((H128+H129)*'Other Assumptions'!L17/(1-'Other Assumptions'!L17))</f>
        <v>167.08561445150212</v>
      </c>
      <c r="I130" s="1">
        <f ca="1">'Total Trip Tables Sup #2'!I130+((I128+I129)*'Other Assumptions'!M17/(1-'Other Assumptions'!M17))</f>
        <v>213.25851114260755</v>
      </c>
      <c r="J130" s="1">
        <f ca="1">'Total Trip Tables Sup #2'!J130+((J128+J129)*'Other Assumptions'!N17/(1-'Other Assumptions'!N17))</f>
        <v>260.87765203936522</v>
      </c>
      <c r="K130" s="1">
        <f ca="1">'Total Trip Tables Sup #2'!K130+((K128+K129)*'Other Assumptions'!O17/(1-'Other Assumptions'!O17))</f>
        <v>309.87559698043771</v>
      </c>
    </row>
    <row r="131" spans="1:11" x14ac:dyDescent="0.2">
      <c r="A131" t="str">
        <f ca="1">OFFSET(Canterbury_Reference,35,2)</f>
        <v>Motorcyclist</v>
      </c>
      <c r="B131" s="4">
        <f ca="1">'Total Trip Tables Sup #2'!B131</f>
        <v>1.4451657518000001</v>
      </c>
      <c r="C131" s="4">
        <f ca="1">'Total Trip Tables Sup #2'!C131</f>
        <v>1.6056072392780576</v>
      </c>
      <c r="D131" s="4">
        <f ca="1">'Total Trip Tables Sup #2'!D131</f>
        <v>1.7021074262106952</v>
      </c>
      <c r="E131" s="4">
        <f ca="1">'Total Trip Tables Sup #2'!E131</f>
        <v>1.7527526323369098</v>
      </c>
      <c r="F131" s="4">
        <f ca="1">'Total Trip Tables Sup #2'!F131</f>
        <v>1.7952740469939374</v>
      </c>
      <c r="G131" s="4">
        <f ca="1">'Total Trip Tables Sup #2'!G131</f>
        <v>1.807121967377717</v>
      </c>
      <c r="H131" s="4">
        <f ca="1">'Total Trip Tables Sup #2'!H131</f>
        <v>1.808274408914373</v>
      </c>
      <c r="I131" s="1">
        <f ca="1">'Total Trip Tables Sup #2'!I131</f>
        <v>1.8648648584094554</v>
      </c>
      <c r="J131" s="1">
        <f ca="1">'Total Trip Tables Sup #2'!J131</f>
        <v>1.9171392764263915</v>
      </c>
      <c r="K131" s="1">
        <f ca="1">'Total Trip Tables Sup #2'!K131</f>
        <v>1.9666726475847751</v>
      </c>
    </row>
    <row r="132" spans="1:11" x14ac:dyDescent="0.2">
      <c r="A132" t="str">
        <f ca="1">OFFSET(Canterbury_Reference,42,2)</f>
        <v>Local Train</v>
      </c>
      <c r="B132" s="4">
        <f ca="1">'Total Trip Tables Sup #2'!B132</f>
        <v>2.1901243099999999E-2</v>
      </c>
      <c r="C132" s="4">
        <f ca="1">'Total Trip Tables Sup #2'!C132+'Total Trip Tables Sup #2'!C128*'Other Assumptions'!G88*'Other Assumptions'!G93+'Total Trip Tables Sup #2'!C129*'Other Assumptions'!G88*'Other Assumptions'!G93</f>
        <v>2.2058192899999999E-2</v>
      </c>
      <c r="D132" s="4">
        <f ca="1">'Total Trip Tables Sup #2'!D132+'Total Trip Tables Sup #2'!D128*'Other Assumptions'!H88*'Other Assumptions'!H93+'Total Trip Tables Sup #2'!D129*'Other Assumptions'!H88*'Other Assumptions'!H93</f>
        <v>1.8725575000000001E-2</v>
      </c>
      <c r="E132" s="4">
        <f ca="1">'Total Trip Tables Sup #2'!E132+'Total Trip Tables Sup #2'!E128*'Other Assumptions'!I88*'Other Assumptions'!I93+'Total Trip Tables Sup #2'!E129*'Other Assumptions'!I88*'Other Assumptions'!I93</f>
        <v>1.7423979199999998E-2</v>
      </c>
      <c r="F132" s="4">
        <f ca="1">'Total Trip Tables Sup #2'!F132+'Total Trip Tables Sup #2'!F128*'Other Assumptions'!J88*'Other Assumptions'!J93+'Total Trip Tables Sup #2'!F129*'Other Assumptions'!J88*'Other Assumptions'!J93</f>
        <v>1.6539134600000002E-2</v>
      </c>
      <c r="G132" s="4">
        <f ca="1">'Total Trip Tables Sup #2'!G132+'Total Trip Tables Sup #2'!G128*'Other Assumptions'!K88*'Other Assumptions'!K93+'Total Trip Tables Sup #2'!G129*'Other Assumptions'!K88*'Other Assumptions'!K93</f>
        <v>1.3973374199999999E-2</v>
      </c>
      <c r="H132" s="4">
        <f ca="1">'Total Trip Tables Sup #2'!H132+'Total Trip Tables Sup #2'!H128*'Other Assumptions'!L88*'Other Assumptions'!L93+'Total Trip Tables Sup #2'!H129*'Other Assumptions'!L88*'Other Assumptions'!L93</f>
        <v>1.1562156699999999E-2</v>
      </c>
      <c r="I132" s="1">
        <f ca="1">'Total Trip Tables Sup #2'!I132+'Total Trip Tables Sup #2'!I128*'Other Assumptions'!M88*'Other Assumptions'!M93+'Total Trip Tables Sup #2'!I129*'Other Assumptions'!M88*'Other Assumptions'!M93</f>
        <v>1.1562156699999999E-2</v>
      </c>
      <c r="J132" s="1">
        <f ca="1">'Total Trip Tables Sup #2'!J132+'Total Trip Tables Sup #2'!J128*'Other Assumptions'!N88*'Other Assumptions'!N93+'Total Trip Tables Sup #2'!J129*'Other Assumptions'!N88*'Other Assumptions'!N93</f>
        <v>1.1562156699999999E-2</v>
      </c>
      <c r="K132" s="1">
        <f ca="1">'Total Trip Tables Sup #2'!K132+'Total Trip Tables Sup #2'!K128*'Other Assumptions'!O88*'Other Assumptions'!O93+'Total Trip Tables Sup #2'!K129*'Other Assumptions'!O88*'Other Assumptions'!O93</f>
        <v>1.1562156699999999E-2</v>
      </c>
    </row>
    <row r="133" spans="1:11" x14ac:dyDescent="0.2">
      <c r="A133" t="str">
        <f ca="1">OFFSET(Canterbury_Reference,49,2)</f>
        <v>Local Bus</v>
      </c>
      <c r="B133" s="4">
        <f ca="1">'Total Trip Tables Sup #2'!B133</f>
        <v>20.502079716000001</v>
      </c>
      <c r="C133" s="4">
        <f ca="1">'Total Trip Tables Sup #2'!C133+'Total Trip Tables Sup #2'!C128*'Other Assumptions'!G88*'Other Assumptions'!G92+'Total Trip Tables Sup #2'!C129*'Other Assumptions'!G88*'Other Assumptions'!G92</f>
        <v>20.810860451</v>
      </c>
      <c r="D133" s="4">
        <f ca="1">'Total Trip Tables Sup #2'!D133+'Total Trip Tables Sup #2'!D128*'Other Assumptions'!H88*'Other Assumptions'!H92+'Total Trip Tables Sup #2'!D129*'Other Assumptions'!H88*'Other Assumptions'!H92</f>
        <v>20.596568740999999</v>
      </c>
      <c r="E133" s="4">
        <f ca="1">'Total Trip Tables Sup #2'!E133+'Total Trip Tables Sup #2'!E128*'Other Assumptions'!I88*'Other Assumptions'!I92+'Total Trip Tables Sup #2'!E129*'Other Assumptions'!I88*'Other Assumptions'!I92</f>
        <v>20.902055278999999</v>
      </c>
      <c r="F133" s="4">
        <f ca="1">'Total Trip Tables Sup #2'!F133+'Total Trip Tables Sup #2'!F128*'Other Assumptions'!J88*'Other Assumptions'!J92+'Total Trip Tables Sup #2'!F129*'Other Assumptions'!J88*'Other Assumptions'!J92</f>
        <v>20.727711654</v>
      </c>
      <c r="G133" s="4">
        <f ca="1">'Total Trip Tables Sup #2'!G133+'Total Trip Tables Sup #2'!G128*'Other Assumptions'!K88*'Other Assumptions'!K92+'Total Trip Tables Sup #2'!G129*'Other Assumptions'!K88*'Other Assumptions'!K92</f>
        <v>20.543844931999999</v>
      </c>
      <c r="H133" s="4">
        <f ca="1">'Total Trip Tables Sup #2'!H133+'Total Trip Tables Sup #2'!H128*'Other Assumptions'!L88*'Other Assumptions'!L92+'Total Trip Tables Sup #2'!H129*'Other Assumptions'!L88*'Other Assumptions'!L92</f>
        <v>20.244408851999999</v>
      </c>
      <c r="I133" s="1">
        <f ca="1">'Total Trip Tables Sup #2'!I133+'Total Trip Tables Sup #2'!I128*'Other Assumptions'!M88*'Other Assumptions'!M92+'Total Trip Tables Sup #2'!I129*'Other Assumptions'!M88*'Other Assumptions'!M92</f>
        <v>20.244408851999999</v>
      </c>
      <c r="J133" s="1">
        <f ca="1">'Total Trip Tables Sup #2'!J133+'Total Trip Tables Sup #2'!J128*'Other Assumptions'!N88*'Other Assumptions'!N92+'Total Trip Tables Sup #2'!J129*'Other Assumptions'!N88*'Other Assumptions'!N92</f>
        <v>20.244408851999999</v>
      </c>
      <c r="K133" s="1">
        <f ca="1">'Total Trip Tables Sup #2'!K133+'Total Trip Tables Sup #2'!K128*'Other Assumptions'!O88*'Other Assumptions'!O92+'Total Trip Tables Sup #2'!K129*'Other Assumptions'!O88*'Other Assumptions'!O92</f>
        <v>20.244408851999999</v>
      </c>
    </row>
    <row r="134" spans="1:11" x14ac:dyDescent="0.2">
      <c r="A134" t="str">
        <f ca="1">OFFSET(Wellington_Reference,56,2)</f>
        <v>Local Ferry</v>
      </c>
      <c r="B134" s="4">
        <f ca="1">'Total Trip Tables Sup #2'!B156</f>
        <v>0</v>
      </c>
      <c r="C134" s="4">
        <f ca="1">'Total Trip Tables Sup #2'!C156</f>
        <v>0</v>
      </c>
      <c r="D134" s="4">
        <f ca="1">'Total Trip Tables Sup #2'!D156</f>
        <v>0</v>
      </c>
      <c r="E134" s="4">
        <f ca="1">'Total Trip Tables Sup #2'!E156</f>
        <v>0</v>
      </c>
      <c r="F134" s="4">
        <f ca="1">'Total Trip Tables Sup #2'!F156</f>
        <v>0</v>
      </c>
      <c r="G134" s="4">
        <f ca="1">'Total Trip Tables Sup #2'!G156</f>
        <v>0</v>
      </c>
      <c r="H134" s="4">
        <f ca="1">'Total Trip Tables Sup #2'!H156</f>
        <v>0</v>
      </c>
      <c r="I134" s="1">
        <f ca="1">'Total Trip Tables Sup #2'!I156</f>
        <v>0</v>
      </c>
      <c r="J134" s="1">
        <f ca="1">'Total Trip Tables Sup #2'!J156</f>
        <v>0</v>
      </c>
      <c r="K134" s="1">
        <f ca="1">'Total Trip Tables Sup #2'!K156</f>
        <v>0</v>
      </c>
    </row>
    <row r="135" spans="1:11" x14ac:dyDescent="0.2">
      <c r="A135" t="str">
        <f ca="1">OFFSET(Canterbury_Reference,56,2)</f>
        <v>Other Household Travel</v>
      </c>
      <c r="B135" s="4">
        <f ca="1">'Total Trip Tables Sup #2'!B135</f>
        <v>1.5386198845000001</v>
      </c>
      <c r="C135" s="4">
        <f ca="1">'Total Trip Tables Sup #2'!C135</f>
        <v>1.7168458984202597</v>
      </c>
      <c r="D135" s="4">
        <f ca="1">'Total Trip Tables Sup #2'!D135</f>
        <v>1.8672167945406362</v>
      </c>
      <c r="E135" s="4">
        <f ca="1">'Total Trip Tables Sup #2'!E135</f>
        <v>2.005710314980182</v>
      </c>
      <c r="F135" s="4">
        <f ca="1">'Total Trip Tables Sup #2'!F135</f>
        <v>2.1522583422499633</v>
      </c>
      <c r="G135" s="4">
        <f ca="1">'Total Trip Tables Sup #2'!G135</f>
        <v>2.3057333859017217</v>
      </c>
      <c r="H135" s="4">
        <f ca="1">'Total Trip Tables Sup #2'!H135</f>
        <v>2.44686497343181</v>
      </c>
      <c r="I135" s="1">
        <f ca="1">'Total Trip Tables Sup #2'!I135</f>
        <v>2.5180848592338556</v>
      </c>
      <c r="J135" s="1">
        <f ca="1">'Total Trip Tables Sup #2'!J135</f>
        <v>2.58319677071536</v>
      </c>
      <c r="K135" s="1">
        <f ca="1">'Total Trip Tables Sup #2'!K135</f>
        <v>2.6443634289005833</v>
      </c>
    </row>
    <row r="136" spans="1:11" x14ac:dyDescent="0.2">
      <c r="A136" t="str">
        <f ca="1">OFFSET(Otago_Reference,0,0)</f>
        <v>14 OTAGO</v>
      </c>
      <c r="B136" s="4">
        <f ca="1">SUM(B137:B146)</f>
        <v>292.56009771480007</v>
      </c>
      <c r="C136" s="4">
        <f t="shared" ref="C136" ca="1" si="68">SUM(C137:C146)</f>
        <v>317.17704570982556</v>
      </c>
      <c r="D136" s="4">
        <f t="shared" ref="D136" ca="1" si="69">SUM(D137:D146)</f>
        <v>331.19830592454662</v>
      </c>
      <c r="E136" s="4">
        <f t="shared" ref="E136" ca="1" si="70">SUM(E137:E146)</f>
        <v>338.53952238933704</v>
      </c>
      <c r="F136" s="4">
        <f t="shared" ref="F136" ca="1" si="71">SUM(F137:F146)</f>
        <v>344.44394666716255</v>
      </c>
      <c r="G136" s="4">
        <f t="shared" ref="G136" ca="1" si="72">SUM(G137:G146)</f>
        <v>348.09004144177823</v>
      </c>
      <c r="H136" s="4">
        <f t="shared" ref="H136:K136" ca="1" si="73">SUM(H137:H146)</f>
        <v>350.18197446667347</v>
      </c>
      <c r="I136" s="1">
        <f t="shared" ca="1" si="73"/>
        <v>353.90137920386661</v>
      </c>
      <c r="J136" s="1">
        <f t="shared" ca="1" si="73"/>
        <v>356.52397453721994</v>
      </c>
      <c r="K136" s="1">
        <f t="shared" ca="1" si="73"/>
        <v>358.39617730397748</v>
      </c>
    </row>
    <row r="137" spans="1:11" x14ac:dyDescent="0.2">
      <c r="A137" t="str">
        <f ca="1">OFFSET(Otago_Reference,0,2)</f>
        <v>Pedestrian</v>
      </c>
      <c r="B137" s="4">
        <f ca="1">'Total Trip Tables Sup #2'!B137</f>
        <v>58.261736425999999</v>
      </c>
      <c r="C137" s="4">
        <f ca="1">'Total Trip Tables Sup #2'!C137</f>
        <v>62.687606908463529</v>
      </c>
      <c r="D137" s="4">
        <f ca="1">'Total Trip Tables Sup #2'!D137</f>
        <v>65.131736537429646</v>
      </c>
      <c r="E137" s="4">
        <f ca="1">'Total Trip Tables Sup #2'!E137</f>
        <v>66.534542701186865</v>
      </c>
      <c r="F137" s="4">
        <f ca="1">'Total Trip Tables Sup #2'!F137</f>
        <v>67.372490355801716</v>
      </c>
      <c r="G137" s="4">
        <f ca="1">'Total Trip Tables Sup #2'!G137</f>
        <v>67.94525988356645</v>
      </c>
      <c r="H137" s="4">
        <f ca="1">'Total Trip Tables Sup #2'!H137</f>
        <v>68.218998389453603</v>
      </c>
      <c r="I137" s="1">
        <f ca="1">'Total Trip Tables Sup #2'!I137</f>
        <v>68.914751664998718</v>
      </c>
      <c r="J137" s="1">
        <f ca="1">'Total Trip Tables Sup #2'!J137</f>
        <v>69.396859527885979</v>
      </c>
      <c r="K137" s="1">
        <f ca="1">'Total Trip Tables Sup #2'!K137</f>
        <v>69.732971473322948</v>
      </c>
    </row>
    <row r="138" spans="1:11" x14ac:dyDescent="0.2">
      <c r="A138" t="str">
        <f ca="1">OFFSET(Otago_Reference,7,2)</f>
        <v>Cyclist</v>
      </c>
      <c r="B138" s="4">
        <f ca="1">'Total Trip Tables Sup #2'!B138</f>
        <v>4.5847179276999999</v>
      </c>
      <c r="C138" s="4">
        <f ca="1">'Total Trip Tables Sup #2'!C138</f>
        <v>4.9236413664007905</v>
      </c>
      <c r="D138" s="4">
        <f ca="1">'Total Trip Tables Sup #2'!D138</f>
        <v>5.0738151863474474</v>
      </c>
      <c r="E138" s="4">
        <f ca="1">'Total Trip Tables Sup #2'!E138</f>
        <v>5.1378488801791047</v>
      </c>
      <c r="F138" s="4">
        <f ca="1">'Total Trip Tables Sup #2'!F138</f>
        <v>5.1939499369466713</v>
      </c>
      <c r="G138" s="4">
        <f ca="1">'Total Trip Tables Sup #2'!G138</f>
        <v>5.2442489365831886</v>
      </c>
      <c r="H138" s="4">
        <f ca="1">'Total Trip Tables Sup #2'!H138</f>
        <v>5.2832035989716237</v>
      </c>
      <c r="I138" s="1">
        <f ca="1">'Total Trip Tables Sup #2'!I138</f>
        <v>5.3675166228121123</v>
      </c>
      <c r="J138" s="1">
        <f ca="1">'Total Trip Tables Sup #2'!J138</f>
        <v>5.4363644240307076</v>
      </c>
      <c r="K138" s="1">
        <f ca="1">'Total Trip Tables Sup #2'!K138</f>
        <v>5.494808138029728</v>
      </c>
    </row>
    <row r="139" spans="1:11" x14ac:dyDescent="0.2">
      <c r="A139" t="str">
        <f ca="1">OFFSET(Otago_Reference,14,2)</f>
        <v>Light Vehicle Driver</v>
      </c>
      <c r="B139" s="4">
        <f ca="1">'Total Trip Tables Sup #2'!B139</f>
        <v>150.49144967999999</v>
      </c>
      <c r="C139" s="4">
        <f ca="1">'Total Trip Tables Sup #2'!C139*(1-'Other Assumptions'!G18)</f>
        <v>166.29499056145471</v>
      </c>
      <c r="D139" s="4">
        <f ca="1">'Total Trip Tables Sup #2'!D139*(1-'Other Assumptions'!H18)</f>
        <v>175.65618521521958</v>
      </c>
      <c r="E139" s="4">
        <f ca="1">'Total Trip Tables Sup #2'!E139*(1-'Other Assumptions'!I18)</f>
        <v>171.72728943426713</v>
      </c>
      <c r="F139" s="4">
        <f ca="1">'Total Trip Tables Sup #2'!F139*(1-'Other Assumptions'!J18)</f>
        <v>166.68105080884558</v>
      </c>
      <c r="G139" s="4">
        <f ca="1">'Total Trip Tables Sup #2'!G139*(1-'Other Assumptions'!K18)</f>
        <v>159.80204816889372</v>
      </c>
      <c r="H139" s="4">
        <f ca="1">'Total Trip Tables Sup #2'!H139*(1-'Other Assumptions'!L18)</f>
        <v>152.01668756957957</v>
      </c>
      <c r="I139" s="1">
        <f ca="1">'Total Trip Tables Sup #2'!I139*(1-'Other Assumptions'!M18)</f>
        <v>144.02061411509862</v>
      </c>
      <c r="J139" s="1">
        <f ca="1">'Total Trip Tables Sup #2'!J139*(1-'Other Assumptions'!N18)</f>
        <v>135.40670464080992</v>
      </c>
      <c r="K139" s="1">
        <f ca="1">'Total Trip Tables Sup #2'!K139*(1-'Other Assumptions'!O18)</f>
        <v>126.3865938021618</v>
      </c>
    </row>
    <row r="140" spans="1:11" x14ac:dyDescent="0.2">
      <c r="A140" t="str">
        <f ca="1">OFFSET(Otago_Reference,21,2)</f>
        <v>Light Vehicle Passenger</v>
      </c>
      <c r="B140" s="4">
        <f ca="1">'Total Trip Tables Sup #2'!B140</f>
        <v>71.232164202000021</v>
      </c>
      <c r="C140" s="4">
        <f ca="1">'Total Trip Tables Sup #2'!C140*(1-'Other Assumptions'!G18)</f>
        <v>74.869887759554885</v>
      </c>
      <c r="D140" s="4">
        <f ca="1">'Total Trip Tables Sup #2'!D140*(1-'Other Assumptions'!H18)</f>
        <v>76.717382602669346</v>
      </c>
      <c r="E140" s="4">
        <f ca="1">'Total Trip Tables Sup #2'!E140*(1-'Other Assumptions'!I18)</f>
        <v>73.474681378035584</v>
      </c>
      <c r="F140" s="4">
        <f ca="1">'Total Trip Tables Sup #2'!F140*(1-'Other Assumptions'!J18)</f>
        <v>70.052248307732214</v>
      </c>
      <c r="G140" s="4">
        <f ca="1">'Total Trip Tables Sup #2'!G140*(1-'Other Assumptions'!K18)</f>
        <v>66.298174324784611</v>
      </c>
      <c r="H140" s="4">
        <f ca="1">'Total Trip Tables Sup #2'!H140*(1-'Other Assumptions'!L18)</f>
        <v>62.194525729059393</v>
      </c>
      <c r="I140" s="1">
        <f ca="1">'Total Trip Tables Sup #2'!I140*(1-'Other Assumptions'!M18)</f>
        <v>58.923570767507599</v>
      </c>
      <c r="J140" s="1">
        <f ca="1">'Total Trip Tables Sup #2'!J140*(1-'Other Assumptions'!N18)</f>
        <v>55.399563039411944</v>
      </c>
      <c r="K140" s="1">
        <f ca="1">'Total Trip Tables Sup #2'!K140*(1-'Other Assumptions'!O18)</f>
        <v>51.709127351186552</v>
      </c>
    </row>
    <row r="141" spans="1:11" x14ac:dyDescent="0.2">
      <c r="A141" t="str">
        <f ca="1">OFFSET(Otago_Reference,28,2)</f>
        <v>Taxi/Vehicle Share</v>
      </c>
      <c r="B141" s="4">
        <f ca="1">'Total Trip Tables Sup #2'!B141</f>
        <v>0.85820748670000002</v>
      </c>
      <c r="C141" s="4">
        <f ca="1">'Total Trip Tables Sup #2'!C141+((C139+C140)*'Other Assumptions'!G18/(1-'Other Assumptions'!G18))</f>
        <v>0.99111192137992932</v>
      </c>
      <c r="D141" s="4">
        <f ca="1">'Total Trip Tables Sup #2'!D141+((D139+D140)*'Other Assumptions'!H18/(1-'Other Assumptions'!H18))</f>
        <v>1.0869023345535553</v>
      </c>
      <c r="E141" s="4">
        <f ca="1">'Total Trip Tables Sup #2'!E141+((E139+E140)*'Other Assumptions'!I18/(1-'Other Assumptions'!I18))</f>
        <v>14.071872392041739</v>
      </c>
      <c r="F141" s="4">
        <f ca="1">'Total Trip Tables Sup #2'!F141+((F139+F140)*'Other Assumptions'!J18/(1-'Other Assumptions'!J18))</f>
        <v>27.539463144881587</v>
      </c>
      <c r="G141" s="4">
        <f ca="1">'Total Trip Tables Sup #2'!G141+((G139+G140)*'Other Assumptions'!K18/(1-'Other Assumptions'!K18))</f>
        <v>41.190014193761492</v>
      </c>
      <c r="H141" s="4">
        <f ca="1">'Total Trip Tables Sup #2'!H141+((H139+H140)*'Other Assumptions'!L18/(1-'Other Assumptions'!L18))</f>
        <v>54.893847270637913</v>
      </c>
      <c r="I141" s="1">
        <f ca="1">'Total Trip Tables Sup #2'!I141+((I139+I140)*'Other Assumptions'!M18/(1-'Other Assumptions'!M18))</f>
        <v>69.001084863795583</v>
      </c>
      <c r="J141" s="1">
        <f ca="1">'Total Trip Tables Sup #2'!J141+((J139+J140)*'Other Assumptions'!N18/(1-'Other Assumptions'!N18))</f>
        <v>83.134830877161335</v>
      </c>
      <c r="K141" s="1">
        <f ca="1">'Total Trip Tables Sup #2'!K141+((K139+K140)*'Other Assumptions'!O18/(1-'Other Assumptions'!O18))</f>
        <v>97.263162043796044</v>
      </c>
    </row>
    <row r="142" spans="1:11" x14ac:dyDescent="0.2">
      <c r="A142" t="str">
        <f ca="1">OFFSET(Otago_Reference,35,2)</f>
        <v>Motorcyclist</v>
      </c>
      <c r="B142" s="4">
        <f ca="1">'Total Trip Tables Sup #2'!B142</f>
        <v>2.0937246197000001</v>
      </c>
      <c r="C142" s="4">
        <f ca="1">'Total Trip Tables Sup #2'!C142</f>
        <v>2.2721576652051452</v>
      </c>
      <c r="D142" s="4">
        <f ca="1">'Total Trip Tables Sup #2'!D142</f>
        <v>2.3621243224900335</v>
      </c>
      <c r="E142" s="4">
        <f ca="1">'Total Trip Tables Sup #2'!E142</f>
        <v>2.3930175979815669</v>
      </c>
      <c r="F142" s="4">
        <f ca="1">'Total Trip Tables Sup #2'!F142</f>
        <v>2.4124227767316735</v>
      </c>
      <c r="G142" s="4">
        <f ca="1">'Total Trip Tables Sup #2'!G142</f>
        <v>2.3915142962854241</v>
      </c>
      <c r="H142" s="4">
        <f ca="1">'Total Trip Tables Sup #2'!H142</f>
        <v>2.3572810755592091</v>
      </c>
      <c r="I142" s="1">
        <f ca="1">'Total Trip Tables Sup #2'!I142</f>
        <v>2.3947264777692365</v>
      </c>
      <c r="J142" s="1">
        <f ca="1">'Total Trip Tables Sup #2'!J142</f>
        <v>2.4250669504666931</v>
      </c>
      <c r="K142" s="1">
        <f ca="1">'Total Trip Tables Sup #2'!K142</f>
        <v>2.4505505373941054</v>
      </c>
    </row>
    <row r="143" spans="1:11" x14ac:dyDescent="0.2">
      <c r="A143" t="str">
        <f ca="1">OFFSET(Canterbury_Reference,42,2)</f>
        <v>Local Train</v>
      </c>
      <c r="B143" s="4">
        <f ca="1">'Total Trip Tables Sup #2'!B143</f>
        <v>0</v>
      </c>
      <c r="C143" s="4">
        <f ca="1">'Total Trip Tables Sup #2'!C143</f>
        <v>0</v>
      </c>
      <c r="D143" s="4">
        <f ca="1">'Total Trip Tables Sup #2'!D143</f>
        <v>0</v>
      </c>
      <c r="E143" s="4">
        <f ca="1">'Total Trip Tables Sup #2'!E143</f>
        <v>0</v>
      </c>
      <c r="F143" s="4">
        <f ca="1">'Total Trip Tables Sup #2'!F143</f>
        <v>0</v>
      </c>
      <c r="G143" s="4">
        <f ca="1">'Total Trip Tables Sup #2'!G143</f>
        <v>0</v>
      </c>
      <c r="H143" s="4">
        <f ca="1">'Total Trip Tables Sup #2'!H143</f>
        <v>0</v>
      </c>
      <c r="I143" s="1">
        <f ca="1">'Total Trip Tables Sup #2'!I143</f>
        <v>0</v>
      </c>
      <c r="J143" s="1">
        <f ca="1">'Total Trip Tables Sup #2'!J143</f>
        <v>0</v>
      </c>
      <c r="K143" s="1">
        <f ca="1">'Total Trip Tables Sup #2'!K143</f>
        <v>0</v>
      </c>
    </row>
    <row r="144" spans="1:11" x14ac:dyDescent="0.2">
      <c r="A144" t="str">
        <f ca="1">OFFSET(Otago_Reference,42,2)</f>
        <v>Local Bus</v>
      </c>
      <c r="B144" s="4">
        <f ca="1">'Total Trip Tables Sup #2'!B144</f>
        <v>4.2627057848999996</v>
      </c>
      <c r="C144" s="4">
        <f ca="1">'Total Trip Tables Sup #2'!C144</f>
        <v>4.2925296689066643</v>
      </c>
      <c r="D144" s="4">
        <f ca="1">'Total Trip Tables Sup #2'!D144</f>
        <v>4.2687995308651958</v>
      </c>
      <c r="E144" s="4">
        <f ca="1">'Total Trip Tables Sup #2'!E144</f>
        <v>4.2477341825243098</v>
      </c>
      <c r="F144" s="4">
        <f ca="1">'Total Trip Tables Sup #2'!F144</f>
        <v>4.1863052788754809</v>
      </c>
      <c r="G144" s="4">
        <f ca="1">'Total Trip Tables Sup #2'!G144</f>
        <v>4.1573734110424665</v>
      </c>
      <c r="H144" s="4">
        <f ca="1">'Total Trip Tables Sup #2'!H144</f>
        <v>4.1078859297063994</v>
      </c>
      <c r="I144" s="1">
        <f ca="1">'Total Trip Tables Sup #2'!I144</f>
        <v>4.1543368350369709</v>
      </c>
      <c r="J144" s="1">
        <f ca="1">'Total Trip Tables Sup #2'!J144</f>
        <v>4.1879647920073788</v>
      </c>
      <c r="K144" s="1">
        <f ca="1">'Total Trip Tables Sup #2'!K144</f>
        <v>4.2128162948710486</v>
      </c>
    </row>
    <row r="145" spans="1:11" x14ac:dyDescent="0.2">
      <c r="A145" t="str">
        <f ca="1">OFFSET(Wellington_Reference,56,2)</f>
        <v>Local Ferry</v>
      </c>
      <c r="B145" s="4">
        <f ca="1">'Total Trip Tables Sup #2'!B145</f>
        <v>0</v>
      </c>
      <c r="C145" s="4">
        <f ca="1">'Total Trip Tables Sup #2'!C145</f>
        <v>0</v>
      </c>
      <c r="D145" s="4">
        <f ca="1">'Total Trip Tables Sup #2'!D145</f>
        <v>0</v>
      </c>
      <c r="E145" s="4">
        <f ca="1">'Total Trip Tables Sup #2'!E145</f>
        <v>0</v>
      </c>
      <c r="F145" s="4">
        <f ca="1">'Total Trip Tables Sup #2'!F145</f>
        <v>0</v>
      </c>
      <c r="G145" s="4">
        <f ca="1">'Total Trip Tables Sup #2'!G145</f>
        <v>0</v>
      </c>
      <c r="H145" s="4">
        <f ca="1">'Total Trip Tables Sup #2'!H145</f>
        <v>0</v>
      </c>
      <c r="I145" s="1">
        <f ca="1">'Total Trip Tables Sup #2'!I145</f>
        <v>0</v>
      </c>
      <c r="J145" s="1">
        <f ca="1">'Total Trip Tables Sup #2'!J145</f>
        <v>0</v>
      </c>
      <c r="K145" s="1">
        <f ca="1">'Total Trip Tables Sup #2'!K145</f>
        <v>0</v>
      </c>
    </row>
    <row r="146" spans="1:11" x14ac:dyDescent="0.2">
      <c r="A146" t="str">
        <f ca="1">OFFSET(Otago_Reference,49,2)</f>
        <v>Other Household Travel</v>
      </c>
      <c r="B146" s="4">
        <f ca="1">'Total Trip Tables Sup #2'!B146</f>
        <v>0.77539158779999995</v>
      </c>
      <c r="C146" s="4">
        <f ca="1">'Total Trip Tables Sup #2'!C146</f>
        <v>0.84511985845994975</v>
      </c>
      <c r="D146" s="4">
        <f ca="1">'Total Trip Tables Sup #2'!D146</f>
        <v>0.90136019497181774</v>
      </c>
      <c r="E146" s="4">
        <f ca="1">'Total Trip Tables Sup #2'!E146</f>
        <v>0.95253582312073481</v>
      </c>
      <c r="F146" s="4">
        <f ca="1">'Total Trip Tables Sup #2'!F146</f>
        <v>1.0060160573476216</v>
      </c>
      <c r="G146" s="4">
        <f ca="1">'Total Trip Tables Sup #2'!G146</f>
        <v>1.0614082268608824</v>
      </c>
      <c r="H146" s="4">
        <f ca="1">'Total Trip Tables Sup #2'!H146</f>
        <v>1.1095449037057081</v>
      </c>
      <c r="I146" s="1">
        <f ca="1">'Total Trip Tables Sup #2'!I146</f>
        <v>1.1247778568477262</v>
      </c>
      <c r="J146" s="1">
        <f ca="1">'Total Trip Tables Sup #2'!J146</f>
        <v>1.1366202854459369</v>
      </c>
      <c r="K146" s="1">
        <f ca="1">'Total Trip Tables Sup #2'!K146</f>
        <v>1.1461476632152301</v>
      </c>
    </row>
    <row r="147" spans="1:11" x14ac:dyDescent="0.2">
      <c r="A147" t="str">
        <f ca="1">OFFSET(Southland_Reference,0,0)</f>
        <v>15 SOUTHLAND</v>
      </c>
      <c r="B147" s="4">
        <f ca="1">SUM(B148:B157)</f>
        <v>113.12186837359998</v>
      </c>
      <c r="C147" s="4">
        <f t="shared" ref="C147" ca="1" si="74">SUM(C148:C157)</f>
        <v>117.3576700519468</v>
      </c>
      <c r="D147" s="4">
        <f t="shared" ref="D147" ca="1" si="75">SUM(D148:D157)</f>
        <v>118.43267630127222</v>
      </c>
      <c r="E147" s="4">
        <f t="shared" ref="E147" ca="1" si="76">SUM(E148:E157)</f>
        <v>118.35997511060739</v>
      </c>
      <c r="F147" s="4">
        <f t="shared" ref="F147" ca="1" si="77">SUM(F148:F157)</f>
        <v>117.80536220331255</v>
      </c>
      <c r="G147" s="4">
        <f t="shared" ref="G147" ca="1" si="78">SUM(G148:G157)</f>
        <v>116.33969559462668</v>
      </c>
      <c r="H147" s="4">
        <f t="shared" ref="H147:K147" ca="1" si="79">SUM(H148:H157)</f>
        <v>114.38583065450379</v>
      </c>
      <c r="I147" s="1">
        <f t="shared" ca="1" si="79"/>
        <v>112.92490550715515</v>
      </c>
      <c r="J147" s="1">
        <f t="shared" ca="1" si="79"/>
        <v>111.12825802700233</v>
      </c>
      <c r="K147" s="1">
        <f t="shared" ca="1" si="79"/>
        <v>109.12561179749345</v>
      </c>
    </row>
    <row r="148" spans="1:11" x14ac:dyDescent="0.2">
      <c r="A148" t="str">
        <f ca="1">OFFSET(Southland_Reference,0,2)</f>
        <v>Pedestrian</v>
      </c>
      <c r="B148" s="4">
        <f ca="1">'Total Trip Tables Sup #2'!B148</f>
        <v>12.52065131</v>
      </c>
      <c r="C148" s="4">
        <f ca="1">'Total Trip Tables Sup #2'!C148</f>
        <v>12.872775157045314</v>
      </c>
      <c r="D148" s="4">
        <f ca="1">'Total Trip Tables Sup #2'!D148</f>
        <v>12.912712751382887</v>
      </c>
      <c r="E148" s="4">
        <f ca="1">'Total Trip Tables Sup #2'!E148</f>
        <v>12.890748601574996</v>
      </c>
      <c r="F148" s="4">
        <f ca="1">'Total Trip Tables Sup #2'!F148</f>
        <v>12.758705709658868</v>
      </c>
      <c r="G148" s="4">
        <f ca="1">'Total Trip Tables Sup #2'!G148</f>
        <v>12.567725322861101</v>
      </c>
      <c r="H148" s="4">
        <f ca="1">'Total Trip Tables Sup #2'!H148</f>
        <v>12.326327799191024</v>
      </c>
      <c r="I148" s="1">
        <f ca="1">'Total Trip Tables Sup #2'!I148</f>
        <v>12.163860414742775</v>
      </c>
      <c r="J148" s="1">
        <f ca="1">'Total Trip Tables Sup #2'!J148</f>
        <v>11.965474009260253</v>
      </c>
      <c r="K148" s="1">
        <f ca="1">'Total Trip Tables Sup #2'!K148</f>
        <v>11.745164944438363</v>
      </c>
    </row>
    <row r="149" spans="1:11" x14ac:dyDescent="0.2">
      <c r="A149" t="str">
        <f ca="1">OFFSET(Southland_Reference,7,2)</f>
        <v>Cyclist</v>
      </c>
      <c r="B149" s="4">
        <f ca="1">'Total Trip Tables Sup #2'!B149</f>
        <v>1.0312878256</v>
      </c>
      <c r="C149" s="4">
        <f ca="1">'Total Trip Tables Sup #2'!C149</f>
        <v>1.0582802164289684</v>
      </c>
      <c r="D149" s="4">
        <f ca="1">'Total Trip Tables Sup #2'!D149</f>
        <v>1.0528906029441518</v>
      </c>
      <c r="E149" s="4">
        <f ca="1">'Total Trip Tables Sup #2'!E149</f>
        <v>1.0419240476723208</v>
      </c>
      <c r="F149" s="4">
        <f ca="1">'Total Trip Tables Sup #2'!F149</f>
        <v>1.0295455162231899</v>
      </c>
      <c r="G149" s="4">
        <f ca="1">'Total Trip Tables Sup #2'!G149</f>
        <v>1.0153238502381425</v>
      </c>
      <c r="H149" s="4">
        <f ca="1">'Total Trip Tables Sup #2'!H149</f>
        <v>0.99919325723976449</v>
      </c>
      <c r="I149" s="1">
        <f ca="1">'Total Trip Tables Sup #2'!I149</f>
        <v>0.99164540397750012</v>
      </c>
      <c r="J149" s="1">
        <f ca="1">'Total Trip Tables Sup #2'!J149</f>
        <v>0.98112066927081965</v>
      </c>
      <c r="K149" s="1">
        <f ca="1">'Total Trip Tables Sup #2'!K149</f>
        <v>0.96871774263807697</v>
      </c>
    </row>
    <row r="150" spans="1:11" x14ac:dyDescent="0.2">
      <c r="A150" t="str">
        <f ca="1">OFFSET(Southland_Reference,14,2)</f>
        <v>Light Vehicle Driver</v>
      </c>
      <c r="B150" s="4">
        <f ca="1">'Total Trip Tables Sup #2'!B150</f>
        <v>66.981547285000005</v>
      </c>
      <c r="C150" s="4">
        <f ca="1">'Total Trip Tables Sup #2'!C150*(1-'Other Assumptions'!G19)</f>
        <v>70.724439206384801</v>
      </c>
      <c r="D150" s="4">
        <f ca="1">'Total Trip Tables Sup #2'!D150*(1-'Other Assumptions'!H19)</f>
        <v>72.125383012025665</v>
      </c>
      <c r="E150" s="4">
        <f ca="1">'Total Trip Tables Sup #2'!E150*(1-'Other Assumptions'!I19)</f>
        <v>68.908077029821541</v>
      </c>
      <c r="F150" s="4">
        <f ca="1">'Total Trip Tables Sup #2'!F150*(1-'Other Assumptions'!J19)</f>
        <v>65.37475917029127</v>
      </c>
      <c r="G150" s="4">
        <f ca="1">'Total Trip Tables Sup #2'!G150*(1-'Other Assumptions'!K19)</f>
        <v>61.218080839875043</v>
      </c>
      <c r="H150" s="4">
        <f ca="1">'Total Trip Tables Sup #2'!H150*(1-'Other Assumptions'!L19)</f>
        <v>56.887846307836185</v>
      </c>
      <c r="I150" s="1">
        <f ca="1">'Total Trip Tables Sup #2'!I150*(1-'Other Assumptions'!M19)</f>
        <v>52.648226204833406</v>
      </c>
      <c r="J150" s="1">
        <f ca="1">'Total Trip Tables Sup #2'!J150*(1-'Other Assumptions'!N19)</f>
        <v>48.35374459936282</v>
      </c>
      <c r="K150" s="1">
        <f ca="1">'Total Trip Tables Sup #2'!K150*(1-'Other Assumptions'!O19)</f>
        <v>44.088143430567747</v>
      </c>
    </row>
    <row r="151" spans="1:11" x14ac:dyDescent="0.2">
      <c r="A151" t="str">
        <f ca="1">OFFSET(Southland_Reference,21,2)</f>
        <v>Light Vehicle Passenger</v>
      </c>
      <c r="B151" s="4">
        <f ca="1">'Total Trip Tables Sup #2'!B151</f>
        <v>28.419434702000007</v>
      </c>
      <c r="C151" s="4">
        <f ca="1">'Total Trip Tables Sup #2'!C151*(1-'Other Assumptions'!G19)</f>
        <v>28.542596201191994</v>
      </c>
      <c r="D151" s="4">
        <f ca="1">'Total Trip Tables Sup #2'!D151*(1-'Other Assumptions'!H19)</f>
        <v>28.236730499091948</v>
      </c>
      <c r="E151" s="4">
        <f ca="1">'Total Trip Tables Sup #2'!E151*(1-'Other Assumptions'!I19)</f>
        <v>26.428010622243267</v>
      </c>
      <c r="F151" s="4">
        <f ca="1">'Total Trip Tables Sup #2'!F151*(1-'Other Assumptions'!J19)</f>
        <v>24.628723124772741</v>
      </c>
      <c r="G151" s="4">
        <f ca="1">'Total Trip Tables Sup #2'!G151*(1-'Other Assumptions'!K19)</f>
        <v>22.766427373332302</v>
      </c>
      <c r="H151" s="4">
        <f ca="1">'Total Trip Tables Sup #2'!H151*(1-'Other Assumptions'!L19)</f>
        <v>20.862979600262701</v>
      </c>
      <c r="I151" s="1">
        <f ca="1">'Total Trip Tables Sup #2'!I151*(1-'Other Assumptions'!M19)</f>
        <v>19.308302234732825</v>
      </c>
      <c r="J151" s="1">
        <f ca="1">'Total Trip Tables Sup #2'!J151*(1-'Other Assumptions'!N19)</f>
        <v>17.733408905953905</v>
      </c>
      <c r="K151" s="1">
        <f ca="1">'Total Trip Tables Sup #2'!K151*(1-'Other Assumptions'!O19)</f>
        <v>16.169029588610808</v>
      </c>
    </row>
    <row r="152" spans="1:11" x14ac:dyDescent="0.2">
      <c r="A152" t="str">
        <f ca="1">OFFSET(Southland_Reference,28,2)</f>
        <v>Taxi/Vehicle Share</v>
      </c>
      <c r="B152" s="4">
        <f ca="1">'Total Trip Tables Sup #2'!B152</f>
        <v>0.47613164409999997</v>
      </c>
      <c r="C152" s="4">
        <f ca="1">'Total Trip Tables Sup #2'!C152+((C150+C151)*'Other Assumptions'!G19/(1-'Other Assumptions'!G19))</f>
        <v>0.52541739030509982</v>
      </c>
      <c r="D152" s="4">
        <f ca="1">'Total Trip Tables Sup #2'!D152+((D150+D151)*'Other Assumptions'!H19/(1-'Other Assumptions'!H19))</f>
        <v>0.5562968548052174</v>
      </c>
      <c r="E152" s="4">
        <f ca="1">'Total Trip Tables Sup #2'!E152+((E150+E151)*'Other Assumptions'!I19/(1-'Other Assumptions'!I19))</f>
        <v>5.6011460275639751</v>
      </c>
      <c r="F152" s="4">
        <f ca="1">'Total Trip Tables Sup #2'!F152+((F150+F151)*'Other Assumptions'!J19/(1-'Other Assumptions'!J19))</f>
        <v>10.604544938758888</v>
      </c>
      <c r="G152" s="4">
        <f ca="1">'Total Trip Tables Sup #2'!G152+((G150+G151)*'Other Assumptions'!K19/(1-'Other Assumptions'!K19))</f>
        <v>15.436780425190461</v>
      </c>
      <c r="H152" s="4">
        <f ca="1">'Total Trip Tables Sup #2'!H152+((H150+H151)*'Other Assumptions'!L19/(1-'Other Assumptions'!L19))</f>
        <v>20.063257349972766</v>
      </c>
      <c r="I152" s="1">
        <f ca="1">'Total Trip Tables Sup #2'!I152+((I150+I151)*'Other Assumptions'!M19/(1-'Other Assumptions'!M19))</f>
        <v>24.602041642938925</v>
      </c>
      <c r="J152" s="1">
        <f ca="1">'Total Trip Tables Sup #2'!J152+((J150+J151)*'Other Assumptions'!N19/(1-'Other Assumptions'!N19))</f>
        <v>28.928753666452256</v>
      </c>
      <c r="K152" s="1">
        <f ca="1">'Total Trip Tables Sup #2'!K152+((K150+K151)*'Other Assumptions'!O19/(1-'Other Assumptions'!O19))</f>
        <v>33.039905703444255</v>
      </c>
    </row>
    <row r="153" spans="1:11" x14ac:dyDescent="0.2">
      <c r="A153" t="str">
        <f ca="1">OFFSET(Southland_Reference,35,2)</f>
        <v>Motorcyclist</v>
      </c>
      <c r="B153" s="4">
        <f ca="1">'Total Trip Tables Sup #2'!B153</f>
        <v>0.62652592730000001</v>
      </c>
      <c r="C153" s="4">
        <f ca="1">'Total Trip Tables Sup #2'!C153</f>
        <v>0.64968815336851482</v>
      </c>
      <c r="D153" s="4">
        <f ca="1">'Total Trip Tables Sup #2'!D153</f>
        <v>0.6520840468925827</v>
      </c>
      <c r="E153" s="4">
        <f ca="1">'Total Trip Tables Sup #2'!E153</f>
        <v>0.64558413045122598</v>
      </c>
      <c r="F153" s="4">
        <f ca="1">'Total Trip Tables Sup #2'!F153</f>
        <v>0.63614106370184542</v>
      </c>
      <c r="G153" s="4">
        <f ca="1">'Total Trip Tables Sup #2'!G153</f>
        <v>0.61595145983919919</v>
      </c>
      <c r="H153" s="4">
        <f ca="1">'Total Trip Tables Sup #2'!H153</f>
        <v>0.59308335436436876</v>
      </c>
      <c r="I153" s="1">
        <f ca="1">'Total Trip Tables Sup #2'!I153</f>
        <v>0.58856053750351089</v>
      </c>
      <c r="J153" s="1">
        <f ca="1">'Total Trip Tables Sup #2'!J153</f>
        <v>0.58222361249099075</v>
      </c>
      <c r="K153" s="1">
        <f ca="1">'Total Trip Tables Sup #2'!K153</f>
        <v>0.5747256802784585</v>
      </c>
    </row>
    <row r="154" spans="1:11" x14ac:dyDescent="0.2">
      <c r="A154" t="str">
        <f ca="1">OFFSET(Canterbury_Reference,42,2)</f>
        <v>Local Train</v>
      </c>
      <c r="B154" s="4">
        <f ca="1">'Total Trip Tables Sup #2'!B154</f>
        <v>0</v>
      </c>
      <c r="C154" s="4">
        <f ca="1">'Total Trip Tables Sup #2'!C154</f>
        <v>0</v>
      </c>
      <c r="D154" s="4">
        <f ca="1">'Total Trip Tables Sup #2'!D154</f>
        <v>0</v>
      </c>
      <c r="E154" s="4">
        <f ca="1">'Total Trip Tables Sup #2'!E154</f>
        <v>0</v>
      </c>
      <c r="F154" s="4">
        <f ca="1">'Total Trip Tables Sup #2'!F154</f>
        <v>0</v>
      </c>
      <c r="G154" s="4">
        <f ca="1">'Total Trip Tables Sup #2'!G154</f>
        <v>0</v>
      </c>
      <c r="H154" s="4">
        <f ca="1">'Total Trip Tables Sup #2'!H154</f>
        <v>0</v>
      </c>
      <c r="I154" s="1">
        <f ca="1">'Total Trip Tables Sup #2'!I154</f>
        <v>0</v>
      </c>
      <c r="J154" s="1">
        <f ca="1">'Total Trip Tables Sup #2'!J154</f>
        <v>0</v>
      </c>
      <c r="K154" s="1">
        <f ca="1">'Total Trip Tables Sup #2'!K154</f>
        <v>0</v>
      </c>
    </row>
    <row r="155" spans="1:11" x14ac:dyDescent="0.2">
      <c r="A155" t="str">
        <f ca="1">OFFSET(Southland_Reference,42,2)</f>
        <v>Local Bus</v>
      </c>
      <c r="B155" s="4">
        <f ca="1">'Total Trip Tables Sup #2'!B155</f>
        <v>2.6369167839999998</v>
      </c>
      <c r="C155" s="4">
        <f ca="1">'Total Trip Tables Sup #2'!C155</f>
        <v>2.5372973600147541</v>
      </c>
      <c r="D155" s="4">
        <f ca="1">'Total Trip Tables Sup #2'!D155</f>
        <v>2.4361171105021926</v>
      </c>
      <c r="E155" s="4">
        <f ca="1">'Total Trip Tables Sup #2'!E155</f>
        <v>2.3689498296540421</v>
      </c>
      <c r="F155" s="4">
        <f ca="1">'Total Trip Tables Sup #2'!F155</f>
        <v>2.2820359612549761</v>
      </c>
      <c r="G155" s="4">
        <f ca="1">'Total Trip Tables Sup #2'!G155</f>
        <v>2.2135234114364466</v>
      </c>
      <c r="H155" s="4">
        <f ca="1">'Total Trip Tables Sup #2'!H155</f>
        <v>2.1365561897937022</v>
      </c>
      <c r="I155" s="1">
        <f ca="1">'Total Trip Tables Sup #2'!I155</f>
        <v>2.1107097097367067</v>
      </c>
      <c r="J155" s="1">
        <f ca="1">'Total Trip Tables Sup #2'!J155</f>
        <v>2.0785509839471592</v>
      </c>
      <c r="K155" s="1">
        <f ca="1">'Total Trip Tables Sup #2'!K155</f>
        <v>2.0424951751977796</v>
      </c>
    </row>
    <row r="156" spans="1:11" x14ac:dyDescent="0.2">
      <c r="A156" t="str">
        <f ca="1">OFFSET(Wellington_Reference,56,2)</f>
        <v>Local Ferry</v>
      </c>
      <c r="B156" s="4">
        <f ca="1">'Total Trip Tables Sup #2'!B156</f>
        <v>0</v>
      </c>
      <c r="C156" s="4">
        <f ca="1">'Total Trip Tables Sup #2'!C156</f>
        <v>0</v>
      </c>
      <c r="D156" s="4">
        <f ca="1">'Total Trip Tables Sup #2'!D156</f>
        <v>0</v>
      </c>
      <c r="E156" s="4">
        <f ca="1">'Total Trip Tables Sup #2'!E156</f>
        <v>0</v>
      </c>
      <c r="F156" s="4">
        <f ca="1">'Total Trip Tables Sup #2'!F156</f>
        <v>0</v>
      </c>
      <c r="G156" s="4">
        <f ca="1">'Total Trip Tables Sup #2'!G156</f>
        <v>0</v>
      </c>
      <c r="H156" s="4">
        <f ca="1">'Total Trip Tables Sup #2'!H156</f>
        <v>0</v>
      </c>
      <c r="I156" s="1">
        <f ca="1">'Total Trip Tables Sup #2'!I156</f>
        <v>0</v>
      </c>
      <c r="J156" s="1">
        <f ca="1">'Total Trip Tables Sup #2'!J156</f>
        <v>0</v>
      </c>
      <c r="K156" s="1">
        <f ca="1">'Total Trip Tables Sup #2'!K156</f>
        <v>0</v>
      </c>
    </row>
    <row r="157" spans="1:11" x14ac:dyDescent="0.2">
      <c r="A157" t="str">
        <f ca="1">OFFSET(Southland_Reference,49,2)</f>
        <v>Other Household Travel</v>
      </c>
      <c r="B157" s="4">
        <f ca="1">'Total Trip Tables Sup #2'!B157</f>
        <v>0.42937289560000003</v>
      </c>
      <c r="C157" s="4">
        <f ca="1">'Total Trip Tables Sup #2'!C157</f>
        <v>0.44717636720736892</v>
      </c>
      <c r="D157" s="4">
        <f ca="1">'Total Trip Tables Sup #2'!D157</f>
        <v>0.46046142362758435</v>
      </c>
      <c r="E157" s="4">
        <f ca="1">'Total Trip Tables Sup #2'!E157</f>
        <v>0.47553482162602778</v>
      </c>
      <c r="F157" s="4">
        <f ca="1">'Total Trip Tables Sup #2'!F157</f>
        <v>0.49090671865079061</v>
      </c>
      <c r="G157" s="4">
        <f ca="1">'Total Trip Tables Sup #2'!G157</f>
        <v>0.50588291185399303</v>
      </c>
      <c r="H157" s="4">
        <f ca="1">'Total Trip Tables Sup #2'!H157</f>
        <v>0.51658679584327527</v>
      </c>
      <c r="I157" s="1">
        <f ca="1">'Total Trip Tables Sup #2'!I157</f>
        <v>0.51155935868950175</v>
      </c>
      <c r="J157" s="1">
        <f ca="1">'Total Trip Tables Sup #2'!J157</f>
        <v>0.50498158026414763</v>
      </c>
      <c r="K157" s="1">
        <f ca="1">'Total Trip Tables Sup #2'!K157</f>
        <v>0.49742953231793335</v>
      </c>
    </row>
    <row r="158" spans="1:11" x14ac:dyDescent="0.2">
      <c r="A158" t="s">
        <v>19</v>
      </c>
      <c r="B158" s="4">
        <f ca="1">SUM(B159:B168)</f>
        <v>5872.3739973896008</v>
      </c>
      <c r="C158" s="4">
        <f t="shared" ref="C158" ca="1" si="80">SUM(C159:C168)</f>
        <v>6445.8428522366657</v>
      </c>
      <c r="D158" s="4">
        <f t="shared" ref="D158" ca="1" si="81">SUM(D159:D168)</f>
        <v>6830.6435172539677</v>
      </c>
      <c r="E158" s="4">
        <f t="shared" ref="E158" ca="1" si="82">SUM(E159:E168)</f>
        <v>7099.2398483476827</v>
      </c>
      <c r="F158" s="4">
        <f t="shared" ref="F158" ca="1" si="83">SUM(F159:F168)</f>
        <v>7329.8929063479072</v>
      </c>
      <c r="G158" s="4">
        <f t="shared" ref="G158" ca="1" si="84">SUM(G159:G168)</f>
        <v>7506.9675932161153</v>
      </c>
      <c r="H158" s="4">
        <f t="shared" ref="H158:K158" ca="1" si="85">SUM(H159:H168)</f>
        <v>7650.964517306541</v>
      </c>
      <c r="I158" s="1">
        <f t="shared" ca="1" si="85"/>
        <v>7834.2010092183118</v>
      </c>
      <c r="J158" s="1">
        <f t="shared" ca="1" si="85"/>
        <v>7999.2825343867589</v>
      </c>
      <c r="K158" s="1">
        <f t="shared" ca="1" si="85"/>
        <v>8153.4699002422403</v>
      </c>
    </row>
    <row r="159" spans="1:11" x14ac:dyDescent="0.2">
      <c r="A159" t="str">
        <f t="shared" ref="A159:A165" ca="1" si="86">A5</f>
        <v>Pedestrian</v>
      </c>
      <c r="B159" s="4">
        <f t="shared" ref="B159:H165" ca="1" si="87">B5+B16+B27+B38+B49+B60+B71+B82+B93+B104+B115+B126+B137+B148</f>
        <v>986.56972308989998</v>
      </c>
      <c r="C159" s="4">
        <f t="shared" ca="1" si="87"/>
        <v>1073.6198182936364</v>
      </c>
      <c r="D159" s="4">
        <f t="shared" ca="1" si="87"/>
        <v>1130.7333891161184</v>
      </c>
      <c r="E159" s="4">
        <f t="shared" ca="1" si="87"/>
        <v>1172.9569087793589</v>
      </c>
      <c r="F159" s="4">
        <f t="shared" ca="1" si="87"/>
        <v>1204.5846974588258</v>
      </c>
      <c r="G159" s="4">
        <f t="shared" ca="1" si="87"/>
        <v>1230.451485138364</v>
      </c>
      <c r="H159" s="4">
        <f t="shared" ca="1" si="87"/>
        <v>1250.8181961320252</v>
      </c>
      <c r="I159" s="1">
        <f t="shared" ref="I159:K159" ca="1" si="88">I5+I16+I27+I38+I49+I60+I71+I82+I93+I104+I115+I126+I137+I148</f>
        <v>1279.8346912772508</v>
      </c>
      <c r="J159" s="1">
        <f t="shared" ca="1" si="88"/>
        <v>1305.7555422762002</v>
      </c>
      <c r="K159" s="1">
        <f t="shared" ca="1" si="88"/>
        <v>1329.7350181029074</v>
      </c>
    </row>
    <row r="160" spans="1:11" x14ac:dyDescent="0.2">
      <c r="A160" t="str">
        <f t="shared" ca="1" si="86"/>
        <v>Cyclist</v>
      </c>
      <c r="B160" s="4">
        <f t="shared" ca="1" si="87"/>
        <v>71.074316198400012</v>
      </c>
      <c r="C160" s="4">
        <f t="shared" ca="1" si="87"/>
        <v>76.60247437409123</v>
      </c>
      <c r="D160" s="4">
        <f t="shared" ca="1" si="87"/>
        <v>79.445939870141615</v>
      </c>
      <c r="E160" s="4">
        <f t="shared" ca="1" si="87"/>
        <v>81.158139317684345</v>
      </c>
      <c r="F160" s="4">
        <f t="shared" ca="1" si="87"/>
        <v>82.70501152108649</v>
      </c>
      <c r="G160" s="4">
        <f t="shared" ca="1" si="87"/>
        <v>84.108531023583907</v>
      </c>
      <c r="H160" s="4">
        <f t="shared" ca="1" si="87"/>
        <v>85.333527754166965</v>
      </c>
      <c r="I160" s="1">
        <f t="shared" ref="I160:K160" ca="1" si="89">I6+I17+I28+I39+I50+I61+I72+I83+I94+I105+I116+I127+I138+I149</f>
        <v>87.329085980245878</v>
      </c>
      <c r="J160" s="1">
        <f t="shared" ca="1" si="89"/>
        <v>89.11572294799879</v>
      </c>
      <c r="K160" s="1">
        <f t="shared" ca="1" si="89"/>
        <v>90.772684651963203</v>
      </c>
    </row>
    <row r="161" spans="1:11" x14ac:dyDescent="0.2">
      <c r="A161" t="str">
        <f t="shared" ca="1" si="86"/>
        <v>Light Vehicle Driver</v>
      </c>
      <c r="B161" s="4">
        <f t="shared" ca="1" si="87"/>
        <v>3093.3887589700003</v>
      </c>
      <c r="C161" s="4">
        <f t="shared" ca="1" si="87"/>
        <v>3451.9126429557095</v>
      </c>
      <c r="D161" s="4">
        <f t="shared" ca="1" si="87"/>
        <v>3688.5253834191044</v>
      </c>
      <c r="E161" s="4">
        <f t="shared" ca="1" si="87"/>
        <v>3655.502287454442</v>
      </c>
      <c r="F161" s="4">
        <f t="shared" ca="1" si="87"/>
        <v>3594.3141710926052</v>
      </c>
      <c r="G161" s="4">
        <f t="shared" ca="1" si="87"/>
        <v>3486.2050288146684</v>
      </c>
      <c r="H161" s="4">
        <f t="shared" ca="1" si="87"/>
        <v>3353.8887818703088</v>
      </c>
      <c r="I161" s="1">
        <f t="shared" ref="I161:K161" ca="1" si="90">I7+I18+I29+I40+I51+I62+I73+I84+I95+I106+I117+I128+I139+I150</f>
        <v>3215.0342807183465</v>
      </c>
      <c r="J161" s="1">
        <f t="shared" ca="1" si="90"/>
        <v>3059.2317835186782</v>
      </c>
      <c r="K161" s="1">
        <f t="shared" ca="1" si="90"/>
        <v>2890.5335925523445</v>
      </c>
    </row>
    <row r="162" spans="1:11" x14ac:dyDescent="0.2">
      <c r="A162" t="str">
        <f t="shared" ca="1" si="86"/>
        <v>Light Vehicle Passenger</v>
      </c>
      <c r="B162" s="4">
        <f t="shared" ca="1" si="87"/>
        <v>1512.9377645670002</v>
      </c>
      <c r="C162" s="4">
        <f t="shared" ca="1" si="87"/>
        <v>1602.7055798945898</v>
      </c>
      <c r="D162" s="4">
        <f t="shared" ca="1" si="87"/>
        <v>1657.3245797037657</v>
      </c>
      <c r="E162" s="4">
        <f t="shared" ca="1" si="87"/>
        <v>1605.5936012031664</v>
      </c>
      <c r="F162" s="4">
        <f t="shared" ca="1" si="87"/>
        <v>1548.482277092015</v>
      </c>
      <c r="G162" s="4">
        <f t="shared" ca="1" si="87"/>
        <v>1480.3300631815007</v>
      </c>
      <c r="H162" s="4">
        <f t="shared" ca="1" si="87"/>
        <v>1402.0505302625229</v>
      </c>
      <c r="I162" s="1">
        <f t="shared" ref="I162:K162" ca="1" si="91">I8+I19+I30+I41+I52+I63+I74+I85+I96+I107+I118+I129+I140+I151</f>
        <v>1342.3941937098834</v>
      </c>
      <c r="J162" s="1">
        <f t="shared" ca="1" si="91"/>
        <v>1275.6767581206395</v>
      </c>
      <c r="K162" s="1">
        <f t="shared" ca="1" si="91"/>
        <v>1203.5817900335851</v>
      </c>
    </row>
    <row r="163" spans="1:11" x14ac:dyDescent="0.2">
      <c r="A163" t="str">
        <f t="shared" ca="1" si="86"/>
        <v>Taxi/Vehicle Share</v>
      </c>
      <c r="B163" s="4">
        <f t="shared" ca="1" si="87"/>
        <v>15.600131729099999</v>
      </c>
      <c r="C163" s="4">
        <f t="shared" ca="1" si="87"/>
        <v>18.249639714150629</v>
      </c>
      <c r="D163" s="4">
        <f t="shared" ca="1" si="87"/>
        <v>20.325271488109504</v>
      </c>
      <c r="E163" s="4">
        <f t="shared" ca="1" si="87"/>
        <v>299.08343890969951</v>
      </c>
      <c r="F163" s="4">
        <f t="shared" ca="1" si="87"/>
        <v>595.29012808758159</v>
      </c>
      <c r="G163" s="4">
        <f t="shared" ca="1" si="87"/>
        <v>901.71922559131463</v>
      </c>
      <c r="H163" s="4">
        <f t="shared" ca="1" si="87"/>
        <v>1215.6238284615906</v>
      </c>
      <c r="I163" s="1">
        <f t="shared" ref="I163:K163" ca="1" si="92">I9+I20+I31+I42+I53+I64+I75+I86+I97+I108+I119+I130+I141+I152</f>
        <v>1546.4047887767258</v>
      </c>
      <c r="J163" s="1">
        <f t="shared" ca="1" si="92"/>
        <v>1885.6376539136079</v>
      </c>
      <c r="K163" s="1">
        <f t="shared" ca="1" si="92"/>
        <v>2232.860637187267</v>
      </c>
    </row>
    <row r="164" spans="1:11" x14ac:dyDescent="0.2">
      <c r="A164" t="str">
        <f t="shared" ca="1" si="86"/>
        <v>Motorcyclist</v>
      </c>
      <c r="B164" s="4">
        <f t="shared" ca="1" si="87"/>
        <v>19.272283824500001</v>
      </c>
      <c r="C164" s="4">
        <f t="shared" ca="1" si="87"/>
        <v>20.958960855400978</v>
      </c>
      <c r="D164" s="4">
        <f t="shared" ca="1" si="87"/>
        <v>21.924498747982415</v>
      </c>
      <c r="E164" s="4">
        <f t="shared" ca="1" si="87"/>
        <v>22.42527387253476</v>
      </c>
      <c r="F164" s="4">
        <f t="shared" ca="1" si="87"/>
        <v>22.798616293211936</v>
      </c>
      <c r="G164" s="4">
        <f t="shared" ca="1" si="87"/>
        <v>22.767409504608256</v>
      </c>
      <c r="H164" s="4">
        <f t="shared" ca="1" si="87"/>
        <v>22.600297816488002</v>
      </c>
      <c r="I164" s="1">
        <f t="shared" ref="I164:K164" ca="1" si="93">I10+I21+I32+I43+I54+I65+I76+I87+I98+I109+I120+I131+I142+I153</f>
        <v>23.128814700841499</v>
      </c>
      <c r="J164" s="1">
        <f t="shared" ca="1" si="93"/>
        <v>23.601999492609249</v>
      </c>
      <c r="K164" s="1">
        <f t="shared" ca="1" si="93"/>
        <v>24.040840226909975</v>
      </c>
    </row>
    <row r="165" spans="1:11" x14ac:dyDescent="0.2">
      <c r="A165" t="str">
        <f t="shared" ca="1" si="86"/>
        <v>Local Train</v>
      </c>
      <c r="B165" s="4">
        <f t="shared" ca="1" si="87"/>
        <v>22.430707243099999</v>
      </c>
      <c r="C165" s="4">
        <f t="shared" ca="1" si="87"/>
        <v>36.652109341131343</v>
      </c>
      <c r="D165" s="4">
        <f t="shared" ca="1" si="87"/>
        <v>55.448277464388077</v>
      </c>
      <c r="E165" s="4">
        <f t="shared" ca="1" si="87"/>
        <v>74.05647660974482</v>
      </c>
      <c r="F165" s="4">
        <f t="shared" ca="1" si="87"/>
        <v>83.746327258134443</v>
      </c>
      <c r="G165" s="4">
        <f t="shared" ca="1" si="87"/>
        <v>93.434496990724071</v>
      </c>
      <c r="H165" s="4">
        <f t="shared" ca="1" si="87"/>
        <v>103.12282126621369</v>
      </c>
      <c r="I165" s="1">
        <f t="shared" ref="I165:K165" ca="1" si="94">I11+I22+I33+I44+I55+I66+I77+I88+I99+I110+I121+I132+I143+I154</f>
        <v>112.82130063341162</v>
      </c>
      <c r="J165" s="1">
        <f t="shared" ca="1" si="94"/>
        <v>123.0776560341649</v>
      </c>
      <c r="K165" s="1">
        <f t="shared" ca="1" si="94"/>
        <v>134.29633848053277</v>
      </c>
    </row>
    <row r="166" spans="1:11" x14ac:dyDescent="0.2">
      <c r="A166" t="s">
        <v>20</v>
      </c>
      <c r="B166" s="4">
        <f t="shared" ref="B166:H166" ca="1" si="95">B12+B23+B34+B45+B56+B67+B78+B89+B100+B111+B122+B133+B144+B155</f>
        <v>135.14312241190001</v>
      </c>
      <c r="C166" s="4">
        <f t="shared" ca="1" si="95"/>
        <v>147.17167814069674</v>
      </c>
      <c r="D166" s="4">
        <f t="shared" ca="1" si="95"/>
        <v>157.26353227457361</v>
      </c>
      <c r="E166" s="4">
        <f t="shared" ca="1" si="95"/>
        <v>167.321355424339</v>
      </c>
      <c r="F166" s="4">
        <f t="shared" ca="1" si="95"/>
        <v>175.36791086076596</v>
      </c>
      <c r="G166" s="4">
        <f t="shared" ca="1" si="95"/>
        <v>183.65209409221364</v>
      </c>
      <c r="H166" s="4">
        <f t="shared" ca="1" si="95"/>
        <v>191.64561236018551</v>
      </c>
      <c r="I166" s="1">
        <f t="shared" ref="I166:K166" ca="1" si="96">I12+I23+I34+I45+I56+I67+I78+I89+I100+I111+I122+I133+I144+I155</f>
        <v>200.76363925033121</v>
      </c>
      <c r="J166" s="1">
        <f t="shared" ca="1" si="96"/>
        <v>210.14922791363301</v>
      </c>
      <c r="K166" s="1">
        <f t="shared" ca="1" si="96"/>
        <v>220.1061365829124</v>
      </c>
    </row>
    <row r="167" spans="1:11" x14ac:dyDescent="0.2">
      <c r="A167" t="str">
        <f ca="1">A13</f>
        <v>Local Ferry</v>
      </c>
      <c r="B167" s="4">
        <f t="shared" ref="B167:H168" ca="1" si="97">B13+B24+B35+B46+B57+B68+B79+B90+B101+B112+B123+B134+B145+B156</f>
        <v>5.5972504476000005</v>
      </c>
      <c r="C167" s="4">
        <f t="shared" ca="1" si="97"/>
        <v>6.5941005395245327</v>
      </c>
      <c r="D167" s="4">
        <f t="shared" ca="1" si="97"/>
        <v>7.4025319999247534</v>
      </c>
      <c r="E167" s="4">
        <f t="shared" ca="1" si="97"/>
        <v>8.0403433172817707</v>
      </c>
      <c r="F167" s="4">
        <f t="shared" ca="1" si="97"/>
        <v>8.6162883196469426</v>
      </c>
      <c r="G167" s="4">
        <f t="shared" ca="1" si="97"/>
        <v>9.400088531956472</v>
      </c>
      <c r="H167" s="4">
        <f t="shared" ca="1" si="97"/>
        <v>10.162391615638057</v>
      </c>
      <c r="I167" s="1">
        <f t="shared" ref="I167:K167" ca="1" si="98">I13+I24+I35+I46+I57+I68+I79+I90+I101+I112+I123+I134+I145+I156</f>
        <v>10.404100381450599</v>
      </c>
      <c r="J167" s="1">
        <f t="shared" ca="1" si="98"/>
        <v>10.620975882797582</v>
      </c>
      <c r="K167" s="1">
        <f t="shared" ca="1" si="98"/>
        <v>10.822433967145393</v>
      </c>
    </row>
    <row r="168" spans="1:11" x14ac:dyDescent="0.2">
      <c r="A168" t="str">
        <f ca="1">A14</f>
        <v>Other Household Travel</v>
      </c>
      <c r="B168" s="4">
        <f t="shared" ca="1" si="97"/>
        <v>10.3599389081</v>
      </c>
      <c r="C168" s="4">
        <f t="shared" ca="1" si="97"/>
        <v>11.375848127736301</v>
      </c>
      <c r="D168" s="4">
        <f t="shared" ca="1" si="97"/>
        <v>12.250113169860033</v>
      </c>
      <c r="E168" s="4">
        <f t="shared" ca="1" si="97"/>
        <v>13.102023459430546</v>
      </c>
      <c r="F168" s="4">
        <f t="shared" ca="1" si="97"/>
        <v>13.9874783640348</v>
      </c>
      <c r="G168" s="4">
        <f t="shared" ca="1" si="97"/>
        <v>14.89917034718105</v>
      </c>
      <c r="H168" s="4">
        <f t="shared" ca="1" si="97"/>
        <v>15.718529767402815</v>
      </c>
      <c r="I168" s="1">
        <f t="shared" ref="I168:K168" ca="1" si="99">I14+I25+I36+I47+I58+I69+I80+I91+I102+I113+I124+I135+I146+I157</f>
        <v>16.086113789823298</v>
      </c>
      <c r="J168" s="1">
        <f t="shared" ca="1" si="99"/>
        <v>16.415214286430796</v>
      </c>
      <c r="K168" s="1">
        <f t="shared" ca="1" si="99"/>
        <v>16.720428456671627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2:O96"/>
  <sheetViews>
    <sheetView workbookViewId="0">
      <selection activeCell="A42" sqref="A42"/>
    </sheetView>
  </sheetViews>
  <sheetFormatPr defaultRowHeight="12.75" x14ac:dyDescent="0.2"/>
  <cols>
    <col min="1" max="1" width="49.42578125" customWidth="1"/>
    <col min="2" max="15" width="17.85546875" customWidth="1"/>
  </cols>
  <sheetData>
    <row r="2" spans="1:15" ht="13.5" thickBot="1" x14ac:dyDescent="0.25"/>
    <row r="3" spans="1:15" ht="16.5" thickTop="1" x14ac:dyDescent="0.25">
      <c r="A3" s="6" t="s">
        <v>57</v>
      </c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9"/>
    </row>
    <row r="4" spans="1:15" ht="13.5" thickBot="1" x14ac:dyDescent="0.25">
      <c r="A4" s="10"/>
      <c r="B4" s="11" t="s">
        <v>22</v>
      </c>
      <c r="C4" s="11" t="s">
        <v>23</v>
      </c>
      <c r="D4" s="11" t="s">
        <v>24</v>
      </c>
      <c r="E4" s="11" t="s">
        <v>118</v>
      </c>
      <c r="F4" s="11" t="s">
        <v>119</v>
      </c>
      <c r="G4" s="11" t="s">
        <v>25</v>
      </c>
      <c r="H4" s="11" t="s">
        <v>26</v>
      </c>
      <c r="I4" s="11" t="s">
        <v>27</v>
      </c>
      <c r="J4" s="11" t="s">
        <v>28</v>
      </c>
      <c r="K4" s="11" t="s">
        <v>29</v>
      </c>
      <c r="L4" s="11" t="s">
        <v>30</v>
      </c>
      <c r="M4" s="11" t="s">
        <v>120</v>
      </c>
      <c r="N4" s="11" t="s">
        <v>121</v>
      </c>
      <c r="O4" s="12" t="s">
        <v>122</v>
      </c>
    </row>
    <row r="5" spans="1:15" ht="14.25" thickTop="1" thickBot="1" x14ac:dyDescent="0.25">
      <c r="A5" s="13"/>
      <c r="B5" s="14" t="s">
        <v>31</v>
      </c>
      <c r="C5" s="14" t="s">
        <v>31</v>
      </c>
      <c r="D5" s="14" t="s">
        <v>31</v>
      </c>
      <c r="E5" s="14" t="s">
        <v>31</v>
      </c>
      <c r="F5" s="14" t="s">
        <v>31</v>
      </c>
      <c r="G5" s="14" t="s">
        <v>32</v>
      </c>
      <c r="H5" s="14" t="s">
        <v>32</v>
      </c>
      <c r="I5" s="14" t="s">
        <v>32</v>
      </c>
      <c r="J5" s="14" t="s">
        <v>32</v>
      </c>
      <c r="K5" s="14" t="s">
        <v>32</v>
      </c>
      <c r="L5" s="14" t="s">
        <v>32</v>
      </c>
      <c r="M5" s="14" t="s">
        <v>32</v>
      </c>
      <c r="N5" s="14" t="s">
        <v>32</v>
      </c>
      <c r="O5" s="15" t="s">
        <v>32</v>
      </c>
    </row>
    <row r="6" spans="1:15" ht="16.5" thickTop="1" x14ac:dyDescent="0.25">
      <c r="A6" s="16" t="s">
        <v>33</v>
      </c>
      <c r="B6" s="17">
        <f>'[4]Other Assumptions'!D6</f>
        <v>0</v>
      </c>
      <c r="C6" s="18">
        <f>'[4]Other Assumptions'!E6</f>
        <v>0</v>
      </c>
      <c r="D6" s="18">
        <f>'[4]Other Assumptions'!F6</f>
        <v>0</v>
      </c>
      <c r="E6" s="18">
        <f>'[4]Other Assumptions'!G6</f>
        <v>0</v>
      </c>
      <c r="F6" s="18">
        <f>'[4]Other Assumptions'!H6</f>
        <v>0</v>
      </c>
      <c r="G6" s="36">
        <f>'[4]Other Assumptions'!I6</f>
        <v>0</v>
      </c>
      <c r="H6" s="36">
        <f>'[4]Other Assumptions'!J6</f>
        <v>0</v>
      </c>
      <c r="I6" s="36">
        <f>'[4]Other Assumptions'!K6</f>
        <v>0.05</v>
      </c>
      <c r="J6" s="36">
        <f>'[4]Other Assumptions'!L6</f>
        <v>0.1</v>
      </c>
      <c r="K6" s="36">
        <f>'[4]Other Assumptions'!M6</f>
        <v>0.15</v>
      </c>
      <c r="L6" s="36">
        <f>'[4]Other Assumptions'!N6</f>
        <v>0.2</v>
      </c>
      <c r="M6" s="36">
        <f>'[4]Other Assumptions'!O6</f>
        <v>0.25</v>
      </c>
      <c r="N6" s="36">
        <f>'[4]Other Assumptions'!P6</f>
        <v>0.3</v>
      </c>
      <c r="O6" s="36">
        <f>'[4]Other Assumptions'!Q6</f>
        <v>0.35</v>
      </c>
    </row>
    <row r="7" spans="1:15" ht="15.75" x14ac:dyDescent="0.25">
      <c r="A7" s="16" t="s">
        <v>34</v>
      </c>
      <c r="B7" s="19">
        <f>'[4]Other Assumptions'!D7</f>
        <v>0</v>
      </c>
      <c r="C7" s="20">
        <f>'[4]Other Assumptions'!E7</f>
        <v>0</v>
      </c>
      <c r="D7" s="20">
        <f>'[4]Other Assumptions'!F7</f>
        <v>0</v>
      </c>
      <c r="E7" s="20">
        <f>'[4]Other Assumptions'!G7</f>
        <v>0</v>
      </c>
      <c r="F7" s="20">
        <f>'[4]Other Assumptions'!H7</f>
        <v>0</v>
      </c>
      <c r="G7" s="40">
        <f>'[4]Other Assumptions'!I7</f>
        <v>0</v>
      </c>
      <c r="H7" s="40">
        <f>'[4]Other Assumptions'!J7</f>
        <v>0</v>
      </c>
      <c r="I7" s="40">
        <f>'[4]Other Assumptions'!K7</f>
        <v>0.05</v>
      </c>
      <c r="J7" s="40">
        <f>'[4]Other Assumptions'!L7</f>
        <v>0.1</v>
      </c>
      <c r="K7" s="40">
        <f>'[4]Other Assumptions'!M7</f>
        <v>0.15</v>
      </c>
      <c r="L7" s="40">
        <f>'[4]Other Assumptions'!N7</f>
        <v>0.2</v>
      </c>
      <c r="M7" s="40">
        <f>'[4]Other Assumptions'!O7</f>
        <v>0.25</v>
      </c>
      <c r="N7" s="40">
        <f>'[4]Other Assumptions'!P7</f>
        <v>0.3</v>
      </c>
      <c r="O7" s="41">
        <f>'[4]Other Assumptions'!Q7</f>
        <v>0.35</v>
      </c>
    </row>
    <row r="8" spans="1:15" ht="15.75" x14ac:dyDescent="0.25">
      <c r="A8" s="16" t="s">
        <v>35</v>
      </c>
      <c r="B8" s="19">
        <f>'[4]Other Assumptions'!D8</f>
        <v>0</v>
      </c>
      <c r="C8" s="20">
        <f>'[4]Other Assumptions'!E8</f>
        <v>0</v>
      </c>
      <c r="D8" s="20">
        <f>'[4]Other Assumptions'!F8</f>
        <v>0</v>
      </c>
      <c r="E8" s="20">
        <f>'[4]Other Assumptions'!G8</f>
        <v>0</v>
      </c>
      <c r="F8" s="20">
        <f>'[4]Other Assumptions'!H8</f>
        <v>0</v>
      </c>
      <c r="G8" s="40">
        <f>'[4]Other Assumptions'!I8</f>
        <v>0</v>
      </c>
      <c r="H8" s="40">
        <f>'[4]Other Assumptions'!J8</f>
        <v>0</v>
      </c>
      <c r="I8" s="40">
        <f>'[4]Other Assumptions'!K8</f>
        <v>0.05</v>
      </c>
      <c r="J8" s="40">
        <f>'[4]Other Assumptions'!L8</f>
        <v>0.1</v>
      </c>
      <c r="K8" s="40">
        <f>'[4]Other Assumptions'!M8</f>
        <v>0.15</v>
      </c>
      <c r="L8" s="40">
        <f>'[4]Other Assumptions'!N8</f>
        <v>0.2</v>
      </c>
      <c r="M8" s="40">
        <f>'[4]Other Assumptions'!O8</f>
        <v>0.25</v>
      </c>
      <c r="N8" s="40">
        <f>'[4]Other Assumptions'!P8</f>
        <v>0.3</v>
      </c>
      <c r="O8" s="41">
        <f>'[4]Other Assumptions'!Q8</f>
        <v>0.35</v>
      </c>
    </row>
    <row r="9" spans="1:15" ht="15.75" x14ac:dyDescent="0.25">
      <c r="A9" s="16" t="s">
        <v>36</v>
      </c>
      <c r="B9" s="19">
        <f>'[4]Other Assumptions'!D9</f>
        <v>0</v>
      </c>
      <c r="C9" s="20">
        <f>'[4]Other Assumptions'!E9</f>
        <v>0</v>
      </c>
      <c r="D9" s="20">
        <f>'[4]Other Assumptions'!F9</f>
        <v>0</v>
      </c>
      <c r="E9" s="20">
        <f>'[4]Other Assumptions'!G9</f>
        <v>0</v>
      </c>
      <c r="F9" s="20">
        <f>'[4]Other Assumptions'!H9</f>
        <v>0</v>
      </c>
      <c r="G9" s="40">
        <f>'[4]Other Assumptions'!I9</f>
        <v>0</v>
      </c>
      <c r="H9" s="40">
        <f>'[4]Other Assumptions'!J9</f>
        <v>0</v>
      </c>
      <c r="I9" s="40">
        <f>'[4]Other Assumptions'!K9</f>
        <v>0.05</v>
      </c>
      <c r="J9" s="40">
        <f>'[4]Other Assumptions'!L9</f>
        <v>0.1</v>
      </c>
      <c r="K9" s="40">
        <f>'[4]Other Assumptions'!M9</f>
        <v>0.15</v>
      </c>
      <c r="L9" s="40">
        <f>'[4]Other Assumptions'!N9</f>
        <v>0.2</v>
      </c>
      <c r="M9" s="40">
        <f>'[4]Other Assumptions'!O9</f>
        <v>0.25</v>
      </c>
      <c r="N9" s="40">
        <f>'[4]Other Assumptions'!P9</f>
        <v>0.3</v>
      </c>
      <c r="O9" s="41">
        <f>'[4]Other Assumptions'!Q9</f>
        <v>0.35</v>
      </c>
    </row>
    <row r="10" spans="1:15" ht="15.75" x14ac:dyDescent="0.25">
      <c r="A10" s="16" t="s">
        <v>37</v>
      </c>
      <c r="B10" s="19">
        <f>'[4]Other Assumptions'!D10</f>
        <v>0</v>
      </c>
      <c r="C10" s="20">
        <f>'[4]Other Assumptions'!E10</f>
        <v>0</v>
      </c>
      <c r="D10" s="20">
        <f>'[4]Other Assumptions'!F10</f>
        <v>0</v>
      </c>
      <c r="E10" s="20">
        <f>'[4]Other Assumptions'!G10</f>
        <v>0</v>
      </c>
      <c r="F10" s="20">
        <f>'[4]Other Assumptions'!H10</f>
        <v>0</v>
      </c>
      <c r="G10" s="40">
        <f>'[4]Other Assumptions'!I10</f>
        <v>0</v>
      </c>
      <c r="H10" s="40">
        <f>'[4]Other Assumptions'!J10</f>
        <v>0</v>
      </c>
      <c r="I10" s="40">
        <f>'[4]Other Assumptions'!K10</f>
        <v>0.05</v>
      </c>
      <c r="J10" s="40">
        <f>'[4]Other Assumptions'!L10</f>
        <v>0.1</v>
      </c>
      <c r="K10" s="40">
        <f>'[4]Other Assumptions'!M10</f>
        <v>0.15</v>
      </c>
      <c r="L10" s="40">
        <f>'[4]Other Assumptions'!N10</f>
        <v>0.2</v>
      </c>
      <c r="M10" s="40">
        <f>'[4]Other Assumptions'!O10</f>
        <v>0.25</v>
      </c>
      <c r="N10" s="40">
        <f>'[4]Other Assumptions'!P10</f>
        <v>0.3</v>
      </c>
      <c r="O10" s="41">
        <f>'[4]Other Assumptions'!Q10</f>
        <v>0.35</v>
      </c>
    </row>
    <row r="11" spans="1:15" ht="15.75" x14ac:dyDescent="0.25">
      <c r="A11" s="16" t="s">
        <v>38</v>
      </c>
      <c r="B11" s="19">
        <f>'[4]Other Assumptions'!D11</f>
        <v>0</v>
      </c>
      <c r="C11" s="20">
        <f>'[4]Other Assumptions'!E11</f>
        <v>0</v>
      </c>
      <c r="D11" s="20">
        <f>'[4]Other Assumptions'!F11</f>
        <v>0</v>
      </c>
      <c r="E11" s="20">
        <f>'[4]Other Assumptions'!G11</f>
        <v>0</v>
      </c>
      <c r="F11" s="20">
        <f>'[4]Other Assumptions'!H11</f>
        <v>0</v>
      </c>
      <c r="G11" s="40">
        <f>'[4]Other Assumptions'!I11</f>
        <v>0</v>
      </c>
      <c r="H11" s="40">
        <f>'[4]Other Assumptions'!J11</f>
        <v>0</v>
      </c>
      <c r="I11" s="40">
        <f>'[4]Other Assumptions'!K11</f>
        <v>0.05</v>
      </c>
      <c r="J11" s="40">
        <f>'[4]Other Assumptions'!L11</f>
        <v>0.1</v>
      </c>
      <c r="K11" s="40">
        <f>'[4]Other Assumptions'!M11</f>
        <v>0.15</v>
      </c>
      <c r="L11" s="40">
        <f>'[4]Other Assumptions'!N11</f>
        <v>0.2</v>
      </c>
      <c r="M11" s="40">
        <f>'[4]Other Assumptions'!O11</f>
        <v>0.25</v>
      </c>
      <c r="N11" s="40">
        <f>'[4]Other Assumptions'!P11</f>
        <v>0.3</v>
      </c>
      <c r="O11" s="41">
        <f>'[4]Other Assumptions'!Q11</f>
        <v>0.35</v>
      </c>
    </row>
    <row r="12" spans="1:15" ht="15.75" x14ac:dyDescent="0.25">
      <c r="A12" s="16" t="s">
        <v>39</v>
      </c>
      <c r="B12" s="19">
        <f>'[4]Other Assumptions'!D12</f>
        <v>0</v>
      </c>
      <c r="C12" s="20">
        <f>'[4]Other Assumptions'!E12</f>
        <v>0</v>
      </c>
      <c r="D12" s="20">
        <f>'[4]Other Assumptions'!F12</f>
        <v>0</v>
      </c>
      <c r="E12" s="20">
        <f>'[4]Other Assumptions'!G12</f>
        <v>0</v>
      </c>
      <c r="F12" s="20">
        <f>'[4]Other Assumptions'!H12</f>
        <v>0</v>
      </c>
      <c r="G12" s="40">
        <f>'[4]Other Assumptions'!I12</f>
        <v>0</v>
      </c>
      <c r="H12" s="40">
        <f>'[4]Other Assumptions'!J12</f>
        <v>0</v>
      </c>
      <c r="I12" s="40">
        <f>'[4]Other Assumptions'!K12</f>
        <v>0.05</v>
      </c>
      <c r="J12" s="40">
        <f>'[4]Other Assumptions'!L12</f>
        <v>0.1</v>
      </c>
      <c r="K12" s="40">
        <f>'[4]Other Assumptions'!M12</f>
        <v>0.15</v>
      </c>
      <c r="L12" s="40">
        <f>'[4]Other Assumptions'!N12</f>
        <v>0.2</v>
      </c>
      <c r="M12" s="40">
        <f>'[4]Other Assumptions'!O12</f>
        <v>0.25</v>
      </c>
      <c r="N12" s="40">
        <f>'[4]Other Assumptions'!P12</f>
        <v>0.3</v>
      </c>
      <c r="O12" s="41">
        <f>'[4]Other Assumptions'!Q12</f>
        <v>0.35</v>
      </c>
    </row>
    <row r="13" spans="1:15" ht="15.75" x14ac:dyDescent="0.25">
      <c r="A13" s="16" t="s">
        <v>40</v>
      </c>
      <c r="B13" s="19">
        <f>'[4]Other Assumptions'!D13</f>
        <v>0</v>
      </c>
      <c r="C13" s="20">
        <f>'[4]Other Assumptions'!E13</f>
        <v>0</v>
      </c>
      <c r="D13" s="20">
        <f>'[4]Other Assumptions'!F13</f>
        <v>0</v>
      </c>
      <c r="E13" s="20">
        <f>'[4]Other Assumptions'!G13</f>
        <v>0</v>
      </c>
      <c r="F13" s="20">
        <f>'[4]Other Assumptions'!H13</f>
        <v>0</v>
      </c>
      <c r="G13" s="40">
        <f>'[4]Other Assumptions'!I13</f>
        <v>0</v>
      </c>
      <c r="H13" s="40">
        <f>'[4]Other Assumptions'!J13</f>
        <v>0</v>
      </c>
      <c r="I13" s="40">
        <f>'[4]Other Assumptions'!K13</f>
        <v>0.05</v>
      </c>
      <c r="J13" s="40">
        <f>'[4]Other Assumptions'!L13</f>
        <v>0.1</v>
      </c>
      <c r="K13" s="40">
        <f>'[4]Other Assumptions'!M13</f>
        <v>0.15</v>
      </c>
      <c r="L13" s="40">
        <f>'[4]Other Assumptions'!N13</f>
        <v>0.2</v>
      </c>
      <c r="M13" s="40">
        <f>'[4]Other Assumptions'!O13</f>
        <v>0.25</v>
      </c>
      <c r="N13" s="40">
        <f>'[4]Other Assumptions'!P13</f>
        <v>0.3</v>
      </c>
      <c r="O13" s="41">
        <f>'[4]Other Assumptions'!Q13</f>
        <v>0.35</v>
      </c>
    </row>
    <row r="14" spans="1:15" ht="15.75" x14ac:dyDescent="0.25">
      <c r="A14" s="16" t="s">
        <v>41</v>
      </c>
      <c r="B14" s="19">
        <f>'[4]Other Assumptions'!D14</f>
        <v>0</v>
      </c>
      <c r="C14" s="20">
        <f>'[4]Other Assumptions'!E14</f>
        <v>0</v>
      </c>
      <c r="D14" s="20">
        <f>'[4]Other Assumptions'!F14</f>
        <v>0</v>
      </c>
      <c r="E14" s="20">
        <f>'[4]Other Assumptions'!G14</f>
        <v>0</v>
      </c>
      <c r="F14" s="20">
        <f>'[4]Other Assumptions'!H14</f>
        <v>0</v>
      </c>
      <c r="G14" s="40">
        <f>'[4]Other Assumptions'!I14</f>
        <v>0</v>
      </c>
      <c r="H14" s="40">
        <f>'[4]Other Assumptions'!J14</f>
        <v>0</v>
      </c>
      <c r="I14" s="40">
        <f>'[4]Other Assumptions'!K14</f>
        <v>0.05</v>
      </c>
      <c r="J14" s="40">
        <f>'[4]Other Assumptions'!L14</f>
        <v>0.1</v>
      </c>
      <c r="K14" s="40">
        <f>'[4]Other Assumptions'!M14</f>
        <v>0.15</v>
      </c>
      <c r="L14" s="40">
        <f>'[4]Other Assumptions'!N14</f>
        <v>0.2</v>
      </c>
      <c r="M14" s="40">
        <f>'[4]Other Assumptions'!O14</f>
        <v>0.25</v>
      </c>
      <c r="N14" s="40">
        <f>'[4]Other Assumptions'!P14</f>
        <v>0.3</v>
      </c>
      <c r="O14" s="41">
        <f>'[4]Other Assumptions'!Q14</f>
        <v>0.35</v>
      </c>
    </row>
    <row r="15" spans="1:15" ht="15.75" x14ac:dyDescent="0.25">
      <c r="A15" s="16" t="s">
        <v>42</v>
      </c>
      <c r="B15" s="19">
        <f>'[4]Other Assumptions'!D15</f>
        <v>0</v>
      </c>
      <c r="C15" s="20">
        <f>'[4]Other Assumptions'!E15</f>
        <v>0</v>
      </c>
      <c r="D15" s="20">
        <f>'[4]Other Assumptions'!F15</f>
        <v>0</v>
      </c>
      <c r="E15" s="20">
        <f>'[4]Other Assumptions'!G15</f>
        <v>0</v>
      </c>
      <c r="F15" s="20">
        <f>'[4]Other Assumptions'!H15</f>
        <v>0</v>
      </c>
      <c r="G15" s="40">
        <f>'[4]Other Assumptions'!I15</f>
        <v>0</v>
      </c>
      <c r="H15" s="40">
        <f>'[4]Other Assumptions'!J15</f>
        <v>0</v>
      </c>
      <c r="I15" s="40">
        <f>'[4]Other Assumptions'!K15</f>
        <v>0.05</v>
      </c>
      <c r="J15" s="40">
        <f>'[4]Other Assumptions'!L15</f>
        <v>0.1</v>
      </c>
      <c r="K15" s="40">
        <f>'[4]Other Assumptions'!M15</f>
        <v>0.15</v>
      </c>
      <c r="L15" s="40">
        <f>'[4]Other Assumptions'!N15</f>
        <v>0.2</v>
      </c>
      <c r="M15" s="40">
        <f>'[4]Other Assumptions'!O15</f>
        <v>0.25</v>
      </c>
      <c r="N15" s="40">
        <f>'[4]Other Assumptions'!P15</f>
        <v>0.3</v>
      </c>
      <c r="O15" s="41">
        <f>'[4]Other Assumptions'!Q15</f>
        <v>0.35</v>
      </c>
    </row>
    <row r="16" spans="1:15" ht="15.75" x14ac:dyDescent="0.25">
      <c r="A16" s="16" t="s">
        <v>43</v>
      </c>
      <c r="B16" s="19">
        <f>'[4]Other Assumptions'!D16</f>
        <v>0</v>
      </c>
      <c r="C16" s="20">
        <f>'[4]Other Assumptions'!E16</f>
        <v>0</v>
      </c>
      <c r="D16" s="20">
        <f>'[4]Other Assumptions'!F16</f>
        <v>0</v>
      </c>
      <c r="E16" s="20">
        <f>'[4]Other Assumptions'!G16</f>
        <v>0</v>
      </c>
      <c r="F16" s="20">
        <f>'[4]Other Assumptions'!H16</f>
        <v>0</v>
      </c>
      <c r="G16" s="40">
        <f>'[4]Other Assumptions'!I16</f>
        <v>0</v>
      </c>
      <c r="H16" s="40">
        <f>'[4]Other Assumptions'!J16</f>
        <v>0</v>
      </c>
      <c r="I16" s="40">
        <f>'[4]Other Assumptions'!K16</f>
        <v>0.05</v>
      </c>
      <c r="J16" s="40">
        <f>'[4]Other Assumptions'!L16</f>
        <v>0.1</v>
      </c>
      <c r="K16" s="40">
        <f>'[4]Other Assumptions'!M16</f>
        <v>0.15</v>
      </c>
      <c r="L16" s="40">
        <f>'[4]Other Assumptions'!N16</f>
        <v>0.2</v>
      </c>
      <c r="M16" s="40">
        <f>'[4]Other Assumptions'!O16</f>
        <v>0.25</v>
      </c>
      <c r="N16" s="40">
        <f>'[4]Other Assumptions'!P16</f>
        <v>0.3</v>
      </c>
      <c r="O16" s="41">
        <f>'[4]Other Assumptions'!Q16</f>
        <v>0.35</v>
      </c>
    </row>
    <row r="17" spans="1:15" ht="15.75" x14ac:dyDescent="0.25">
      <c r="A17" s="16" t="s">
        <v>44</v>
      </c>
      <c r="B17" s="19">
        <f>'[4]Other Assumptions'!D17</f>
        <v>0</v>
      </c>
      <c r="C17" s="20">
        <f>'[4]Other Assumptions'!E17</f>
        <v>0</v>
      </c>
      <c r="D17" s="20">
        <f>'[4]Other Assumptions'!F17</f>
        <v>0</v>
      </c>
      <c r="E17" s="20">
        <f>'[4]Other Assumptions'!G17</f>
        <v>0</v>
      </c>
      <c r="F17" s="20">
        <f>'[4]Other Assumptions'!H17</f>
        <v>0</v>
      </c>
      <c r="G17" s="40">
        <f>'[4]Other Assumptions'!I17</f>
        <v>0</v>
      </c>
      <c r="H17" s="40">
        <f>'[4]Other Assumptions'!J17</f>
        <v>0</v>
      </c>
      <c r="I17" s="40">
        <f>'[4]Other Assumptions'!K17</f>
        <v>0.05</v>
      </c>
      <c r="J17" s="40">
        <f>'[4]Other Assumptions'!L17</f>
        <v>0.1</v>
      </c>
      <c r="K17" s="40">
        <f>'[4]Other Assumptions'!M17</f>
        <v>0.15</v>
      </c>
      <c r="L17" s="40">
        <f>'[4]Other Assumptions'!N17</f>
        <v>0.2</v>
      </c>
      <c r="M17" s="40">
        <f>'[4]Other Assumptions'!O17</f>
        <v>0.25</v>
      </c>
      <c r="N17" s="40">
        <f>'[4]Other Assumptions'!P17</f>
        <v>0.3</v>
      </c>
      <c r="O17" s="41">
        <f>'[4]Other Assumptions'!Q17</f>
        <v>0.35</v>
      </c>
    </row>
    <row r="18" spans="1:15" ht="15.75" x14ac:dyDescent="0.25">
      <c r="A18" s="16" t="s">
        <v>45</v>
      </c>
      <c r="B18" s="19">
        <f>'[4]Other Assumptions'!D18</f>
        <v>0</v>
      </c>
      <c r="C18" s="20">
        <f>'[4]Other Assumptions'!E18</f>
        <v>0</v>
      </c>
      <c r="D18" s="20">
        <f>'[4]Other Assumptions'!F18</f>
        <v>0</v>
      </c>
      <c r="E18" s="20">
        <f>'[4]Other Assumptions'!G18</f>
        <v>0</v>
      </c>
      <c r="F18" s="20">
        <f>'[4]Other Assumptions'!H18</f>
        <v>0</v>
      </c>
      <c r="G18" s="40">
        <f>'[4]Other Assumptions'!I18</f>
        <v>0</v>
      </c>
      <c r="H18" s="40">
        <f>'[4]Other Assumptions'!J18</f>
        <v>0</v>
      </c>
      <c r="I18" s="40">
        <f>'[4]Other Assumptions'!K18</f>
        <v>0.05</v>
      </c>
      <c r="J18" s="40">
        <f>'[4]Other Assumptions'!L18</f>
        <v>0.1</v>
      </c>
      <c r="K18" s="40">
        <f>'[4]Other Assumptions'!M18</f>
        <v>0.15</v>
      </c>
      <c r="L18" s="40">
        <f>'[4]Other Assumptions'!N18</f>
        <v>0.2</v>
      </c>
      <c r="M18" s="40">
        <f>'[4]Other Assumptions'!O18</f>
        <v>0.25</v>
      </c>
      <c r="N18" s="40">
        <f>'[4]Other Assumptions'!P18</f>
        <v>0.3</v>
      </c>
      <c r="O18" s="41">
        <f>'[4]Other Assumptions'!Q18</f>
        <v>0.35</v>
      </c>
    </row>
    <row r="19" spans="1:15" ht="16.5" thickBot="1" x14ac:dyDescent="0.3">
      <c r="A19" s="23" t="s">
        <v>46</v>
      </c>
      <c r="B19" s="24">
        <f>'[4]Other Assumptions'!D19</f>
        <v>0</v>
      </c>
      <c r="C19" s="25">
        <f>'[4]Other Assumptions'!E19</f>
        <v>0</v>
      </c>
      <c r="D19" s="25">
        <f>'[4]Other Assumptions'!F19</f>
        <v>0</v>
      </c>
      <c r="E19" s="25">
        <f>'[4]Other Assumptions'!G19</f>
        <v>0</v>
      </c>
      <c r="F19" s="25">
        <f>'[4]Other Assumptions'!H19</f>
        <v>0</v>
      </c>
      <c r="G19" s="53">
        <f>'[4]Other Assumptions'!I19</f>
        <v>0</v>
      </c>
      <c r="H19" s="53">
        <f>'[4]Other Assumptions'!J19</f>
        <v>0</v>
      </c>
      <c r="I19" s="53">
        <f>'[4]Other Assumptions'!K19</f>
        <v>0.05</v>
      </c>
      <c r="J19" s="53">
        <f>'[4]Other Assumptions'!L19</f>
        <v>0.1</v>
      </c>
      <c r="K19" s="53">
        <f>'[4]Other Assumptions'!M19</f>
        <v>0.15</v>
      </c>
      <c r="L19" s="53">
        <f>'[4]Other Assumptions'!N19</f>
        <v>0.2</v>
      </c>
      <c r="M19" s="53">
        <f>'[4]Other Assumptions'!O19</f>
        <v>0.25</v>
      </c>
      <c r="N19" s="53">
        <f>'[4]Other Assumptions'!P19</f>
        <v>0.3</v>
      </c>
      <c r="O19" s="54">
        <f>'[4]Other Assumptions'!Q19</f>
        <v>0.35</v>
      </c>
    </row>
    <row r="20" spans="1:15" ht="13.5" thickTop="1" x14ac:dyDescent="0.2"/>
    <row r="21" spans="1:15" ht="13.5" thickBot="1" x14ac:dyDescent="0.25"/>
    <row r="22" spans="1:15" ht="16.5" thickTop="1" x14ac:dyDescent="0.25">
      <c r="A22" s="6" t="s">
        <v>58</v>
      </c>
      <c r="B22" s="7"/>
      <c r="C22" s="8"/>
      <c r="D22" s="8"/>
      <c r="E22" s="8"/>
      <c r="F22" s="8"/>
      <c r="G22" s="7"/>
      <c r="H22" s="7"/>
      <c r="I22" s="7"/>
      <c r="J22" s="7"/>
      <c r="K22" s="7"/>
      <c r="L22" s="7"/>
      <c r="M22" s="7"/>
      <c r="N22" s="7"/>
      <c r="O22" s="9"/>
    </row>
    <row r="23" spans="1:15" ht="13.5" thickBot="1" x14ac:dyDescent="0.25">
      <c r="A23" s="10"/>
      <c r="B23" s="11" t="s">
        <v>22</v>
      </c>
      <c r="C23" s="11" t="s">
        <v>23</v>
      </c>
      <c r="D23" s="11" t="s">
        <v>24</v>
      </c>
      <c r="E23" s="11" t="s">
        <v>118</v>
      </c>
      <c r="F23" s="11" t="s">
        <v>119</v>
      </c>
      <c r="G23" s="11" t="s">
        <v>25</v>
      </c>
      <c r="H23" s="11" t="s">
        <v>26</v>
      </c>
      <c r="I23" s="11" t="s">
        <v>27</v>
      </c>
      <c r="J23" s="11" t="s">
        <v>28</v>
      </c>
      <c r="K23" s="11" t="s">
        <v>29</v>
      </c>
      <c r="L23" s="11" t="s">
        <v>30</v>
      </c>
      <c r="M23" s="11" t="s">
        <v>120</v>
      </c>
      <c r="N23" s="11" t="s">
        <v>121</v>
      </c>
      <c r="O23" s="12" t="s">
        <v>122</v>
      </c>
    </row>
    <row r="24" spans="1:15" ht="14.25" thickTop="1" thickBot="1" x14ac:dyDescent="0.25">
      <c r="A24" s="13"/>
      <c r="B24" s="14" t="s">
        <v>31</v>
      </c>
      <c r="C24" s="14" t="s">
        <v>31</v>
      </c>
      <c r="D24" s="14" t="s">
        <v>31</v>
      </c>
      <c r="E24" s="14" t="s">
        <v>31</v>
      </c>
      <c r="F24" s="14" t="s">
        <v>31</v>
      </c>
      <c r="G24" s="14" t="s">
        <v>32</v>
      </c>
      <c r="H24" s="14" t="s">
        <v>32</v>
      </c>
      <c r="I24" s="14" t="s">
        <v>32</v>
      </c>
      <c r="J24" s="14" t="s">
        <v>32</v>
      </c>
      <c r="K24" s="14" t="s">
        <v>32</v>
      </c>
      <c r="L24" s="14" t="s">
        <v>32</v>
      </c>
      <c r="M24" s="14" t="s">
        <v>32</v>
      </c>
      <c r="N24" s="14" t="s">
        <v>32</v>
      </c>
      <c r="O24" s="15" t="s">
        <v>32</v>
      </c>
    </row>
    <row r="25" spans="1:15" ht="16.5" thickTop="1" x14ac:dyDescent="0.25">
      <c r="A25" s="16" t="s">
        <v>33</v>
      </c>
      <c r="B25" s="17">
        <f>'[4]Other Assumptions'!D25</f>
        <v>0</v>
      </c>
      <c r="C25" s="18">
        <f>'[4]Other Assumptions'!E25</f>
        <v>0</v>
      </c>
      <c r="D25" s="18">
        <f>'[4]Other Assumptions'!F25</f>
        <v>0</v>
      </c>
      <c r="E25" s="18">
        <f>'[4]Other Assumptions'!G25</f>
        <v>0</v>
      </c>
      <c r="F25" s="18">
        <f>'[4]Other Assumptions'!H25</f>
        <v>0</v>
      </c>
      <c r="G25" s="36">
        <f>'[4]Other Assumptions'!I25</f>
        <v>0</v>
      </c>
      <c r="H25" s="36">
        <f>'[4]Other Assumptions'!J25</f>
        <v>0</v>
      </c>
      <c r="I25" s="36">
        <f>'[4]Other Assumptions'!K25</f>
        <v>0</v>
      </c>
      <c r="J25" s="36">
        <f>'[4]Other Assumptions'!L25</f>
        <v>0</v>
      </c>
      <c r="K25" s="36">
        <f>'[4]Other Assumptions'!M25</f>
        <v>0</v>
      </c>
      <c r="L25" s="36">
        <f>'[4]Other Assumptions'!N25</f>
        <v>0</v>
      </c>
      <c r="M25" s="36">
        <f>'[4]Other Assumptions'!O25</f>
        <v>0</v>
      </c>
      <c r="N25" s="36">
        <f>'[4]Other Assumptions'!P25</f>
        <v>0</v>
      </c>
      <c r="O25" s="37">
        <f>'[4]Other Assumptions'!Q25</f>
        <v>0</v>
      </c>
    </row>
    <row r="26" spans="1:15" ht="15.75" x14ac:dyDescent="0.25">
      <c r="A26" s="16" t="s">
        <v>34</v>
      </c>
      <c r="B26" s="19">
        <f>'[4]Other Assumptions'!D26</f>
        <v>0</v>
      </c>
      <c r="C26" s="20">
        <f>'[4]Other Assumptions'!E26</f>
        <v>0</v>
      </c>
      <c r="D26" s="20">
        <f>'[4]Other Assumptions'!F26</f>
        <v>0</v>
      </c>
      <c r="E26" s="20">
        <f>'[4]Other Assumptions'!G26</f>
        <v>0</v>
      </c>
      <c r="F26" s="20">
        <f>'[4]Other Assumptions'!H26</f>
        <v>0</v>
      </c>
      <c r="G26" s="40">
        <f>'[4]Other Assumptions'!I26</f>
        <v>0</v>
      </c>
      <c r="H26" s="40">
        <f>'[4]Other Assumptions'!J26</f>
        <v>0</v>
      </c>
      <c r="I26" s="40">
        <f>'[4]Other Assumptions'!K26</f>
        <v>0</v>
      </c>
      <c r="J26" s="40">
        <f>'[4]Other Assumptions'!L26</f>
        <v>0</v>
      </c>
      <c r="K26" s="40">
        <f>'[4]Other Assumptions'!M26</f>
        <v>0</v>
      </c>
      <c r="L26" s="40">
        <f>'[4]Other Assumptions'!N26</f>
        <v>0</v>
      </c>
      <c r="M26" s="40">
        <f>'[4]Other Assumptions'!O26</f>
        <v>0</v>
      </c>
      <c r="N26" s="40">
        <f>'[4]Other Assumptions'!P26</f>
        <v>0</v>
      </c>
      <c r="O26" s="41">
        <f>'[4]Other Assumptions'!Q26</f>
        <v>0</v>
      </c>
    </row>
    <row r="27" spans="1:15" ht="15.75" x14ac:dyDescent="0.25">
      <c r="A27" s="16" t="s">
        <v>35</v>
      </c>
      <c r="B27" s="19">
        <f>'[4]Other Assumptions'!D27</f>
        <v>0</v>
      </c>
      <c r="C27" s="20">
        <f>'[4]Other Assumptions'!E27</f>
        <v>0</v>
      </c>
      <c r="D27" s="20">
        <f>'[4]Other Assumptions'!F27</f>
        <v>0</v>
      </c>
      <c r="E27" s="20">
        <f>'[4]Other Assumptions'!G27</f>
        <v>0</v>
      </c>
      <c r="F27" s="20">
        <f>'[4]Other Assumptions'!H27</f>
        <v>0</v>
      </c>
      <c r="G27" s="40">
        <f>'[4]Other Assumptions'!I27</f>
        <v>0</v>
      </c>
      <c r="H27" s="40">
        <f>'[4]Other Assumptions'!J27</f>
        <v>0</v>
      </c>
      <c r="I27" s="40">
        <f>'[4]Other Assumptions'!K27</f>
        <v>0</v>
      </c>
      <c r="J27" s="40">
        <f>'[4]Other Assumptions'!L27</f>
        <v>0</v>
      </c>
      <c r="K27" s="40">
        <f>'[4]Other Assumptions'!M27</f>
        <v>0</v>
      </c>
      <c r="L27" s="40">
        <f>'[4]Other Assumptions'!N27</f>
        <v>0</v>
      </c>
      <c r="M27" s="40">
        <f>'[4]Other Assumptions'!O27</f>
        <v>0</v>
      </c>
      <c r="N27" s="40">
        <f>'[4]Other Assumptions'!P27</f>
        <v>0</v>
      </c>
      <c r="O27" s="41">
        <f>'[4]Other Assumptions'!Q27</f>
        <v>0</v>
      </c>
    </row>
    <row r="28" spans="1:15" ht="15.75" x14ac:dyDescent="0.25">
      <c r="A28" s="16" t="s">
        <v>36</v>
      </c>
      <c r="B28" s="19">
        <f>'[4]Other Assumptions'!D28</f>
        <v>0</v>
      </c>
      <c r="C28" s="20">
        <f>'[4]Other Assumptions'!E28</f>
        <v>0</v>
      </c>
      <c r="D28" s="20">
        <f>'[4]Other Assumptions'!F28</f>
        <v>0</v>
      </c>
      <c r="E28" s="20">
        <f>'[4]Other Assumptions'!G28</f>
        <v>0</v>
      </c>
      <c r="F28" s="20">
        <f>'[4]Other Assumptions'!H28</f>
        <v>0</v>
      </c>
      <c r="G28" s="40">
        <f>'[4]Other Assumptions'!I28</f>
        <v>0</v>
      </c>
      <c r="H28" s="40">
        <f>'[4]Other Assumptions'!J28</f>
        <v>0</v>
      </c>
      <c r="I28" s="40">
        <f>'[4]Other Assumptions'!K28</f>
        <v>0</v>
      </c>
      <c r="J28" s="40">
        <f>'[4]Other Assumptions'!L28</f>
        <v>0</v>
      </c>
      <c r="K28" s="40">
        <f>'[4]Other Assumptions'!M28</f>
        <v>0</v>
      </c>
      <c r="L28" s="40">
        <f>'[4]Other Assumptions'!N28</f>
        <v>0</v>
      </c>
      <c r="M28" s="40">
        <f>'[4]Other Assumptions'!O28</f>
        <v>0</v>
      </c>
      <c r="N28" s="40">
        <f>'[4]Other Assumptions'!P28</f>
        <v>0</v>
      </c>
      <c r="O28" s="41">
        <f>'[4]Other Assumptions'!Q28</f>
        <v>0</v>
      </c>
    </row>
    <row r="29" spans="1:15" ht="15.75" x14ac:dyDescent="0.25">
      <c r="A29" s="16" t="s">
        <v>37</v>
      </c>
      <c r="B29" s="19">
        <f>'[4]Other Assumptions'!D29</f>
        <v>0</v>
      </c>
      <c r="C29" s="20">
        <f>'[4]Other Assumptions'!E29</f>
        <v>0</v>
      </c>
      <c r="D29" s="20">
        <f>'[4]Other Assumptions'!F29</f>
        <v>0</v>
      </c>
      <c r="E29" s="20">
        <f>'[4]Other Assumptions'!G29</f>
        <v>0</v>
      </c>
      <c r="F29" s="20">
        <f>'[4]Other Assumptions'!H29</f>
        <v>0</v>
      </c>
      <c r="G29" s="40">
        <f>'[4]Other Assumptions'!I29</f>
        <v>0</v>
      </c>
      <c r="H29" s="40">
        <f>'[4]Other Assumptions'!J29</f>
        <v>0</v>
      </c>
      <c r="I29" s="40">
        <f>'[4]Other Assumptions'!K29</f>
        <v>0</v>
      </c>
      <c r="J29" s="40">
        <f>'[4]Other Assumptions'!L29</f>
        <v>0</v>
      </c>
      <c r="K29" s="40">
        <f>'[4]Other Assumptions'!M29</f>
        <v>0</v>
      </c>
      <c r="L29" s="40">
        <f>'[4]Other Assumptions'!N29</f>
        <v>0</v>
      </c>
      <c r="M29" s="40">
        <f>'[4]Other Assumptions'!O29</f>
        <v>0</v>
      </c>
      <c r="N29" s="40">
        <f>'[4]Other Assumptions'!P29</f>
        <v>0</v>
      </c>
      <c r="O29" s="41">
        <f>'[4]Other Assumptions'!Q29</f>
        <v>0</v>
      </c>
    </row>
    <row r="30" spans="1:15" ht="15.75" x14ac:dyDescent="0.25">
      <c r="A30" s="16" t="s">
        <v>38</v>
      </c>
      <c r="B30" s="19">
        <f>'[4]Other Assumptions'!D30</f>
        <v>0</v>
      </c>
      <c r="C30" s="20">
        <f>'[4]Other Assumptions'!E30</f>
        <v>0</v>
      </c>
      <c r="D30" s="20">
        <f>'[4]Other Assumptions'!F30</f>
        <v>0</v>
      </c>
      <c r="E30" s="20">
        <f>'[4]Other Assumptions'!G30</f>
        <v>0</v>
      </c>
      <c r="F30" s="20">
        <f>'[4]Other Assumptions'!H30</f>
        <v>0</v>
      </c>
      <c r="G30" s="40">
        <f>'[4]Other Assumptions'!I30</f>
        <v>0</v>
      </c>
      <c r="H30" s="40">
        <f>'[4]Other Assumptions'!J30</f>
        <v>0</v>
      </c>
      <c r="I30" s="40">
        <f>'[4]Other Assumptions'!K30</f>
        <v>0</v>
      </c>
      <c r="J30" s="40">
        <f>'[4]Other Assumptions'!L30</f>
        <v>0</v>
      </c>
      <c r="K30" s="40">
        <f>'[4]Other Assumptions'!M30</f>
        <v>0</v>
      </c>
      <c r="L30" s="40">
        <f>'[4]Other Assumptions'!N30</f>
        <v>0</v>
      </c>
      <c r="M30" s="40">
        <f>'[4]Other Assumptions'!O30</f>
        <v>0</v>
      </c>
      <c r="N30" s="40">
        <f>'[4]Other Assumptions'!P30</f>
        <v>0</v>
      </c>
      <c r="O30" s="41">
        <f>'[4]Other Assumptions'!Q30</f>
        <v>0</v>
      </c>
    </row>
    <row r="31" spans="1:15" ht="15.75" x14ac:dyDescent="0.25">
      <c r="A31" s="16" t="s">
        <v>39</v>
      </c>
      <c r="B31" s="19">
        <f>'[4]Other Assumptions'!D31</f>
        <v>0</v>
      </c>
      <c r="C31" s="20">
        <f>'[4]Other Assumptions'!E31</f>
        <v>0</v>
      </c>
      <c r="D31" s="20">
        <f>'[4]Other Assumptions'!F31</f>
        <v>0</v>
      </c>
      <c r="E31" s="20">
        <f>'[4]Other Assumptions'!G31</f>
        <v>0</v>
      </c>
      <c r="F31" s="20">
        <f>'[4]Other Assumptions'!H31</f>
        <v>0</v>
      </c>
      <c r="G31" s="40">
        <f>'[4]Other Assumptions'!I31</f>
        <v>0</v>
      </c>
      <c r="H31" s="40">
        <f>'[4]Other Assumptions'!J31</f>
        <v>0</v>
      </c>
      <c r="I31" s="40">
        <f>'[4]Other Assumptions'!K31</f>
        <v>0</v>
      </c>
      <c r="J31" s="40">
        <f>'[4]Other Assumptions'!L31</f>
        <v>0</v>
      </c>
      <c r="K31" s="40">
        <f>'[4]Other Assumptions'!M31</f>
        <v>0</v>
      </c>
      <c r="L31" s="40">
        <f>'[4]Other Assumptions'!N31</f>
        <v>0</v>
      </c>
      <c r="M31" s="40">
        <f>'[4]Other Assumptions'!O31</f>
        <v>0</v>
      </c>
      <c r="N31" s="40">
        <f>'[4]Other Assumptions'!P31</f>
        <v>0</v>
      </c>
      <c r="O31" s="41">
        <f>'[4]Other Assumptions'!Q31</f>
        <v>0</v>
      </c>
    </row>
    <row r="32" spans="1:15" ht="15.75" x14ac:dyDescent="0.25">
      <c r="A32" s="16" t="s">
        <v>40</v>
      </c>
      <c r="B32" s="19">
        <f>'[4]Other Assumptions'!D32</f>
        <v>0</v>
      </c>
      <c r="C32" s="20">
        <f>'[4]Other Assumptions'!E32</f>
        <v>0</v>
      </c>
      <c r="D32" s="20">
        <f>'[4]Other Assumptions'!F32</f>
        <v>0</v>
      </c>
      <c r="E32" s="20">
        <f>'[4]Other Assumptions'!G32</f>
        <v>0</v>
      </c>
      <c r="F32" s="20">
        <f>'[4]Other Assumptions'!H32</f>
        <v>0</v>
      </c>
      <c r="G32" s="40">
        <f>'[4]Other Assumptions'!I32</f>
        <v>0</v>
      </c>
      <c r="H32" s="40">
        <f>'[4]Other Assumptions'!J32</f>
        <v>0</v>
      </c>
      <c r="I32" s="40">
        <f>'[4]Other Assumptions'!K32</f>
        <v>0</v>
      </c>
      <c r="J32" s="40">
        <f>'[4]Other Assumptions'!L32</f>
        <v>0</v>
      </c>
      <c r="K32" s="40">
        <f>'[4]Other Assumptions'!M32</f>
        <v>0</v>
      </c>
      <c r="L32" s="40">
        <f>'[4]Other Assumptions'!N32</f>
        <v>0</v>
      </c>
      <c r="M32" s="40">
        <f>'[4]Other Assumptions'!O32</f>
        <v>0</v>
      </c>
      <c r="N32" s="40">
        <f>'[4]Other Assumptions'!P32</f>
        <v>0</v>
      </c>
      <c r="O32" s="41">
        <f>'[4]Other Assumptions'!Q32</f>
        <v>0</v>
      </c>
    </row>
    <row r="33" spans="1:15" ht="15.75" x14ac:dyDescent="0.25">
      <c r="A33" s="16" t="s">
        <v>41</v>
      </c>
      <c r="B33" s="19">
        <f>'[4]Other Assumptions'!D33</f>
        <v>0</v>
      </c>
      <c r="C33" s="20">
        <f>'[4]Other Assumptions'!E33</f>
        <v>0</v>
      </c>
      <c r="D33" s="20">
        <f>'[4]Other Assumptions'!F33</f>
        <v>0</v>
      </c>
      <c r="E33" s="20">
        <f>'[4]Other Assumptions'!G33</f>
        <v>0</v>
      </c>
      <c r="F33" s="20">
        <f>'[4]Other Assumptions'!H33</f>
        <v>0</v>
      </c>
      <c r="G33" s="40">
        <f>'[4]Other Assumptions'!I33</f>
        <v>0</v>
      </c>
      <c r="H33" s="40">
        <f>'[4]Other Assumptions'!J33</f>
        <v>0</v>
      </c>
      <c r="I33" s="40">
        <f>'[4]Other Assumptions'!K33</f>
        <v>0</v>
      </c>
      <c r="J33" s="40">
        <f>'[4]Other Assumptions'!L33</f>
        <v>0</v>
      </c>
      <c r="K33" s="40">
        <f>'[4]Other Assumptions'!M33</f>
        <v>0</v>
      </c>
      <c r="L33" s="40">
        <f>'[4]Other Assumptions'!N33</f>
        <v>0</v>
      </c>
      <c r="M33" s="40">
        <f>'[4]Other Assumptions'!O33</f>
        <v>0</v>
      </c>
      <c r="N33" s="40">
        <f>'[4]Other Assumptions'!P33</f>
        <v>0</v>
      </c>
      <c r="O33" s="41">
        <f>'[4]Other Assumptions'!Q33</f>
        <v>0</v>
      </c>
    </row>
    <row r="34" spans="1:15" ht="15.75" x14ac:dyDescent="0.25">
      <c r="A34" s="16" t="s">
        <v>42</v>
      </c>
      <c r="B34" s="19">
        <f>'[4]Other Assumptions'!D34</f>
        <v>0</v>
      </c>
      <c r="C34" s="20">
        <f>'[4]Other Assumptions'!E34</f>
        <v>0</v>
      </c>
      <c r="D34" s="20">
        <f>'[4]Other Assumptions'!F34</f>
        <v>0</v>
      </c>
      <c r="E34" s="20">
        <f>'[4]Other Assumptions'!G34</f>
        <v>0</v>
      </c>
      <c r="F34" s="20">
        <f>'[4]Other Assumptions'!H34</f>
        <v>0</v>
      </c>
      <c r="G34" s="40">
        <f>'[4]Other Assumptions'!I34</f>
        <v>0</v>
      </c>
      <c r="H34" s="40">
        <f>'[4]Other Assumptions'!J34</f>
        <v>0</v>
      </c>
      <c r="I34" s="40">
        <f>'[4]Other Assumptions'!K34</f>
        <v>0</v>
      </c>
      <c r="J34" s="40">
        <f>'[4]Other Assumptions'!L34</f>
        <v>0</v>
      </c>
      <c r="K34" s="40">
        <f>'[4]Other Assumptions'!M34</f>
        <v>0</v>
      </c>
      <c r="L34" s="40">
        <f>'[4]Other Assumptions'!N34</f>
        <v>0</v>
      </c>
      <c r="M34" s="40">
        <f>'[4]Other Assumptions'!O34</f>
        <v>0</v>
      </c>
      <c r="N34" s="40">
        <f>'[4]Other Assumptions'!P34</f>
        <v>0</v>
      </c>
      <c r="O34" s="41">
        <f>'[4]Other Assumptions'!Q34</f>
        <v>0</v>
      </c>
    </row>
    <row r="35" spans="1:15" ht="15.75" x14ac:dyDescent="0.25">
      <c r="A35" s="16" t="s">
        <v>43</v>
      </c>
      <c r="B35" s="19">
        <f>'[4]Other Assumptions'!D35</f>
        <v>0</v>
      </c>
      <c r="C35" s="20">
        <f>'[4]Other Assumptions'!E35</f>
        <v>0</v>
      </c>
      <c r="D35" s="20">
        <f>'[4]Other Assumptions'!F35</f>
        <v>0</v>
      </c>
      <c r="E35" s="20">
        <f>'[4]Other Assumptions'!G35</f>
        <v>0</v>
      </c>
      <c r="F35" s="20">
        <f>'[4]Other Assumptions'!H35</f>
        <v>0</v>
      </c>
      <c r="G35" s="40">
        <f>'[4]Other Assumptions'!I35</f>
        <v>0</v>
      </c>
      <c r="H35" s="40">
        <f>'[4]Other Assumptions'!J35</f>
        <v>0</v>
      </c>
      <c r="I35" s="40">
        <f>'[4]Other Assumptions'!K35</f>
        <v>0</v>
      </c>
      <c r="J35" s="40">
        <f>'[4]Other Assumptions'!L35</f>
        <v>0</v>
      </c>
      <c r="K35" s="40">
        <f>'[4]Other Assumptions'!M35</f>
        <v>0</v>
      </c>
      <c r="L35" s="40">
        <f>'[4]Other Assumptions'!N35</f>
        <v>0</v>
      </c>
      <c r="M35" s="40">
        <f>'[4]Other Assumptions'!O35</f>
        <v>0</v>
      </c>
      <c r="N35" s="40">
        <f>'[4]Other Assumptions'!P35</f>
        <v>0</v>
      </c>
      <c r="O35" s="41">
        <f>'[4]Other Assumptions'!Q35</f>
        <v>0</v>
      </c>
    </row>
    <row r="36" spans="1:15" ht="15.75" x14ac:dyDescent="0.25">
      <c r="A36" s="16" t="s">
        <v>44</v>
      </c>
      <c r="B36" s="19">
        <f>'[4]Other Assumptions'!D36</f>
        <v>0</v>
      </c>
      <c r="C36" s="20">
        <f>'[4]Other Assumptions'!E36</f>
        <v>0</v>
      </c>
      <c r="D36" s="20">
        <f>'[4]Other Assumptions'!F36</f>
        <v>0</v>
      </c>
      <c r="E36" s="20">
        <f>'[4]Other Assumptions'!G36</f>
        <v>0</v>
      </c>
      <c r="F36" s="20">
        <f>'[4]Other Assumptions'!H36</f>
        <v>0</v>
      </c>
      <c r="G36" s="40">
        <f>'[4]Other Assumptions'!I36</f>
        <v>0</v>
      </c>
      <c r="H36" s="40">
        <f>'[4]Other Assumptions'!J36</f>
        <v>0</v>
      </c>
      <c r="I36" s="40">
        <f>'[4]Other Assumptions'!K36</f>
        <v>0</v>
      </c>
      <c r="J36" s="40">
        <f>'[4]Other Assumptions'!L36</f>
        <v>0</v>
      </c>
      <c r="K36" s="40">
        <f>'[4]Other Assumptions'!M36</f>
        <v>0</v>
      </c>
      <c r="L36" s="40">
        <f>'[4]Other Assumptions'!N36</f>
        <v>0</v>
      </c>
      <c r="M36" s="40">
        <f>'[4]Other Assumptions'!O36</f>
        <v>0</v>
      </c>
      <c r="N36" s="40">
        <f>'[4]Other Assumptions'!P36</f>
        <v>0</v>
      </c>
      <c r="O36" s="41">
        <f>'[4]Other Assumptions'!Q36</f>
        <v>0</v>
      </c>
    </row>
    <row r="37" spans="1:15" ht="15.75" x14ac:dyDescent="0.25">
      <c r="A37" s="16" t="s">
        <v>45</v>
      </c>
      <c r="B37" s="19">
        <f>'[4]Other Assumptions'!D37</f>
        <v>0</v>
      </c>
      <c r="C37" s="20">
        <f>'[4]Other Assumptions'!E37</f>
        <v>0</v>
      </c>
      <c r="D37" s="20">
        <f>'[4]Other Assumptions'!F37</f>
        <v>0</v>
      </c>
      <c r="E37" s="20">
        <f>'[4]Other Assumptions'!G37</f>
        <v>0</v>
      </c>
      <c r="F37" s="20">
        <f>'[4]Other Assumptions'!H37</f>
        <v>0</v>
      </c>
      <c r="G37" s="40">
        <f>'[4]Other Assumptions'!I37</f>
        <v>0</v>
      </c>
      <c r="H37" s="40">
        <f>'[4]Other Assumptions'!J37</f>
        <v>0</v>
      </c>
      <c r="I37" s="40">
        <f>'[4]Other Assumptions'!K37</f>
        <v>0</v>
      </c>
      <c r="J37" s="40">
        <f>'[4]Other Assumptions'!L37</f>
        <v>0</v>
      </c>
      <c r="K37" s="40">
        <f>'[4]Other Assumptions'!M37</f>
        <v>0</v>
      </c>
      <c r="L37" s="40">
        <f>'[4]Other Assumptions'!N37</f>
        <v>0</v>
      </c>
      <c r="M37" s="40">
        <f>'[4]Other Assumptions'!O37</f>
        <v>0</v>
      </c>
      <c r="N37" s="40">
        <f>'[4]Other Assumptions'!P37</f>
        <v>0</v>
      </c>
      <c r="O37" s="41">
        <f>'[4]Other Assumptions'!Q37</f>
        <v>0</v>
      </c>
    </row>
    <row r="38" spans="1:15" ht="16.5" thickBot="1" x14ac:dyDescent="0.3">
      <c r="A38" s="23" t="s">
        <v>46</v>
      </c>
      <c r="B38" s="24">
        <f>'[4]Other Assumptions'!D38</f>
        <v>0</v>
      </c>
      <c r="C38" s="25">
        <f>'[4]Other Assumptions'!E38</f>
        <v>0</v>
      </c>
      <c r="D38" s="25">
        <f>'[4]Other Assumptions'!F38</f>
        <v>0</v>
      </c>
      <c r="E38" s="25">
        <f>'[4]Other Assumptions'!G38</f>
        <v>0</v>
      </c>
      <c r="F38" s="25">
        <f>'[4]Other Assumptions'!H38</f>
        <v>0</v>
      </c>
      <c r="G38" s="53">
        <f>'[4]Other Assumptions'!I38</f>
        <v>0</v>
      </c>
      <c r="H38" s="53">
        <f>'[4]Other Assumptions'!J38</f>
        <v>0</v>
      </c>
      <c r="I38" s="53">
        <f>'[4]Other Assumptions'!K38</f>
        <v>0</v>
      </c>
      <c r="J38" s="53">
        <f>'[4]Other Assumptions'!L38</f>
        <v>0</v>
      </c>
      <c r="K38" s="53">
        <f>'[4]Other Assumptions'!M38</f>
        <v>0</v>
      </c>
      <c r="L38" s="53">
        <f>'[4]Other Assumptions'!N38</f>
        <v>0</v>
      </c>
      <c r="M38" s="53">
        <f>'[4]Other Assumptions'!O38</f>
        <v>0</v>
      </c>
      <c r="N38" s="53">
        <f>'[4]Other Assumptions'!P38</f>
        <v>0</v>
      </c>
      <c r="O38" s="54">
        <f>'[4]Other Assumptions'!Q38</f>
        <v>0</v>
      </c>
    </row>
    <row r="39" spans="1:15" ht="13.5" thickTop="1" x14ac:dyDescent="0.2"/>
    <row r="40" spans="1:15" ht="13.5" thickBot="1" x14ac:dyDescent="0.25"/>
    <row r="41" spans="1:15" ht="16.5" thickTop="1" x14ac:dyDescent="0.25">
      <c r="A41" s="6" t="s">
        <v>69</v>
      </c>
      <c r="B41" s="7"/>
      <c r="C41" s="8"/>
      <c r="D41" s="8"/>
      <c r="E41" s="8"/>
      <c r="F41" s="8"/>
      <c r="G41" s="7"/>
      <c r="H41" s="7"/>
      <c r="I41" s="7"/>
      <c r="J41" s="7"/>
      <c r="K41" s="7"/>
      <c r="L41" s="7"/>
      <c r="M41" s="7"/>
      <c r="N41" s="7"/>
      <c r="O41" s="9"/>
    </row>
    <row r="42" spans="1:15" ht="13.5" thickBot="1" x14ac:dyDescent="0.25">
      <c r="A42" s="10"/>
      <c r="B42" s="11" t="s">
        <v>22</v>
      </c>
      <c r="C42" s="11" t="s">
        <v>23</v>
      </c>
      <c r="D42" s="11" t="s">
        <v>24</v>
      </c>
      <c r="E42" s="11" t="s">
        <v>118</v>
      </c>
      <c r="F42" s="11" t="s">
        <v>119</v>
      </c>
      <c r="G42" s="11" t="s">
        <v>25</v>
      </c>
      <c r="H42" s="11" t="s">
        <v>26</v>
      </c>
      <c r="I42" s="11" t="s">
        <v>27</v>
      </c>
      <c r="J42" s="11" t="s">
        <v>28</v>
      </c>
      <c r="K42" s="11" t="s">
        <v>29</v>
      </c>
      <c r="L42" s="11" t="s">
        <v>30</v>
      </c>
      <c r="M42" s="11" t="s">
        <v>120</v>
      </c>
      <c r="N42" s="11" t="s">
        <v>121</v>
      </c>
      <c r="O42" s="12" t="s">
        <v>122</v>
      </c>
    </row>
    <row r="43" spans="1:15" ht="14.25" thickTop="1" thickBot="1" x14ac:dyDescent="0.25">
      <c r="A43" s="13"/>
      <c r="B43" s="14" t="s">
        <v>31</v>
      </c>
      <c r="C43" s="14" t="s">
        <v>31</v>
      </c>
      <c r="D43" s="14" t="s">
        <v>31</v>
      </c>
      <c r="E43" s="14" t="s">
        <v>31</v>
      </c>
      <c r="F43" s="14" t="s">
        <v>31</v>
      </c>
      <c r="G43" s="14" t="s">
        <v>32</v>
      </c>
      <c r="H43" s="14" t="s">
        <v>32</v>
      </c>
      <c r="I43" s="14" t="s">
        <v>32</v>
      </c>
      <c r="J43" s="14" t="s">
        <v>32</v>
      </c>
      <c r="K43" s="14" t="s">
        <v>32</v>
      </c>
      <c r="L43" s="14" t="s">
        <v>32</v>
      </c>
      <c r="M43" s="14" t="s">
        <v>32</v>
      </c>
      <c r="N43" s="14" t="s">
        <v>32</v>
      </c>
      <c r="O43" s="15" t="s">
        <v>32</v>
      </c>
    </row>
    <row r="44" spans="1:15" ht="16.5" thickTop="1" x14ac:dyDescent="0.25">
      <c r="A44" s="16" t="s">
        <v>33</v>
      </c>
      <c r="B44" s="17">
        <f>'[4]Other Assumptions'!D82</f>
        <v>0</v>
      </c>
      <c r="C44" s="18">
        <f>'[4]Other Assumptions'!E82</f>
        <v>0</v>
      </c>
      <c r="D44" s="18">
        <f>'[4]Other Assumptions'!F82</f>
        <v>0</v>
      </c>
      <c r="E44" s="18">
        <f>'[4]Other Assumptions'!G82</f>
        <v>0</v>
      </c>
      <c r="F44" s="18">
        <f>'[4]Other Assumptions'!H82</f>
        <v>0</v>
      </c>
      <c r="G44" s="36">
        <f>'[4]Other Assumptions'!I44</f>
        <v>0</v>
      </c>
      <c r="H44" s="36">
        <f>'[4]Other Assumptions'!J44</f>
        <v>0</v>
      </c>
      <c r="I44" s="36">
        <f>'[4]Other Assumptions'!K44</f>
        <v>0</v>
      </c>
      <c r="J44" s="36">
        <f>'[4]Other Assumptions'!L44</f>
        <v>0</v>
      </c>
      <c r="K44" s="36">
        <f>'[4]Other Assumptions'!M44</f>
        <v>0</v>
      </c>
      <c r="L44" s="36">
        <f>'[4]Other Assumptions'!N44</f>
        <v>0</v>
      </c>
      <c r="M44" s="36">
        <f>'[4]Other Assumptions'!O44</f>
        <v>0</v>
      </c>
      <c r="N44" s="36">
        <f>'[4]Other Assumptions'!P44</f>
        <v>0</v>
      </c>
      <c r="O44" s="37">
        <f>'[4]Other Assumptions'!Q44</f>
        <v>0</v>
      </c>
    </row>
    <row r="45" spans="1:15" ht="15.75" x14ac:dyDescent="0.25">
      <c r="A45" s="16" t="s">
        <v>34</v>
      </c>
      <c r="B45" s="19">
        <f>'[4]Other Assumptions'!D83</f>
        <v>0</v>
      </c>
      <c r="C45" s="20">
        <f>'[4]Other Assumptions'!E83</f>
        <v>0</v>
      </c>
      <c r="D45" s="20">
        <f>'[4]Other Assumptions'!F83</f>
        <v>0</v>
      </c>
      <c r="E45" s="20">
        <f>'[4]Other Assumptions'!G83</f>
        <v>0</v>
      </c>
      <c r="F45" s="20">
        <f>'[4]Other Assumptions'!H83</f>
        <v>0</v>
      </c>
      <c r="G45" s="40">
        <f>'[4]Other Assumptions'!I45</f>
        <v>0</v>
      </c>
      <c r="H45" s="40">
        <f>'[4]Other Assumptions'!J45</f>
        <v>0</v>
      </c>
      <c r="I45" s="40">
        <f>'[4]Other Assumptions'!K45</f>
        <v>0</v>
      </c>
      <c r="J45" s="40">
        <f>'[4]Other Assumptions'!L45</f>
        <v>0</v>
      </c>
      <c r="K45" s="40">
        <f>'[4]Other Assumptions'!M45</f>
        <v>0</v>
      </c>
      <c r="L45" s="40">
        <f>'[4]Other Assumptions'!N45</f>
        <v>0</v>
      </c>
      <c r="M45" s="40">
        <f>'[4]Other Assumptions'!O45</f>
        <v>0</v>
      </c>
      <c r="N45" s="40">
        <f>'[4]Other Assumptions'!P45</f>
        <v>0</v>
      </c>
      <c r="O45" s="41">
        <f>'[4]Other Assumptions'!Q45</f>
        <v>0</v>
      </c>
    </row>
    <row r="46" spans="1:15" ht="15.75" x14ac:dyDescent="0.25">
      <c r="A46" s="16" t="s">
        <v>35</v>
      </c>
      <c r="B46" s="19">
        <f>'[4]Other Assumptions'!D84</f>
        <v>0</v>
      </c>
      <c r="C46" s="20">
        <f>'[4]Other Assumptions'!E84</f>
        <v>0</v>
      </c>
      <c r="D46" s="20">
        <f>'[4]Other Assumptions'!F84</f>
        <v>0</v>
      </c>
      <c r="E46" s="20">
        <f>'[4]Other Assumptions'!G84</f>
        <v>0</v>
      </c>
      <c r="F46" s="20">
        <f>'[4]Other Assumptions'!H84</f>
        <v>0</v>
      </c>
      <c r="G46" s="40">
        <f>'[4]Other Assumptions'!I46</f>
        <v>0</v>
      </c>
      <c r="H46" s="40">
        <f>'[4]Other Assumptions'!J46</f>
        <v>0</v>
      </c>
      <c r="I46" s="40">
        <f>'[4]Other Assumptions'!K46</f>
        <v>0</v>
      </c>
      <c r="J46" s="40">
        <f>'[4]Other Assumptions'!L46</f>
        <v>0</v>
      </c>
      <c r="K46" s="40">
        <f>'[4]Other Assumptions'!M46</f>
        <v>0</v>
      </c>
      <c r="L46" s="40">
        <f>'[4]Other Assumptions'!N46</f>
        <v>0</v>
      </c>
      <c r="M46" s="40">
        <f>'[4]Other Assumptions'!O46</f>
        <v>0</v>
      </c>
      <c r="N46" s="40">
        <f>'[4]Other Assumptions'!P46</f>
        <v>0</v>
      </c>
      <c r="O46" s="41">
        <f>'[4]Other Assumptions'!Q46</f>
        <v>0</v>
      </c>
    </row>
    <row r="47" spans="1:15" ht="15.75" x14ac:dyDescent="0.25">
      <c r="A47" s="16" t="s">
        <v>36</v>
      </c>
      <c r="B47" s="19">
        <f>'[4]Other Assumptions'!D85</f>
        <v>0</v>
      </c>
      <c r="C47" s="20">
        <f>'[4]Other Assumptions'!E85</f>
        <v>0</v>
      </c>
      <c r="D47" s="20">
        <f>'[4]Other Assumptions'!F85</f>
        <v>0</v>
      </c>
      <c r="E47" s="20">
        <f>'[4]Other Assumptions'!G85</f>
        <v>0</v>
      </c>
      <c r="F47" s="20">
        <f>'[4]Other Assumptions'!H85</f>
        <v>0</v>
      </c>
      <c r="G47" s="40">
        <f>'[4]Other Assumptions'!I47</f>
        <v>0</v>
      </c>
      <c r="H47" s="40">
        <f>'[4]Other Assumptions'!J47</f>
        <v>0</v>
      </c>
      <c r="I47" s="40">
        <f>'[4]Other Assumptions'!K47</f>
        <v>0</v>
      </c>
      <c r="J47" s="40">
        <f>'[4]Other Assumptions'!L47</f>
        <v>0</v>
      </c>
      <c r="K47" s="40">
        <f>'[4]Other Assumptions'!M47</f>
        <v>0</v>
      </c>
      <c r="L47" s="40">
        <f>'[4]Other Assumptions'!N47</f>
        <v>0</v>
      </c>
      <c r="M47" s="40">
        <f>'[4]Other Assumptions'!O47</f>
        <v>0</v>
      </c>
      <c r="N47" s="40">
        <f>'[4]Other Assumptions'!P47</f>
        <v>0</v>
      </c>
      <c r="O47" s="41">
        <f>'[4]Other Assumptions'!Q47</f>
        <v>0</v>
      </c>
    </row>
    <row r="48" spans="1:15" ht="15.75" x14ac:dyDescent="0.25">
      <c r="A48" s="16" t="s">
        <v>37</v>
      </c>
      <c r="B48" s="19">
        <f>'[4]Other Assumptions'!D86</f>
        <v>0</v>
      </c>
      <c r="C48" s="20">
        <f>'[4]Other Assumptions'!E86</f>
        <v>0</v>
      </c>
      <c r="D48" s="20">
        <f>'[4]Other Assumptions'!F86</f>
        <v>0</v>
      </c>
      <c r="E48" s="20">
        <f>'[4]Other Assumptions'!G86</f>
        <v>0</v>
      </c>
      <c r="F48" s="20">
        <f>'[4]Other Assumptions'!H86</f>
        <v>0</v>
      </c>
      <c r="G48" s="40">
        <f>'[4]Other Assumptions'!I48</f>
        <v>0</v>
      </c>
      <c r="H48" s="40">
        <f>'[4]Other Assumptions'!J48</f>
        <v>0</v>
      </c>
      <c r="I48" s="40">
        <f>'[4]Other Assumptions'!K48</f>
        <v>0</v>
      </c>
      <c r="J48" s="40">
        <f>'[4]Other Assumptions'!L48</f>
        <v>0</v>
      </c>
      <c r="K48" s="40">
        <f>'[4]Other Assumptions'!M48</f>
        <v>0</v>
      </c>
      <c r="L48" s="40">
        <f>'[4]Other Assumptions'!N48</f>
        <v>0</v>
      </c>
      <c r="M48" s="40">
        <f>'[4]Other Assumptions'!O48</f>
        <v>0</v>
      </c>
      <c r="N48" s="40">
        <f>'[4]Other Assumptions'!P48</f>
        <v>0</v>
      </c>
      <c r="O48" s="41">
        <f>'[4]Other Assumptions'!Q48</f>
        <v>0</v>
      </c>
    </row>
    <row r="49" spans="1:15" ht="15.75" x14ac:dyDescent="0.25">
      <c r="A49" s="16" t="s">
        <v>38</v>
      </c>
      <c r="B49" s="19">
        <f>'[4]Other Assumptions'!D87</f>
        <v>0</v>
      </c>
      <c r="C49" s="20">
        <f>'[4]Other Assumptions'!E87</f>
        <v>0</v>
      </c>
      <c r="D49" s="20">
        <f>'[4]Other Assumptions'!F87</f>
        <v>0</v>
      </c>
      <c r="E49" s="20">
        <f>'[4]Other Assumptions'!G87</f>
        <v>0</v>
      </c>
      <c r="F49" s="20">
        <f>'[4]Other Assumptions'!H87</f>
        <v>0</v>
      </c>
      <c r="G49" s="40">
        <f>'[4]Other Assumptions'!I49</f>
        <v>0</v>
      </c>
      <c r="H49" s="40">
        <f>'[4]Other Assumptions'!J49</f>
        <v>0</v>
      </c>
      <c r="I49" s="40">
        <f>'[4]Other Assumptions'!K49</f>
        <v>0</v>
      </c>
      <c r="J49" s="40">
        <f>'[4]Other Assumptions'!L49</f>
        <v>0</v>
      </c>
      <c r="K49" s="40">
        <f>'[4]Other Assumptions'!M49</f>
        <v>0</v>
      </c>
      <c r="L49" s="40">
        <f>'[4]Other Assumptions'!N49</f>
        <v>0</v>
      </c>
      <c r="M49" s="40">
        <f>'[4]Other Assumptions'!O49</f>
        <v>0</v>
      </c>
      <c r="N49" s="40">
        <f>'[4]Other Assumptions'!P49</f>
        <v>0</v>
      </c>
      <c r="O49" s="41">
        <f>'[4]Other Assumptions'!Q49</f>
        <v>0</v>
      </c>
    </row>
    <row r="50" spans="1:15" ht="15.75" x14ac:dyDescent="0.25">
      <c r="A50" s="16" t="s">
        <v>39</v>
      </c>
      <c r="B50" s="19">
        <f>'[4]Other Assumptions'!D88</f>
        <v>0</v>
      </c>
      <c r="C50" s="20">
        <f>'[4]Other Assumptions'!E88</f>
        <v>0</v>
      </c>
      <c r="D50" s="20">
        <f>'[4]Other Assumptions'!F88</f>
        <v>0</v>
      </c>
      <c r="E50" s="20">
        <f>'[4]Other Assumptions'!G88</f>
        <v>0</v>
      </c>
      <c r="F50" s="20">
        <f>'[4]Other Assumptions'!H88</f>
        <v>0</v>
      </c>
      <c r="G50" s="40">
        <f>'[4]Other Assumptions'!I50</f>
        <v>0</v>
      </c>
      <c r="H50" s="40">
        <f>'[4]Other Assumptions'!J50</f>
        <v>0</v>
      </c>
      <c r="I50" s="40">
        <f>'[4]Other Assumptions'!K50</f>
        <v>0</v>
      </c>
      <c r="J50" s="40">
        <f>'[4]Other Assumptions'!L50</f>
        <v>0</v>
      </c>
      <c r="K50" s="40">
        <f>'[4]Other Assumptions'!M50</f>
        <v>0</v>
      </c>
      <c r="L50" s="40">
        <f>'[4]Other Assumptions'!N50</f>
        <v>0</v>
      </c>
      <c r="M50" s="40">
        <f>'[4]Other Assumptions'!O50</f>
        <v>0</v>
      </c>
      <c r="N50" s="40">
        <f>'[4]Other Assumptions'!P50</f>
        <v>0</v>
      </c>
      <c r="O50" s="41">
        <f>'[4]Other Assumptions'!Q50</f>
        <v>0</v>
      </c>
    </row>
    <row r="51" spans="1:15" ht="15.75" x14ac:dyDescent="0.25">
      <c r="A51" s="16" t="s">
        <v>40</v>
      </c>
      <c r="B51" s="19">
        <f>'[4]Other Assumptions'!D89</f>
        <v>0</v>
      </c>
      <c r="C51" s="20">
        <f>'[4]Other Assumptions'!E89</f>
        <v>0</v>
      </c>
      <c r="D51" s="20">
        <f>'[4]Other Assumptions'!F89</f>
        <v>0</v>
      </c>
      <c r="E51" s="20">
        <f>'[4]Other Assumptions'!G89</f>
        <v>0</v>
      </c>
      <c r="F51" s="20">
        <f>'[4]Other Assumptions'!H89</f>
        <v>0</v>
      </c>
      <c r="G51" s="40">
        <f>'[4]Other Assumptions'!I51</f>
        <v>0</v>
      </c>
      <c r="H51" s="40">
        <f>'[4]Other Assumptions'!J51</f>
        <v>0</v>
      </c>
      <c r="I51" s="40">
        <f>'[4]Other Assumptions'!K51</f>
        <v>0</v>
      </c>
      <c r="J51" s="40">
        <f>'[4]Other Assumptions'!L51</f>
        <v>0</v>
      </c>
      <c r="K51" s="40">
        <f>'[4]Other Assumptions'!M51</f>
        <v>0</v>
      </c>
      <c r="L51" s="40">
        <f>'[4]Other Assumptions'!N51</f>
        <v>0</v>
      </c>
      <c r="M51" s="40">
        <f>'[4]Other Assumptions'!O51</f>
        <v>0</v>
      </c>
      <c r="N51" s="40">
        <f>'[4]Other Assumptions'!P51</f>
        <v>0</v>
      </c>
      <c r="O51" s="41">
        <f>'[4]Other Assumptions'!Q51</f>
        <v>0</v>
      </c>
    </row>
    <row r="52" spans="1:15" ht="15.75" x14ac:dyDescent="0.25">
      <c r="A52" s="16" t="s">
        <v>41</v>
      </c>
      <c r="B52" s="19">
        <f>'[4]Other Assumptions'!D90</f>
        <v>0</v>
      </c>
      <c r="C52" s="20">
        <f>'[4]Other Assumptions'!E90</f>
        <v>0</v>
      </c>
      <c r="D52" s="20">
        <f>'[4]Other Assumptions'!F90</f>
        <v>0</v>
      </c>
      <c r="E52" s="20">
        <f>'[4]Other Assumptions'!G90</f>
        <v>0</v>
      </c>
      <c r="F52" s="20">
        <f>'[4]Other Assumptions'!H90</f>
        <v>0</v>
      </c>
      <c r="G52" s="40">
        <f>'[4]Other Assumptions'!I52</f>
        <v>0</v>
      </c>
      <c r="H52" s="40">
        <f>'[4]Other Assumptions'!J52</f>
        <v>0</v>
      </c>
      <c r="I52" s="40">
        <f>'[4]Other Assumptions'!K52</f>
        <v>0</v>
      </c>
      <c r="J52" s="40">
        <f>'[4]Other Assumptions'!L52</f>
        <v>0</v>
      </c>
      <c r="K52" s="40">
        <f>'[4]Other Assumptions'!M52</f>
        <v>0</v>
      </c>
      <c r="L52" s="40">
        <f>'[4]Other Assumptions'!N52</f>
        <v>0</v>
      </c>
      <c r="M52" s="40">
        <f>'[4]Other Assumptions'!O52</f>
        <v>0</v>
      </c>
      <c r="N52" s="40">
        <f>'[4]Other Assumptions'!P52</f>
        <v>0</v>
      </c>
      <c r="O52" s="41">
        <f>'[4]Other Assumptions'!Q52</f>
        <v>0</v>
      </c>
    </row>
    <row r="53" spans="1:15" ht="15.75" x14ac:dyDescent="0.25">
      <c r="A53" s="16" t="s">
        <v>42</v>
      </c>
      <c r="B53" s="19">
        <f>'[4]Other Assumptions'!D91</f>
        <v>0</v>
      </c>
      <c r="C53" s="20">
        <f>'[4]Other Assumptions'!E91</f>
        <v>0</v>
      </c>
      <c r="D53" s="20">
        <f>'[4]Other Assumptions'!F91</f>
        <v>0</v>
      </c>
      <c r="E53" s="20">
        <f>'[4]Other Assumptions'!G91</f>
        <v>0</v>
      </c>
      <c r="F53" s="20">
        <f>'[4]Other Assumptions'!H91</f>
        <v>0</v>
      </c>
      <c r="G53" s="40">
        <f>'[4]Other Assumptions'!I53</f>
        <v>0</v>
      </c>
      <c r="H53" s="40">
        <f>'[4]Other Assumptions'!J53</f>
        <v>0</v>
      </c>
      <c r="I53" s="40">
        <f>'[4]Other Assumptions'!K53</f>
        <v>0</v>
      </c>
      <c r="J53" s="40">
        <f>'[4]Other Assumptions'!L53</f>
        <v>0</v>
      </c>
      <c r="K53" s="40">
        <f>'[4]Other Assumptions'!M53</f>
        <v>0</v>
      </c>
      <c r="L53" s="40">
        <f>'[4]Other Assumptions'!N53</f>
        <v>0</v>
      </c>
      <c r="M53" s="40">
        <f>'[4]Other Assumptions'!O53</f>
        <v>0</v>
      </c>
      <c r="N53" s="40">
        <f>'[4]Other Assumptions'!P53</f>
        <v>0</v>
      </c>
      <c r="O53" s="41">
        <f>'[4]Other Assumptions'!Q53</f>
        <v>0</v>
      </c>
    </row>
    <row r="54" spans="1:15" ht="15.75" x14ac:dyDescent="0.25">
      <c r="A54" s="16" t="s">
        <v>43</v>
      </c>
      <c r="B54" s="19">
        <f>'[4]Other Assumptions'!D92</f>
        <v>0</v>
      </c>
      <c r="C54" s="20">
        <f>'[4]Other Assumptions'!E92</f>
        <v>0</v>
      </c>
      <c r="D54" s="20">
        <f>'[4]Other Assumptions'!F92</f>
        <v>0</v>
      </c>
      <c r="E54" s="20">
        <f>'[4]Other Assumptions'!G92</f>
        <v>0</v>
      </c>
      <c r="F54" s="20">
        <f>'[4]Other Assumptions'!H92</f>
        <v>0</v>
      </c>
      <c r="G54" s="40">
        <f>'[4]Other Assumptions'!I54</f>
        <v>0</v>
      </c>
      <c r="H54" s="40">
        <f>'[4]Other Assumptions'!J54</f>
        <v>0</v>
      </c>
      <c r="I54" s="40">
        <f>'[4]Other Assumptions'!K54</f>
        <v>0</v>
      </c>
      <c r="J54" s="40">
        <f>'[4]Other Assumptions'!L54</f>
        <v>0</v>
      </c>
      <c r="K54" s="40">
        <f>'[4]Other Assumptions'!M54</f>
        <v>0</v>
      </c>
      <c r="L54" s="40">
        <f>'[4]Other Assumptions'!N54</f>
        <v>0</v>
      </c>
      <c r="M54" s="40">
        <f>'[4]Other Assumptions'!O54</f>
        <v>0</v>
      </c>
      <c r="N54" s="40">
        <f>'[4]Other Assumptions'!P54</f>
        <v>0</v>
      </c>
      <c r="O54" s="41">
        <f>'[4]Other Assumptions'!Q54</f>
        <v>0</v>
      </c>
    </row>
    <row r="55" spans="1:15" ht="15.75" x14ac:dyDescent="0.25">
      <c r="A55" s="16" t="s">
        <v>44</v>
      </c>
      <c r="B55" s="19">
        <f>'[4]Other Assumptions'!D93</f>
        <v>0</v>
      </c>
      <c r="C55" s="20">
        <f>'[4]Other Assumptions'!E93</f>
        <v>0</v>
      </c>
      <c r="D55" s="20">
        <f>'[4]Other Assumptions'!F93</f>
        <v>0</v>
      </c>
      <c r="E55" s="20">
        <f>'[4]Other Assumptions'!G93</f>
        <v>0</v>
      </c>
      <c r="F55" s="20">
        <f>'[4]Other Assumptions'!H93</f>
        <v>0</v>
      </c>
      <c r="G55" s="40">
        <f>'[4]Other Assumptions'!I55</f>
        <v>0</v>
      </c>
      <c r="H55" s="40">
        <f>'[4]Other Assumptions'!J55</f>
        <v>0</v>
      </c>
      <c r="I55" s="40">
        <f>'[4]Other Assumptions'!K55</f>
        <v>0</v>
      </c>
      <c r="J55" s="40">
        <f>'[4]Other Assumptions'!L55</f>
        <v>0</v>
      </c>
      <c r="K55" s="40">
        <f>'[4]Other Assumptions'!M55</f>
        <v>0</v>
      </c>
      <c r="L55" s="40">
        <f>'[4]Other Assumptions'!N55</f>
        <v>0</v>
      </c>
      <c r="M55" s="40">
        <f>'[4]Other Assumptions'!O55</f>
        <v>0</v>
      </c>
      <c r="N55" s="40">
        <f>'[4]Other Assumptions'!P55</f>
        <v>0</v>
      </c>
      <c r="O55" s="41">
        <f>'[4]Other Assumptions'!Q55</f>
        <v>0</v>
      </c>
    </row>
    <row r="56" spans="1:15" ht="15.75" x14ac:dyDescent="0.25">
      <c r="A56" s="16" t="s">
        <v>45</v>
      </c>
      <c r="B56" s="19">
        <f>'[4]Other Assumptions'!D94</f>
        <v>0</v>
      </c>
      <c r="C56" s="20">
        <f>'[4]Other Assumptions'!E94</f>
        <v>0</v>
      </c>
      <c r="D56" s="20">
        <f>'[4]Other Assumptions'!F94</f>
        <v>0</v>
      </c>
      <c r="E56" s="20">
        <f>'[4]Other Assumptions'!G94</f>
        <v>0</v>
      </c>
      <c r="F56" s="20">
        <f>'[4]Other Assumptions'!H94</f>
        <v>0</v>
      </c>
      <c r="G56" s="40">
        <f>'[4]Other Assumptions'!I56</f>
        <v>0</v>
      </c>
      <c r="H56" s="40">
        <f>'[4]Other Assumptions'!J56</f>
        <v>0</v>
      </c>
      <c r="I56" s="40">
        <f>'[4]Other Assumptions'!K56</f>
        <v>0</v>
      </c>
      <c r="J56" s="40">
        <f>'[4]Other Assumptions'!L56</f>
        <v>0</v>
      </c>
      <c r="K56" s="40">
        <f>'[4]Other Assumptions'!M56</f>
        <v>0</v>
      </c>
      <c r="L56" s="40">
        <f>'[4]Other Assumptions'!N56</f>
        <v>0</v>
      </c>
      <c r="M56" s="40">
        <f>'[4]Other Assumptions'!O56</f>
        <v>0</v>
      </c>
      <c r="N56" s="40">
        <f>'[4]Other Assumptions'!P56</f>
        <v>0</v>
      </c>
      <c r="O56" s="41">
        <f>'[4]Other Assumptions'!Q56</f>
        <v>0</v>
      </c>
    </row>
    <row r="57" spans="1:15" ht="16.5" thickBot="1" x14ac:dyDescent="0.3">
      <c r="A57" s="23" t="s">
        <v>46</v>
      </c>
      <c r="B57" s="24">
        <f>'[4]Other Assumptions'!D95</f>
        <v>0</v>
      </c>
      <c r="C57" s="25">
        <f>'[4]Other Assumptions'!E95</f>
        <v>0</v>
      </c>
      <c r="D57" s="25">
        <f>'[4]Other Assumptions'!F95</f>
        <v>0</v>
      </c>
      <c r="E57" s="25">
        <f>'[4]Other Assumptions'!G95</f>
        <v>0</v>
      </c>
      <c r="F57" s="25">
        <f>'[4]Other Assumptions'!H95</f>
        <v>0</v>
      </c>
      <c r="G57" s="53">
        <f>'[4]Other Assumptions'!I57</f>
        <v>0</v>
      </c>
      <c r="H57" s="53">
        <f>'[4]Other Assumptions'!J57</f>
        <v>0</v>
      </c>
      <c r="I57" s="53">
        <f>'[4]Other Assumptions'!K57</f>
        <v>0</v>
      </c>
      <c r="J57" s="53">
        <f>'[4]Other Assumptions'!L57</f>
        <v>0</v>
      </c>
      <c r="K57" s="53">
        <f>'[4]Other Assumptions'!M57</f>
        <v>0</v>
      </c>
      <c r="L57" s="53">
        <f>'[4]Other Assumptions'!N57</f>
        <v>0</v>
      </c>
      <c r="M57" s="53">
        <f>'[4]Other Assumptions'!O57</f>
        <v>0</v>
      </c>
      <c r="N57" s="53">
        <f>'[4]Other Assumptions'!P57</f>
        <v>0</v>
      </c>
      <c r="O57" s="54">
        <f>'[4]Other Assumptions'!Q57</f>
        <v>0</v>
      </c>
    </row>
    <row r="58" spans="1:15" ht="13.5" thickTop="1" x14ac:dyDescent="0.2"/>
    <row r="59" spans="1:15" ht="13.5" thickBot="1" x14ac:dyDescent="0.25"/>
    <row r="60" spans="1:15" ht="16.5" thickTop="1" x14ac:dyDescent="0.25">
      <c r="A60" s="6" t="s">
        <v>47</v>
      </c>
      <c r="B60" s="7"/>
      <c r="C60" s="8"/>
      <c r="D60" s="8"/>
      <c r="E60" s="8"/>
      <c r="F60" s="8"/>
      <c r="G60" s="7"/>
      <c r="H60" s="7"/>
      <c r="I60" s="7"/>
      <c r="J60" s="7"/>
      <c r="K60" s="7"/>
      <c r="L60" s="7"/>
      <c r="M60" s="7"/>
      <c r="N60" s="7"/>
      <c r="O60" s="9"/>
    </row>
    <row r="61" spans="1:15" ht="13.5" thickBot="1" x14ac:dyDescent="0.25">
      <c r="A61" s="10"/>
      <c r="B61" s="11" t="s">
        <v>22</v>
      </c>
      <c r="C61" s="11" t="s">
        <v>23</v>
      </c>
      <c r="D61" s="11" t="s">
        <v>24</v>
      </c>
      <c r="E61" s="11" t="s">
        <v>118</v>
      </c>
      <c r="F61" s="11" t="s">
        <v>119</v>
      </c>
      <c r="G61" s="11" t="s">
        <v>25</v>
      </c>
      <c r="H61" s="11" t="s">
        <v>26</v>
      </c>
      <c r="I61" s="11" t="s">
        <v>27</v>
      </c>
      <c r="J61" s="11" t="s">
        <v>28</v>
      </c>
      <c r="K61" s="11" t="s">
        <v>29</v>
      </c>
      <c r="L61" s="11" t="s">
        <v>30</v>
      </c>
      <c r="M61" s="11" t="s">
        <v>120</v>
      </c>
      <c r="N61" s="11" t="s">
        <v>121</v>
      </c>
      <c r="O61" s="12" t="s">
        <v>122</v>
      </c>
    </row>
    <row r="62" spans="1:15" ht="14.25" thickTop="1" thickBot="1" x14ac:dyDescent="0.25">
      <c r="A62" s="13"/>
      <c r="B62" s="14" t="s">
        <v>31</v>
      </c>
      <c r="C62" s="14" t="s">
        <v>31</v>
      </c>
      <c r="D62" s="14" t="s">
        <v>31</v>
      </c>
      <c r="E62" s="14" t="s">
        <v>31</v>
      </c>
      <c r="F62" s="14" t="s">
        <v>31</v>
      </c>
      <c r="G62" s="14" t="s">
        <v>32</v>
      </c>
      <c r="H62" s="14" t="s">
        <v>32</v>
      </c>
      <c r="I62" s="14" t="s">
        <v>32</v>
      </c>
      <c r="J62" s="14" t="s">
        <v>32</v>
      </c>
      <c r="K62" s="14" t="s">
        <v>32</v>
      </c>
      <c r="L62" s="14" t="s">
        <v>32</v>
      </c>
      <c r="M62" s="14" t="s">
        <v>32</v>
      </c>
      <c r="N62" s="14" t="s">
        <v>32</v>
      </c>
      <c r="O62" s="15" t="s">
        <v>32</v>
      </c>
    </row>
    <row r="63" spans="1:15" ht="13.5" thickTop="1" x14ac:dyDescent="0.2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30"/>
    </row>
    <row r="64" spans="1:15" ht="15.75" x14ac:dyDescent="0.25">
      <c r="A64" s="16" t="s">
        <v>34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30"/>
    </row>
    <row r="65" spans="1:15" ht="15.75" x14ac:dyDescent="0.25">
      <c r="A65" s="16" t="s">
        <v>48</v>
      </c>
      <c r="B65" s="31"/>
      <c r="C65" s="31"/>
      <c r="D65" s="31"/>
      <c r="E65" s="31"/>
      <c r="F65" s="31"/>
      <c r="G65" s="31"/>
      <c r="H65" s="29"/>
      <c r="I65" s="29"/>
      <c r="J65" s="29"/>
      <c r="K65" s="29"/>
      <c r="L65" s="29"/>
      <c r="M65" s="33"/>
      <c r="N65" s="33"/>
      <c r="O65" s="55"/>
    </row>
    <row r="66" spans="1:15" ht="15.75" x14ac:dyDescent="0.25">
      <c r="A66" s="16" t="s">
        <v>49</v>
      </c>
      <c r="B66" s="29"/>
      <c r="C66" s="29"/>
      <c r="D66" s="29"/>
      <c r="E66" s="29"/>
      <c r="F66" s="29"/>
      <c r="G66" s="40">
        <f>'[4]Other Assumptions'!I66</f>
        <v>0</v>
      </c>
      <c r="H66" s="40">
        <f>'[4]Other Assumptions'!J66</f>
        <v>0</v>
      </c>
      <c r="I66" s="40">
        <f>'[4]Other Assumptions'!K66</f>
        <v>0</v>
      </c>
      <c r="J66" s="40">
        <f>'[4]Other Assumptions'!L66</f>
        <v>0</v>
      </c>
      <c r="K66" s="40">
        <f>'[4]Other Assumptions'!M66</f>
        <v>0</v>
      </c>
      <c r="L66" s="40">
        <f>'[4]Other Assumptions'!N66</f>
        <v>0</v>
      </c>
      <c r="M66" s="40">
        <f>'[4]Other Assumptions'!O66</f>
        <v>0</v>
      </c>
      <c r="N66" s="40">
        <f>'[4]Other Assumptions'!P66</f>
        <v>0</v>
      </c>
      <c r="O66" s="41">
        <f>'[4]Other Assumptions'!Q66</f>
        <v>0</v>
      </c>
    </row>
    <row r="67" spans="1:15" ht="15.75" x14ac:dyDescent="0.25">
      <c r="A67" s="16" t="s">
        <v>50</v>
      </c>
      <c r="B67" s="29"/>
      <c r="C67" s="29"/>
      <c r="D67" s="29"/>
      <c r="E67" s="29"/>
      <c r="F67" s="29"/>
      <c r="G67" s="40">
        <f>'[4]Other Assumptions'!I67</f>
        <v>0</v>
      </c>
      <c r="H67" s="40">
        <f>'[4]Other Assumptions'!J67</f>
        <v>0</v>
      </c>
      <c r="I67" s="40">
        <f>'[4]Other Assumptions'!K67</f>
        <v>0</v>
      </c>
      <c r="J67" s="40">
        <f>'[4]Other Assumptions'!L67</f>
        <v>0</v>
      </c>
      <c r="K67" s="40">
        <f>'[4]Other Assumptions'!M67</f>
        <v>0</v>
      </c>
      <c r="L67" s="40">
        <f>'[4]Other Assumptions'!N67</f>
        <v>0</v>
      </c>
      <c r="M67" s="40">
        <f>'[4]Other Assumptions'!O67</f>
        <v>0</v>
      </c>
      <c r="N67" s="40">
        <f>'[4]Other Assumptions'!P67</f>
        <v>0</v>
      </c>
      <c r="O67" s="41">
        <f>'[4]Other Assumptions'!Q67</f>
        <v>0</v>
      </c>
    </row>
    <row r="68" spans="1:15" ht="15.75" x14ac:dyDescent="0.25">
      <c r="A68" s="16" t="s">
        <v>51</v>
      </c>
      <c r="B68" s="29"/>
      <c r="C68" s="29"/>
      <c r="D68" s="29"/>
      <c r="E68" s="29"/>
      <c r="F68" s="29"/>
      <c r="G68" s="33"/>
      <c r="H68" s="33"/>
      <c r="I68" s="33"/>
      <c r="J68" s="33"/>
      <c r="K68" s="33"/>
      <c r="L68" s="33"/>
      <c r="M68" s="33"/>
      <c r="N68" s="33"/>
      <c r="O68" s="55"/>
    </row>
    <row r="69" spans="1:15" ht="15.75" x14ac:dyDescent="0.25">
      <c r="A69" s="16" t="s">
        <v>52</v>
      </c>
      <c r="B69" s="29"/>
      <c r="C69" s="29"/>
      <c r="D69" s="29"/>
      <c r="E69" s="29"/>
      <c r="F69" s="29"/>
      <c r="G69" s="40">
        <f>'[4]Other Assumptions'!I69</f>
        <v>0</v>
      </c>
      <c r="H69" s="40">
        <f>'[4]Other Assumptions'!J69</f>
        <v>0</v>
      </c>
      <c r="I69" s="40">
        <f>'[4]Other Assumptions'!K69</f>
        <v>0</v>
      </c>
      <c r="J69" s="40">
        <f>'[4]Other Assumptions'!L69</f>
        <v>0</v>
      </c>
      <c r="K69" s="40">
        <f>'[4]Other Assumptions'!M69</f>
        <v>0</v>
      </c>
      <c r="L69" s="40">
        <f>'[4]Other Assumptions'!N69</f>
        <v>0</v>
      </c>
      <c r="M69" s="40">
        <f>'[4]Other Assumptions'!O69</f>
        <v>0</v>
      </c>
      <c r="N69" s="40">
        <f>'[4]Other Assumptions'!P69</f>
        <v>0</v>
      </c>
      <c r="O69" s="41">
        <f>'[4]Other Assumptions'!Q69</f>
        <v>0</v>
      </c>
    </row>
    <row r="70" spans="1:15" ht="15.75" x14ac:dyDescent="0.25">
      <c r="A70" s="16" t="s">
        <v>53</v>
      </c>
      <c r="B70" s="29"/>
      <c r="C70" s="29"/>
      <c r="D70" s="29"/>
      <c r="E70" s="29"/>
      <c r="F70" s="29"/>
      <c r="G70" s="40">
        <f>'[4]Other Assumptions'!I70</f>
        <v>0</v>
      </c>
      <c r="H70" s="40">
        <f>'[4]Other Assumptions'!J70</f>
        <v>0</v>
      </c>
      <c r="I70" s="40">
        <f>'[4]Other Assumptions'!K70</f>
        <v>0</v>
      </c>
      <c r="J70" s="40">
        <f>'[4]Other Assumptions'!L70</f>
        <v>0</v>
      </c>
      <c r="K70" s="40">
        <f>'[4]Other Assumptions'!M70</f>
        <v>0</v>
      </c>
      <c r="L70" s="40">
        <f>'[4]Other Assumptions'!N70</f>
        <v>0</v>
      </c>
      <c r="M70" s="40">
        <f>'[4]Other Assumptions'!O70</f>
        <v>0</v>
      </c>
      <c r="N70" s="40">
        <f>'[4]Other Assumptions'!P70</f>
        <v>0</v>
      </c>
      <c r="O70" s="41">
        <f>'[4]Other Assumptions'!Q70</f>
        <v>0</v>
      </c>
    </row>
    <row r="71" spans="1:15" ht="15.75" x14ac:dyDescent="0.25">
      <c r="A71" s="16" t="s">
        <v>54</v>
      </c>
      <c r="B71" s="29"/>
      <c r="C71" s="29"/>
      <c r="D71" s="29"/>
      <c r="E71" s="29"/>
      <c r="F71" s="29"/>
      <c r="G71" s="40">
        <f>'[4]Other Assumptions'!I71</f>
        <v>0</v>
      </c>
      <c r="H71" s="40">
        <f>'[4]Other Assumptions'!J71</f>
        <v>0</v>
      </c>
      <c r="I71" s="40">
        <f>'[4]Other Assumptions'!K71</f>
        <v>0</v>
      </c>
      <c r="J71" s="40">
        <f>'[4]Other Assumptions'!L71</f>
        <v>0</v>
      </c>
      <c r="K71" s="40">
        <f>'[4]Other Assumptions'!M71</f>
        <v>0</v>
      </c>
      <c r="L71" s="40">
        <f>'[4]Other Assumptions'!N71</f>
        <v>0</v>
      </c>
      <c r="M71" s="40">
        <f>'[4]Other Assumptions'!O71</f>
        <v>0</v>
      </c>
      <c r="N71" s="40">
        <f>'[4]Other Assumptions'!P71</f>
        <v>0</v>
      </c>
      <c r="O71" s="41">
        <f>'[4]Other Assumptions'!Q71</f>
        <v>0</v>
      </c>
    </row>
    <row r="72" spans="1:15" ht="15.75" x14ac:dyDescent="0.25">
      <c r="A72" s="16" t="s">
        <v>55</v>
      </c>
      <c r="B72" s="29"/>
      <c r="C72" s="29"/>
      <c r="D72" s="29"/>
      <c r="E72" s="29"/>
      <c r="F72" s="29"/>
      <c r="G72" s="40">
        <f>'[4]Other Assumptions'!I72</f>
        <v>0</v>
      </c>
      <c r="H72" s="40">
        <f>'[4]Other Assumptions'!J72</f>
        <v>0</v>
      </c>
      <c r="I72" s="40">
        <f>'[4]Other Assumptions'!K72</f>
        <v>0</v>
      </c>
      <c r="J72" s="40">
        <f>'[4]Other Assumptions'!L72</f>
        <v>0</v>
      </c>
      <c r="K72" s="40">
        <f>'[4]Other Assumptions'!M72</f>
        <v>0</v>
      </c>
      <c r="L72" s="40">
        <f>'[4]Other Assumptions'!N72</f>
        <v>0</v>
      </c>
      <c r="M72" s="40">
        <f>'[4]Other Assumptions'!O72</f>
        <v>0</v>
      </c>
      <c r="N72" s="40">
        <f>'[4]Other Assumptions'!P72</f>
        <v>0</v>
      </c>
      <c r="O72" s="41">
        <f>'[4]Other Assumptions'!Q72</f>
        <v>0</v>
      </c>
    </row>
    <row r="73" spans="1:15" ht="15.75" x14ac:dyDescent="0.25">
      <c r="A73" s="16" t="s">
        <v>56</v>
      </c>
      <c r="B73" s="29"/>
      <c r="C73" s="29"/>
      <c r="D73" s="29"/>
      <c r="E73" s="29"/>
      <c r="F73" s="29"/>
      <c r="G73" s="40">
        <f>'[4]Other Assumptions'!I73</f>
        <v>0</v>
      </c>
      <c r="H73" s="40">
        <f>'[4]Other Assumptions'!J73</f>
        <v>0</v>
      </c>
      <c r="I73" s="40">
        <f>'[4]Other Assumptions'!K73</f>
        <v>0</v>
      </c>
      <c r="J73" s="40">
        <f>'[4]Other Assumptions'!L73</f>
        <v>0</v>
      </c>
      <c r="K73" s="40">
        <f>'[4]Other Assumptions'!M73</f>
        <v>0</v>
      </c>
      <c r="L73" s="40">
        <f>'[4]Other Assumptions'!N73</f>
        <v>0</v>
      </c>
      <c r="M73" s="40">
        <f>'[4]Other Assumptions'!O73</f>
        <v>0</v>
      </c>
      <c r="N73" s="40">
        <f>'[4]Other Assumptions'!P73</f>
        <v>0</v>
      </c>
      <c r="O73" s="41">
        <f>'[4]Other Assumptions'!Q73</f>
        <v>0</v>
      </c>
    </row>
    <row r="74" spans="1:15" x14ac:dyDescent="0.2">
      <c r="A74" s="32"/>
      <c r="B74" s="29"/>
      <c r="C74" s="29"/>
      <c r="D74" s="29"/>
      <c r="E74" s="29"/>
      <c r="F74" s="29"/>
      <c r="G74" s="33"/>
      <c r="H74" s="33"/>
      <c r="I74" s="33"/>
      <c r="J74" s="33"/>
      <c r="K74" s="33"/>
      <c r="L74" s="33"/>
      <c r="M74" s="33"/>
      <c r="N74" s="33"/>
      <c r="O74" s="55"/>
    </row>
    <row r="75" spans="1:15" ht="15.75" x14ac:dyDescent="0.25">
      <c r="A75" s="16" t="s">
        <v>41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33"/>
      <c r="N75" s="33"/>
      <c r="O75" s="55"/>
    </row>
    <row r="76" spans="1:15" ht="15.75" x14ac:dyDescent="0.25">
      <c r="A76" s="16" t="s">
        <v>48</v>
      </c>
      <c r="B76" s="31"/>
      <c r="C76" s="31"/>
      <c r="D76" s="31"/>
      <c r="E76" s="31"/>
      <c r="F76" s="31"/>
      <c r="G76" s="31"/>
      <c r="H76" s="33"/>
      <c r="I76" s="29"/>
      <c r="J76" s="29"/>
      <c r="K76" s="29"/>
      <c r="L76" s="29"/>
      <c r="M76" s="33"/>
      <c r="N76" s="33"/>
      <c r="O76" s="55"/>
    </row>
    <row r="77" spans="1:15" ht="15.75" x14ac:dyDescent="0.25">
      <c r="A77" s="16" t="s">
        <v>49</v>
      </c>
      <c r="B77" s="29"/>
      <c r="C77" s="29"/>
      <c r="D77" s="29"/>
      <c r="E77" s="29"/>
      <c r="F77" s="29"/>
      <c r="G77" s="40">
        <f>'[4]Other Assumptions'!I77</f>
        <v>0</v>
      </c>
      <c r="H77" s="40">
        <f>'[4]Other Assumptions'!J77</f>
        <v>0</v>
      </c>
      <c r="I77" s="40">
        <f>'[4]Other Assumptions'!K77</f>
        <v>0</v>
      </c>
      <c r="J77" s="40">
        <f>'[4]Other Assumptions'!L77</f>
        <v>0</v>
      </c>
      <c r="K77" s="40">
        <f>'[4]Other Assumptions'!M77</f>
        <v>0</v>
      </c>
      <c r="L77" s="40">
        <f>'[4]Other Assumptions'!N77</f>
        <v>0</v>
      </c>
      <c r="M77" s="40">
        <f>'[4]Other Assumptions'!O77</f>
        <v>0</v>
      </c>
      <c r="N77" s="40">
        <f>'[4]Other Assumptions'!P77</f>
        <v>0</v>
      </c>
      <c r="O77" s="41">
        <f>'[4]Other Assumptions'!Q77</f>
        <v>0</v>
      </c>
    </row>
    <row r="78" spans="1:15" ht="15.75" x14ac:dyDescent="0.25">
      <c r="A78" s="16" t="s">
        <v>50</v>
      </c>
      <c r="B78" s="29"/>
      <c r="C78" s="29"/>
      <c r="D78" s="29"/>
      <c r="E78" s="29"/>
      <c r="F78" s="29"/>
      <c r="G78" s="40">
        <f>'[4]Other Assumptions'!I78</f>
        <v>0</v>
      </c>
      <c r="H78" s="40">
        <f>'[4]Other Assumptions'!J78</f>
        <v>0</v>
      </c>
      <c r="I78" s="40">
        <f>'[4]Other Assumptions'!K78</f>
        <v>0</v>
      </c>
      <c r="J78" s="40">
        <f>'[4]Other Assumptions'!L78</f>
        <v>0</v>
      </c>
      <c r="K78" s="40">
        <f>'[4]Other Assumptions'!M78</f>
        <v>0</v>
      </c>
      <c r="L78" s="40">
        <f>'[4]Other Assumptions'!N78</f>
        <v>0</v>
      </c>
      <c r="M78" s="40">
        <f>'[4]Other Assumptions'!O78</f>
        <v>0</v>
      </c>
      <c r="N78" s="40">
        <f>'[4]Other Assumptions'!P78</f>
        <v>0</v>
      </c>
      <c r="O78" s="41">
        <f>'[4]Other Assumptions'!Q78</f>
        <v>0</v>
      </c>
    </row>
    <row r="79" spans="1:15" ht="15.75" x14ac:dyDescent="0.25">
      <c r="A79" s="16" t="s">
        <v>51</v>
      </c>
      <c r="B79" s="29"/>
      <c r="C79" s="29"/>
      <c r="D79" s="29"/>
      <c r="E79" s="29"/>
      <c r="F79" s="29"/>
      <c r="G79" s="33"/>
      <c r="H79" s="33"/>
      <c r="I79" s="33"/>
      <c r="J79" s="33"/>
      <c r="K79" s="33"/>
      <c r="L79" s="33"/>
      <c r="M79" s="33"/>
      <c r="N79" s="33"/>
      <c r="O79" s="55"/>
    </row>
    <row r="80" spans="1:15" ht="15.75" x14ac:dyDescent="0.25">
      <c r="A80" s="16" t="s">
        <v>52</v>
      </c>
      <c r="B80" s="29"/>
      <c r="C80" s="29"/>
      <c r="D80" s="29"/>
      <c r="E80" s="29"/>
      <c r="F80" s="29"/>
      <c r="G80" s="40">
        <f>'[4]Other Assumptions'!I80</f>
        <v>0</v>
      </c>
      <c r="H80" s="40">
        <f>'[4]Other Assumptions'!J80</f>
        <v>0</v>
      </c>
      <c r="I80" s="40">
        <f>'[4]Other Assumptions'!K80</f>
        <v>0</v>
      </c>
      <c r="J80" s="40">
        <f>'[4]Other Assumptions'!L80</f>
        <v>0</v>
      </c>
      <c r="K80" s="40">
        <f>'[4]Other Assumptions'!M80</f>
        <v>0</v>
      </c>
      <c r="L80" s="40">
        <f>'[4]Other Assumptions'!N80</f>
        <v>0</v>
      </c>
      <c r="M80" s="40">
        <f>'[4]Other Assumptions'!O80</f>
        <v>0</v>
      </c>
      <c r="N80" s="40">
        <f>'[4]Other Assumptions'!P80</f>
        <v>0</v>
      </c>
      <c r="O80" s="41">
        <f>'[4]Other Assumptions'!Q80</f>
        <v>0</v>
      </c>
    </row>
    <row r="81" spans="1:15" ht="15.75" x14ac:dyDescent="0.25">
      <c r="A81" s="16" t="s">
        <v>53</v>
      </c>
      <c r="B81" s="29"/>
      <c r="C81" s="29"/>
      <c r="D81" s="29"/>
      <c r="E81" s="29"/>
      <c r="F81" s="29"/>
      <c r="G81" s="40">
        <f>'[4]Other Assumptions'!I81</f>
        <v>0</v>
      </c>
      <c r="H81" s="40">
        <f>'[4]Other Assumptions'!J81</f>
        <v>0</v>
      </c>
      <c r="I81" s="40">
        <f>'[4]Other Assumptions'!K81</f>
        <v>0</v>
      </c>
      <c r="J81" s="40">
        <f>'[4]Other Assumptions'!L81</f>
        <v>0</v>
      </c>
      <c r="K81" s="40">
        <f>'[4]Other Assumptions'!M81</f>
        <v>0</v>
      </c>
      <c r="L81" s="40">
        <f>'[4]Other Assumptions'!N81</f>
        <v>0</v>
      </c>
      <c r="M81" s="40">
        <f>'[4]Other Assumptions'!O81</f>
        <v>0</v>
      </c>
      <c r="N81" s="40">
        <f>'[4]Other Assumptions'!P81</f>
        <v>0</v>
      </c>
      <c r="O81" s="41">
        <f>'[4]Other Assumptions'!Q81</f>
        <v>0</v>
      </c>
    </row>
    <row r="82" spans="1:15" ht="15.75" x14ac:dyDescent="0.25">
      <c r="A82" s="16" t="s">
        <v>54</v>
      </c>
      <c r="B82" s="29"/>
      <c r="C82" s="29"/>
      <c r="D82" s="29"/>
      <c r="E82" s="29"/>
      <c r="F82" s="29"/>
      <c r="G82" s="40">
        <f>'[4]Other Assumptions'!I82</f>
        <v>0</v>
      </c>
      <c r="H82" s="40">
        <f>'[4]Other Assumptions'!J82</f>
        <v>0</v>
      </c>
      <c r="I82" s="40">
        <f>'[4]Other Assumptions'!K82</f>
        <v>0</v>
      </c>
      <c r="J82" s="40">
        <f>'[4]Other Assumptions'!L82</f>
        <v>0</v>
      </c>
      <c r="K82" s="40">
        <f>'[4]Other Assumptions'!M82</f>
        <v>0</v>
      </c>
      <c r="L82" s="40">
        <f>'[4]Other Assumptions'!N82</f>
        <v>0</v>
      </c>
      <c r="M82" s="40">
        <f>'[4]Other Assumptions'!O82</f>
        <v>0</v>
      </c>
      <c r="N82" s="40">
        <f>'[4]Other Assumptions'!P82</f>
        <v>0</v>
      </c>
      <c r="O82" s="41">
        <f>'[4]Other Assumptions'!Q82</f>
        <v>0</v>
      </c>
    </row>
    <row r="83" spans="1:15" ht="15.75" x14ac:dyDescent="0.25">
      <c r="A83" s="16" t="s">
        <v>55</v>
      </c>
      <c r="B83" s="29"/>
      <c r="C83" s="29"/>
      <c r="D83" s="29"/>
      <c r="E83" s="29"/>
      <c r="F83" s="29"/>
      <c r="G83" s="40">
        <f>'[4]Other Assumptions'!I83</f>
        <v>0</v>
      </c>
      <c r="H83" s="40">
        <f>'[4]Other Assumptions'!J83</f>
        <v>0</v>
      </c>
      <c r="I83" s="40">
        <f>'[4]Other Assumptions'!K83</f>
        <v>0</v>
      </c>
      <c r="J83" s="40">
        <f>'[4]Other Assumptions'!L83</f>
        <v>0</v>
      </c>
      <c r="K83" s="40">
        <f>'[4]Other Assumptions'!M83</f>
        <v>0</v>
      </c>
      <c r="L83" s="40">
        <f>'[4]Other Assumptions'!N83</f>
        <v>0</v>
      </c>
      <c r="M83" s="40">
        <f>'[4]Other Assumptions'!O83</f>
        <v>0</v>
      </c>
      <c r="N83" s="40">
        <f>'[4]Other Assumptions'!P83</f>
        <v>0</v>
      </c>
      <c r="O83" s="41">
        <f>'[4]Other Assumptions'!Q83</f>
        <v>0</v>
      </c>
    </row>
    <row r="84" spans="1:15" ht="15.75" x14ac:dyDescent="0.25">
      <c r="A84" s="16" t="s">
        <v>56</v>
      </c>
      <c r="B84" s="29"/>
      <c r="C84" s="29"/>
      <c r="D84" s="29"/>
      <c r="E84" s="29"/>
      <c r="F84" s="29"/>
      <c r="G84" s="40">
        <f>'[4]Other Assumptions'!I84</f>
        <v>0</v>
      </c>
      <c r="H84" s="40">
        <f>'[4]Other Assumptions'!J84</f>
        <v>0</v>
      </c>
      <c r="I84" s="40">
        <f>'[4]Other Assumptions'!K84</f>
        <v>0</v>
      </c>
      <c r="J84" s="40">
        <f>'[4]Other Assumptions'!L84</f>
        <v>0</v>
      </c>
      <c r="K84" s="40">
        <f>'[4]Other Assumptions'!M84</f>
        <v>0</v>
      </c>
      <c r="L84" s="40">
        <f>'[4]Other Assumptions'!N84</f>
        <v>0</v>
      </c>
      <c r="M84" s="40">
        <f>'[4]Other Assumptions'!O84</f>
        <v>0</v>
      </c>
      <c r="N84" s="40">
        <f>'[4]Other Assumptions'!P84</f>
        <v>0</v>
      </c>
      <c r="O84" s="41">
        <f>'[4]Other Assumptions'!Q84</f>
        <v>0</v>
      </c>
    </row>
    <row r="85" spans="1:15" x14ac:dyDescent="0.2">
      <c r="A85" s="32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33"/>
      <c r="N85" s="33"/>
      <c r="O85" s="55"/>
    </row>
    <row r="86" spans="1:15" ht="15.75" x14ac:dyDescent="0.25">
      <c r="A86" s="16" t="s">
        <v>44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33"/>
      <c r="N86" s="33"/>
      <c r="O86" s="55"/>
    </row>
    <row r="87" spans="1:15" ht="15.75" x14ac:dyDescent="0.25">
      <c r="A87" s="16" t="s">
        <v>48</v>
      </c>
      <c r="B87" s="31"/>
      <c r="C87" s="31"/>
      <c r="D87" s="31"/>
      <c r="E87" s="31"/>
      <c r="F87" s="31"/>
      <c r="G87" s="31"/>
      <c r="H87" s="29"/>
      <c r="I87" s="29"/>
      <c r="J87" s="29"/>
      <c r="K87" s="29"/>
      <c r="L87" s="29"/>
      <c r="M87" s="33"/>
      <c r="N87" s="33"/>
      <c r="O87" s="55"/>
    </row>
    <row r="88" spans="1:15" ht="15.75" x14ac:dyDescent="0.25">
      <c r="A88" s="16" t="s">
        <v>49</v>
      </c>
      <c r="B88" s="29"/>
      <c r="C88" s="29"/>
      <c r="D88" s="29"/>
      <c r="E88" s="29"/>
      <c r="F88" s="29"/>
      <c r="G88" s="40">
        <f>'[4]Other Assumptions'!I88</f>
        <v>0</v>
      </c>
      <c r="H88" s="40">
        <f>'[4]Other Assumptions'!J88</f>
        <v>0</v>
      </c>
      <c r="I88" s="40">
        <f>'[4]Other Assumptions'!K88</f>
        <v>0</v>
      </c>
      <c r="J88" s="40">
        <f>'[4]Other Assumptions'!L88</f>
        <v>0</v>
      </c>
      <c r="K88" s="40">
        <f>'[4]Other Assumptions'!M88</f>
        <v>0</v>
      </c>
      <c r="L88" s="40">
        <f>'[4]Other Assumptions'!N88</f>
        <v>0</v>
      </c>
      <c r="M88" s="40">
        <f>'[4]Other Assumptions'!O88</f>
        <v>0</v>
      </c>
      <c r="N88" s="40">
        <f>'[4]Other Assumptions'!P88</f>
        <v>0</v>
      </c>
      <c r="O88" s="41">
        <f>'[4]Other Assumptions'!Q88</f>
        <v>0</v>
      </c>
    </row>
    <row r="89" spans="1:15" ht="15.75" x14ac:dyDescent="0.25">
      <c r="A89" s="16" t="s">
        <v>50</v>
      </c>
      <c r="B89" s="29"/>
      <c r="C89" s="29"/>
      <c r="D89" s="29"/>
      <c r="E89" s="29"/>
      <c r="F89" s="29"/>
      <c r="G89" s="40">
        <f>'[4]Other Assumptions'!I89</f>
        <v>0</v>
      </c>
      <c r="H89" s="40">
        <f>'[4]Other Assumptions'!J89</f>
        <v>0</v>
      </c>
      <c r="I89" s="40">
        <f>'[4]Other Assumptions'!K89</f>
        <v>0</v>
      </c>
      <c r="J89" s="40">
        <f>'[4]Other Assumptions'!L89</f>
        <v>0</v>
      </c>
      <c r="K89" s="40">
        <f>'[4]Other Assumptions'!M89</f>
        <v>0</v>
      </c>
      <c r="L89" s="40">
        <f>'[4]Other Assumptions'!N89</f>
        <v>0</v>
      </c>
      <c r="M89" s="40">
        <f>'[4]Other Assumptions'!O89</f>
        <v>0</v>
      </c>
      <c r="N89" s="40">
        <f>'[4]Other Assumptions'!P89</f>
        <v>0</v>
      </c>
      <c r="O89" s="41">
        <f>'[4]Other Assumptions'!Q89</f>
        <v>0</v>
      </c>
    </row>
    <row r="90" spans="1:15" ht="15.75" x14ac:dyDescent="0.25">
      <c r="A90" s="16" t="s">
        <v>51</v>
      </c>
      <c r="B90" s="29"/>
      <c r="C90" s="29"/>
      <c r="D90" s="29"/>
      <c r="E90" s="29"/>
      <c r="F90" s="29"/>
      <c r="G90" s="33"/>
      <c r="H90" s="33"/>
      <c r="I90" s="33"/>
      <c r="J90" s="33"/>
      <c r="K90" s="33"/>
      <c r="L90" s="33"/>
      <c r="M90" s="33"/>
      <c r="N90" s="33"/>
      <c r="O90" s="55"/>
    </row>
    <row r="91" spans="1:15" ht="15.75" x14ac:dyDescent="0.25">
      <c r="A91" s="16" t="s">
        <v>52</v>
      </c>
      <c r="B91" s="29"/>
      <c r="C91" s="29"/>
      <c r="D91" s="29"/>
      <c r="E91" s="29"/>
      <c r="F91" s="29"/>
      <c r="G91" s="40">
        <f>'[4]Other Assumptions'!I91</f>
        <v>0</v>
      </c>
      <c r="H91" s="40">
        <f>'[4]Other Assumptions'!J91</f>
        <v>0</v>
      </c>
      <c r="I91" s="40">
        <f>'[4]Other Assumptions'!K91</f>
        <v>0</v>
      </c>
      <c r="J91" s="40">
        <f>'[4]Other Assumptions'!L91</f>
        <v>0</v>
      </c>
      <c r="K91" s="40">
        <f>'[4]Other Assumptions'!M91</f>
        <v>0</v>
      </c>
      <c r="L91" s="40">
        <f>'[4]Other Assumptions'!N91</f>
        <v>0</v>
      </c>
      <c r="M91" s="40">
        <f>'[4]Other Assumptions'!O91</f>
        <v>0</v>
      </c>
      <c r="N91" s="40">
        <f>'[4]Other Assumptions'!P91</f>
        <v>0</v>
      </c>
      <c r="O91" s="41">
        <f>'[4]Other Assumptions'!Q91</f>
        <v>0</v>
      </c>
    </row>
    <row r="92" spans="1:15" ht="15.75" x14ac:dyDescent="0.25">
      <c r="A92" s="16" t="s">
        <v>53</v>
      </c>
      <c r="B92" s="29"/>
      <c r="C92" s="29"/>
      <c r="D92" s="29"/>
      <c r="E92" s="29"/>
      <c r="F92" s="29"/>
      <c r="G92" s="40">
        <f>'[4]Other Assumptions'!I92</f>
        <v>0</v>
      </c>
      <c r="H92" s="40">
        <f>'[4]Other Assumptions'!J92</f>
        <v>0</v>
      </c>
      <c r="I92" s="40">
        <f>'[4]Other Assumptions'!K92</f>
        <v>0</v>
      </c>
      <c r="J92" s="40">
        <f>'[4]Other Assumptions'!L92</f>
        <v>0</v>
      </c>
      <c r="K92" s="40">
        <f>'[4]Other Assumptions'!M92</f>
        <v>0</v>
      </c>
      <c r="L92" s="40">
        <f>'[4]Other Assumptions'!N92</f>
        <v>0</v>
      </c>
      <c r="M92" s="40">
        <f>'[4]Other Assumptions'!O92</f>
        <v>0</v>
      </c>
      <c r="N92" s="40">
        <f>'[4]Other Assumptions'!P92</f>
        <v>0</v>
      </c>
      <c r="O92" s="41">
        <f>'[4]Other Assumptions'!Q92</f>
        <v>0</v>
      </c>
    </row>
    <row r="93" spans="1:15" ht="15.75" x14ac:dyDescent="0.25">
      <c r="A93" s="16" t="s">
        <v>54</v>
      </c>
      <c r="B93" s="29"/>
      <c r="C93" s="29"/>
      <c r="D93" s="29"/>
      <c r="E93" s="29"/>
      <c r="F93" s="29"/>
      <c r="G93" s="40">
        <f>'[4]Other Assumptions'!I93</f>
        <v>0</v>
      </c>
      <c r="H93" s="40">
        <f>'[4]Other Assumptions'!J93</f>
        <v>0</v>
      </c>
      <c r="I93" s="40">
        <f>'[4]Other Assumptions'!K93</f>
        <v>0</v>
      </c>
      <c r="J93" s="40">
        <f>'[4]Other Assumptions'!L93</f>
        <v>0</v>
      </c>
      <c r="K93" s="40">
        <f>'[4]Other Assumptions'!M93</f>
        <v>0</v>
      </c>
      <c r="L93" s="40">
        <f>'[4]Other Assumptions'!N93</f>
        <v>0</v>
      </c>
      <c r="M93" s="40">
        <f>'[4]Other Assumptions'!O93</f>
        <v>0</v>
      </c>
      <c r="N93" s="40">
        <f>'[4]Other Assumptions'!P93</f>
        <v>0</v>
      </c>
      <c r="O93" s="41">
        <f>'[4]Other Assumptions'!Q93</f>
        <v>0</v>
      </c>
    </row>
    <row r="94" spans="1:15" ht="15.75" x14ac:dyDescent="0.25">
      <c r="A94" s="16" t="s">
        <v>55</v>
      </c>
      <c r="B94" s="29"/>
      <c r="C94" s="29"/>
      <c r="D94" s="29"/>
      <c r="E94" s="29"/>
      <c r="F94" s="29"/>
      <c r="G94" s="40">
        <f>'[4]Other Assumptions'!I94</f>
        <v>0</v>
      </c>
      <c r="H94" s="40">
        <f>'[4]Other Assumptions'!J94</f>
        <v>0</v>
      </c>
      <c r="I94" s="40">
        <f>'[4]Other Assumptions'!K94</f>
        <v>0</v>
      </c>
      <c r="J94" s="40">
        <f>'[4]Other Assumptions'!L94</f>
        <v>0</v>
      </c>
      <c r="K94" s="40">
        <f>'[4]Other Assumptions'!M94</f>
        <v>0</v>
      </c>
      <c r="L94" s="40">
        <f>'[4]Other Assumptions'!N94</f>
        <v>0</v>
      </c>
      <c r="M94" s="40">
        <f>'[4]Other Assumptions'!O94</f>
        <v>0</v>
      </c>
      <c r="N94" s="40">
        <f>'[4]Other Assumptions'!P94</f>
        <v>0</v>
      </c>
      <c r="O94" s="41">
        <f>'[4]Other Assumptions'!Q94</f>
        <v>0</v>
      </c>
    </row>
    <row r="95" spans="1:15" ht="16.5" thickBot="1" x14ac:dyDescent="0.3">
      <c r="A95" s="23" t="s">
        <v>56</v>
      </c>
      <c r="B95" s="34"/>
      <c r="C95" s="34"/>
      <c r="D95" s="34"/>
      <c r="E95" s="34"/>
      <c r="F95" s="34"/>
      <c r="G95" s="53">
        <f>'[4]Other Assumptions'!I95</f>
        <v>0</v>
      </c>
      <c r="H95" s="53">
        <f>'[4]Other Assumptions'!J95</f>
        <v>0</v>
      </c>
      <c r="I95" s="53">
        <f>'[4]Other Assumptions'!K95</f>
        <v>0</v>
      </c>
      <c r="J95" s="53">
        <f>'[4]Other Assumptions'!L95</f>
        <v>0</v>
      </c>
      <c r="K95" s="53">
        <f>'[4]Other Assumptions'!M95</f>
        <v>0</v>
      </c>
      <c r="L95" s="53">
        <f>'[4]Other Assumptions'!N95</f>
        <v>0</v>
      </c>
      <c r="M95" s="53">
        <f>'[4]Other Assumptions'!O95</f>
        <v>0</v>
      </c>
      <c r="N95" s="53">
        <f>'[4]Other Assumptions'!P95</f>
        <v>0</v>
      </c>
      <c r="O95" s="54">
        <f>'[4]Other Assumptions'!Q95</f>
        <v>0</v>
      </c>
    </row>
    <row r="96" spans="1:15" ht="13.5" thickTop="1" x14ac:dyDescent="0.2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Q177"/>
  <sheetViews>
    <sheetView topLeftCell="A2" workbookViewId="0">
      <selection activeCell="K23" sqref="K23"/>
    </sheetView>
  </sheetViews>
  <sheetFormatPr defaultRowHeight="12.75" x14ac:dyDescent="0.2"/>
  <cols>
    <col min="1" max="1" width="26.140625" customWidth="1"/>
  </cols>
  <sheetData>
    <row r="2" spans="1:11" x14ac:dyDescent="0.2">
      <c r="A2" s="3" t="s">
        <v>13</v>
      </c>
    </row>
    <row r="3" spans="1:11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">
      <c r="A4" t="str">
        <f ca="1">OFFSET(Northland_Reference,0,0)</f>
        <v>01 NORTHLAND</v>
      </c>
    </row>
    <row r="5" spans="1:11" x14ac:dyDescent="0.2">
      <c r="A5" t="str">
        <f ca="1">OFFSET(Northland_Reference,0,2)</f>
        <v>Pedestrian</v>
      </c>
      <c r="B5" s="4">
        <f ca="1">'Total Distance Tables Sup #2'!B5</f>
        <v>17.849116999</v>
      </c>
      <c r="C5" s="4">
        <f ca="1">'Total Distance Tables Sup #2'!C5</f>
        <v>18.946159817124901</v>
      </c>
      <c r="D5" s="4">
        <f ca="1">'Total Distance Tables Sup #2'!D5</f>
        <v>19.525490044416678</v>
      </c>
      <c r="E5" s="4">
        <f ca="1">'Total Distance Tables Sup #2'!E5</f>
        <v>19.876032558048212</v>
      </c>
      <c r="F5" s="4">
        <f ca="1">'Total Distance Tables Sup #2'!F5</f>
        <v>19.988773786719275</v>
      </c>
      <c r="G5" s="4">
        <f ca="1">'Total Distance Tables Sup #2'!G5</f>
        <v>20.04122323749289</v>
      </c>
      <c r="H5" s="4">
        <f ca="1">'Total Distance Tables Sup #2'!H5</f>
        <v>19.989920686848357</v>
      </c>
      <c r="I5" s="1">
        <f ca="1">'Total Distance Tables Sup #2'!I5</f>
        <v>20.060871283539843</v>
      </c>
      <c r="J5" s="1">
        <f ca="1">'Total Distance Tables Sup #2'!J5</f>
        <v>20.068273107377564</v>
      </c>
      <c r="K5" s="1">
        <f ca="1">'Total Distance Tables Sup #2'!K5</f>
        <v>20.032816206556863</v>
      </c>
    </row>
    <row r="6" spans="1:11" x14ac:dyDescent="0.2">
      <c r="A6" t="str">
        <f ca="1">OFFSET(Northland_Reference,7,2)</f>
        <v>Cyclist</v>
      </c>
      <c r="B6" s="4">
        <f ca="1">'Total Distance Tables Sup #2'!B6</f>
        <v>1.0072239942000001</v>
      </c>
      <c r="C6" s="4">
        <f ca="1">'Total Distance Tables Sup #2'!C6</f>
        <v>1.1075227677672808</v>
      </c>
      <c r="D6" s="4">
        <f ca="1">'Total Distance Tables Sup #2'!D6</f>
        <v>1.1589547490935144</v>
      </c>
      <c r="E6" s="4">
        <f ca="1">'Total Distance Tables Sup #2'!E6</f>
        <v>1.1796445093307213</v>
      </c>
      <c r="F6" s="4">
        <f ca="1">'Total Distance Tables Sup #2'!F6</f>
        <v>1.2096132653387612</v>
      </c>
      <c r="G6" s="4">
        <f ca="1">'Total Distance Tables Sup #2'!G6</f>
        <v>1.2537981944714947</v>
      </c>
      <c r="H6" s="4">
        <f ca="1">'Total Distance Tables Sup #2'!H6</f>
        <v>1.2945556790066404</v>
      </c>
      <c r="I6" s="1">
        <f ca="1">'Total Distance Tables Sup #2'!I6</f>
        <v>1.3052541514406049</v>
      </c>
      <c r="J6" s="1">
        <f ca="1">'Total Distance Tables Sup #2'!J6</f>
        <v>1.3119300958916755</v>
      </c>
      <c r="K6" s="1">
        <f ca="1">'Total Distance Tables Sup #2'!K6</f>
        <v>1.3158832535909568</v>
      </c>
    </row>
    <row r="7" spans="1:11" x14ac:dyDescent="0.2">
      <c r="A7" t="str">
        <f ca="1">OFFSET(Northland_Reference,14,2)</f>
        <v>Light Vehicle Driver</v>
      </c>
      <c r="B7" s="4">
        <f ca="1">'Total Distance Tables Sup #2'!B7</f>
        <v>1011.4273062</v>
      </c>
      <c r="C7" s="4">
        <f ca="1">'Total Distance Tables Sup #2'!C7*(1-'Other Assumptions'!G6)</f>
        <v>1113.0435938903649</v>
      </c>
      <c r="D7" s="4">
        <f ca="1">'Total Distance Tables Sup #2'!D7*(1-'Other Assumptions'!H6)</f>
        <v>1174.5033597104523</v>
      </c>
      <c r="E7" s="4">
        <f ca="1">'Total Distance Tables Sup #2'!E7*(1-'Other Assumptions'!I6)</f>
        <v>1149.9848959890051</v>
      </c>
      <c r="F7" s="4">
        <f ca="1">'Total Distance Tables Sup #2'!F7*(1-'Other Assumptions'!J6)</f>
        <v>1115.1427119570308</v>
      </c>
      <c r="G7" s="4">
        <f ca="1">'Total Distance Tables Sup #2'!G7*(1-'Other Assumptions'!K6)</f>
        <v>1066.6962222693239</v>
      </c>
      <c r="H7" s="4">
        <f ca="1">'Total Distance Tables Sup #2'!H7*(1-'Other Assumptions'!L6)</f>
        <v>1011.9691959483551</v>
      </c>
      <c r="I7" s="1">
        <f ca="1">'Total Distance Tables Sup #2'!I7*(1-'Other Assumptions'!M6)</f>
        <v>953.9363153627321</v>
      </c>
      <c r="J7" s="1">
        <f ca="1">'Total Distance Tables Sup #2'!J7*(1-'Other Assumptions'!N6)</f>
        <v>892.39218993144846</v>
      </c>
      <c r="K7" s="1">
        <f ca="1">'Total Distance Tables Sup #2'!K7*(1-'Other Assumptions'!O6)</f>
        <v>828.78063131384749</v>
      </c>
    </row>
    <row r="8" spans="1:11" x14ac:dyDescent="0.2">
      <c r="A8" t="str">
        <f ca="1">OFFSET(Northland_Reference,21,2)</f>
        <v>Light Vehicle Passenger</v>
      </c>
      <c r="B8" s="4">
        <f ca="1">'Total Distance Tables Sup #2'!B8</f>
        <v>666.23785996000004</v>
      </c>
      <c r="C8" s="4">
        <f ca="1">'Total Distance Tables Sup #2'!C8*(1-'Other Assumptions'!G6)</f>
        <v>703.63323756138959</v>
      </c>
      <c r="D8" s="4">
        <f ca="1">'Total Distance Tables Sup #2'!D8*(1-'Other Assumptions'!H6)</f>
        <v>725.31196246841682</v>
      </c>
      <c r="E8" s="4">
        <f ca="1">'Total Distance Tables Sup #2'!E8*(1-'Other Assumptions'!I6)</f>
        <v>700.41741403491619</v>
      </c>
      <c r="F8" s="4">
        <f ca="1">'Total Distance Tables Sup #2'!F8*(1-'Other Assumptions'!J6)</f>
        <v>668.64891358529042</v>
      </c>
      <c r="G8" s="4">
        <f ca="1">'Total Distance Tables Sup #2'!G8*(1-'Other Assumptions'!K6)</f>
        <v>632.53755460716218</v>
      </c>
      <c r="H8" s="4">
        <f ca="1">'Total Distance Tables Sup #2'!H8*(1-'Other Assumptions'!L6)</f>
        <v>592.86507241311529</v>
      </c>
      <c r="I8" s="1">
        <f ca="1">'Total Distance Tables Sup #2'!I8*(1-'Other Assumptions'!M6)</f>
        <v>559.48234791662503</v>
      </c>
      <c r="J8" s="1">
        <f ca="1">'Total Distance Tables Sup #2'!J8*(1-'Other Assumptions'!N6)</f>
        <v>523.96559199600983</v>
      </c>
      <c r="K8" s="1">
        <f ca="1">'Total Distance Tables Sup #2'!K8*(1-'Other Assumptions'!O6)</f>
        <v>487.15583738691299</v>
      </c>
    </row>
    <row r="9" spans="1:11" x14ac:dyDescent="0.2">
      <c r="A9" t="str">
        <f ca="1">OFFSET(Northland_Reference,28,2)</f>
        <v>Taxi/Vehicle Share</v>
      </c>
      <c r="B9" s="4">
        <f ca="1">'Total Distance Tables Sup #2'!B9</f>
        <v>0.75976041549999995</v>
      </c>
      <c r="C9" s="4">
        <f ca="1">'Total Distance Tables Sup #2'!C9+((C7+C8)*'Other Assumptions'!G6/(1-'Other Assumptions'!G6))</f>
        <v>0.87128215527108333</v>
      </c>
      <c r="D9" s="4">
        <f ca="1">'Total Distance Tables Sup #2'!D9+((D7+D8)*'Other Assumptions'!H6/(1-'Other Assumptions'!H6))</f>
        <v>0.96646345537772127</v>
      </c>
      <c r="E9" s="4">
        <f ca="1">'Total Distance Tables Sup #2'!E9+((E7+E8)*'Other Assumptions'!I6/(1-'Other Assumptions'!I6))</f>
        <v>98.441921322491353</v>
      </c>
      <c r="F9" s="4">
        <f ca="1">'Total Distance Tables Sup #2'!F9+((F7+F8)*'Other Assumptions'!J6/(1-'Other Assumptions'!J6))</f>
        <v>199.32445759454282</v>
      </c>
      <c r="G9" s="4">
        <f ca="1">'Total Distance Tables Sup #2'!G9+((G7+G8)*'Other Assumptions'!K6/(1-'Other Assumptions'!K6))</f>
        <v>301.04613997711596</v>
      </c>
      <c r="H9" s="4">
        <f ca="1">'Total Distance Tables Sup #2'!H9+((H7+H8)*'Other Assumptions'!L6/(1-'Other Assumptions'!L6))</f>
        <v>402.44149055337368</v>
      </c>
      <c r="I9" s="1">
        <f ca="1">'Total Distance Tables Sup #2'!I9+((I7+I8)*'Other Assumptions'!M6/(1-'Other Assumptions'!M6))</f>
        <v>505.70911075354621</v>
      </c>
      <c r="J9" s="1">
        <f ca="1">'Total Distance Tables Sup #2'!J9+((J7+J8)*'Other Assumptions'!N6/(1-'Other Assumptions'!N6))</f>
        <v>608.24605623361356</v>
      </c>
      <c r="K9" s="1">
        <f ca="1">'Total Distance Tables Sup #2'!K9+((K7+K8)*'Other Assumptions'!O6/(1-'Other Assumptions'!O6))</f>
        <v>709.81344952431652</v>
      </c>
    </row>
    <row r="10" spans="1:11" x14ac:dyDescent="0.2">
      <c r="A10" t="str">
        <f ca="1">OFFSET(Northland_Reference,35,2)</f>
        <v>Motorcyclist</v>
      </c>
      <c r="B10" s="4">
        <f ca="1">'Total Distance Tables Sup #2'!B10</f>
        <v>9.2423909657000003</v>
      </c>
      <c r="C10" s="4">
        <f ca="1">'Total Distance Tables Sup #2'!C10</f>
        <v>10.168949176576222</v>
      </c>
      <c r="D10" s="4">
        <f ca="1">'Total Distance Tables Sup #2'!D10</f>
        <v>10.714947066419496</v>
      </c>
      <c r="E10" s="4">
        <f ca="1">'Total Distance Tables Sup #2'!E10</f>
        <v>10.849328511214793</v>
      </c>
      <c r="F10" s="4">
        <f ca="1">'Total Distance Tables Sup #2'!F10</f>
        <v>10.856805044446965</v>
      </c>
      <c r="G10" s="4">
        <f ca="1">'Total Distance Tables Sup #2'!G10</f>
        <v>10.667298862322809</v>
      </c>
      <c r="H10" s="4">
        <f ca="1">'Total Distance Tables Sup #2'!H10</f>
        <v>10.419139628645247</v>
      </c>
      <c r="I10" s="1">
        <f ca="1">'Total Distance Tables Sup #2'!I10</f>
        <v>10.54115380082138</v>
      </c>
      <c r="J10" s="1">
        <f ca="1">'Total Distance Tables Sup #2'!J10</f>
        <v>10.631058567204535</v>
      </c>
      <c r="K10" s="1">
        <f ca="1">'Total Distance Tables Sup #2'!K10</f>
        <v>10.699067031195289</v>
      </c>
    </row>
    <row r="11" spans="1:11" x14ac:dyDescent="0.2">
      <c r="A11" t="str">
        <f ca="1">OFFSET(Auckland_Reference,42,2)</f>
        <v>Local Train</v>
      </c>
      <c r="B11" s="4">
        <f ca="1">'Total Distance Tables Sup #2'!B11</f>
        <v>0</v>
      </c>
      <c r="C11" s="4">
        <f ca="1">'Total Distance Tables Sup #2'!C11</f>
        <v>0</v>
      </c>
      <c r="D11" s="4">
        <f ca="1">'Total Distance Tables Sup #2'!D11</f>
        <v>0</v>
      </c>
      <c r="E11" s="4">
        <f ca="1">'Total Distance Tables Sup #2'!E11</f>
        <v>0</v>
      </c>
      <c r="F11" s="4">
        <f ca="1">'Total Distance Tables Sup #2'!F11</f>
        <v>0</v>
      </c>
      <c r="G11" s="4">
        <f ca="1">'Total Distance Tables Sup #2'!G11</f>
        <v>0</v>
      </c>
      <c r="H11" s="4">
        <f ca="1">'Total Distance Tables Sup #2'!H11</f>
        <v>0</v>
      </c>
      <c r="I11" s="1">
        <f ca="1">'Total Distance Tables Sup #2'!I11</f>
        <v>0</v>
      </c>
      <c r="J11" s="1">
        <f ca="1">'Total Distance Tables Sup #2'!J11</f>
        <v>0</v>
      </c>
      <c r="K11" s="1">
        <f ca="1">'Total Distance Tables Sup #2'!K11</f>
        <v>0</v>
      </c>
    </row>
    <row r="12" spans="1:11" x14ac:dyDescent="0.2">
      <c r="A12" t="str">
        <f ca="1">OFFSET(Northland_Reference,42,2)</f>
        <v>Local Bus</v>
      </c>
      <c r="B12" s="4">
        <f ca="1">'Total Distance Tables Sup #2'!B12</f>
        <v>44.734594063999999</v>
      </c>
      <c r="C12" s="4">
        <f ca="1">'Total Distance Tables Sup #2'!C12</f>
        <v>43.775664264412086</v>
      </c>
      <c r="D12" s="4">
        <f ca="1">'Total Distance Tables Sup #2'!D12</f>
        <v>43.044171393129709</v>
      </c>
      <c r="E12" s="4">
        <f ca="1">'Total Distance Tables Sup #2'!E12</f>
        <v>42.40417785850746</v>
      </c>
      <c r="F12" s="4">
        <f ca="1">'Total Distance Tables Sup #2'!F12</f>
        <v>41.052458203573821</v>
      </c>
      <c r="G12" s="4">
        <f ca="1">'Total Distance Tables Sup #2'!G12</f>
        <v>40.159852245824261</v>
      </c>
      <c r="H12" s="4">
        <f ca="1">'Total Distance Tables Sup #2'!H12</f>
        <v>39.071100623678952</v>
      </c>
      <c r="I12" s="1">
        <f ca="1">'Total Distance Tables Sup #2'!I12</f>
        <v>39.333320806577142</v>
      </c>
      <c r="J12" s="1">
        <f ca="1">'Total Distance Tables Sup #2'!J12</f>
        <v>39.471200729643499</v>
      </c>
      <c r="K12" s="1">
        <f ca="1">'Total Distance Tables Sup #2'!K12</f>
        <v>39.524371990916123</v>
      </c>
    </row>
    <row r="13" spans="1:11" x14ac:dyDescent="0.2">
      <c r="A13" t="str">
        <f ca="1">OFFSET(Northland_Reference,49,2)</f>
        <v>Local Ferry</v>
      </c>
      <c r="B13" s="4">
        <f ca="1">'Total Distance Tables Sup #2'!B13</f>
        <v>0</v>
      </c>
      <c r="C13" s="4">
        <f ca="1">'Total Distance Tables Sup #2'!C13</f>
        <v>0</v>
      </c>
      <c r="D13" s="4">
        <f ca="1">'Total Distance Tables Sup #2'!D13</f>
        <v>0</v>
      </c>
      <c r="E13" s="4">
        <f ca="1">'Total Distance Tables Sup #2'!E13</f>
        <v>0</v>
      </c>
      <c r="F13" s="4">
        <f ca="1">'Total Distance Tables Sup #2'!F13</f>
        <v>0</v>
      </c>
      <c r="G13" s="4">
        <f ca="1">'Total Distance Tables Sup #2'!G13</f>
        <v>0</v>
      </c>
      <c r="H13" s="4">
        <f ca="1">'Total Distance Tables Sup #2'!H13</f>
        <v>0</v>
      </c>
      <c r="I13" s="1">
        <f ca="1">'Total Distance Tables Sup #2'!I13</f>
        <v>0</v>
      </c>
      <c r="J13" s="1">
        <f ca="1">'Total Distance Tables Sup #2'!J13</f>
        <v>0</v>
      </c>
      <c r="K13" s="1">
        <f ca="1">'Total Distance Tables Sup #2'!K13</f>
        <v>0</v>
      </c>
    </row>
    <row r="14" spans="1:11" x14ac:dyDescent="0.2">
      <c r="A14" t="str">
        <f ca="1">OFFSET(Northland_Reference,56,2)</f>
        <v>Other Household Travel</v>
      </c>
      <c r="B14" s="4">
        <f ca="1">'Total Distance Tables Sup #2'!B14</f>
        <v>0</v>
      </c>
      <c r="C14" s="4">
        <f ca="1">'Total Distance Tables Sup #2'!C14</f>
        <v>0</v>
      </c>
      <c r="D14" s="4">
        <f ca="1">'Total Distance Tables Sup #2'!D14</f>
        <v>0</v>
      </c>
      <c r="E14" s="4">
        <f ca="1">'Total Distance Tables Sup #2'!E14</f>
        <v>0</v>
      </c>
      <c r="F14" s="4">
        <f ca="1">'Total Distance Tables Sup #2'!F14</f>
        <v>0</v>
      </c>
      <c r="G14" s="4">
        <f ca="1">'Total Distance Tables Sup #2'!G14</f>
        <v>0</v>
      </c>
      <c r="H14" s="4">
        <f ca="1">'Total Distance Tables Sup #2'!H14</f>
        <v>0</v>
      </c>
      <c r="I14" s="1">
        <f ca="1">'Total Distance Tables Sup #2'!I14</f>
        <v>0</v>
      </c>
      <c r="J14" s="1">
        <f ca="1">'Total Distance Tables Sup #2'!J14</f>
        <v>0</v>
      </c>
      <c r="K14" s="1">
        <f ca="1">'Total Distance Tables Sup #2'!K14</f>
        <v>0</v>
      </c>
    </row>
    <row r="15" spans="1:11" x14ac:dyDescent="0.2">
      <c r="A15" t="str">
        <f ca="1">OFFSET(Auckland_Reference,0,0)</f>
        <v>02 AUCKLAND</v>
      </c>
      <c r="I15" s="1"/>
      <c r="J15" s="1"/>
      <c r="K15" s="1"/>
    </row>
    <row r="16" spans="1:11" x14ac:dyDescent="0.2">
      <c r="A16" t="str">
        <f ca="1">OFFSET(Auckland_Reference,0,2)</f>
        <v>Pedestrian</v>
      </c>
      <c r="B16" s="4">
        <f ca="1">'Total Distance Tables Sup #2'!B16</f>
        <v>294.55939388000002</v>
      </c>
      <c r="C16" s="4">
        <f ca="1">'Total Distance Tables Sup #2'!C16+'Total Distance Tables Sup #2'!C18*'Other Assumptions'!G66*'Other Assumptions'!G73+'Total Distance Tables Sup #2'!C19*'Other Assumptions'!G66*'Other Assumptions'!G73</f>
        <v>332.76283177596116</v>
      </c>
      <c r="D16" s="4">
        <f ca="1">'Total Distance Tables Sup #2'!D16+'Total Distance Tables Sup #2'!D18*'Other Assumptions'!H66*'Other Assumptions'!H73+'Total Distance Tables Sup #2'!D19*'Other Assumptions'!H66*'Other Assumptions'!H73</f>
        <v>353.06007475606395</v>
      </c>
      <c r="E16" s="4">
        <f ca="1">'Total Distance Tables Sup #2'!E16+'Total Distance Tables Sup #2'!E18*'Other Assumptions'!I66*'Other Assumptions'!I73+'Total Distance Tables Sup #2'!E19*'Other Assumptions'!I66*'Other Assumptions'!I73</f>
        <v>367.16409697567019</v>
      </c>
      <c r="F16" s="4">
        <f ca="1">'Total Distance Tables Sup #2'!F16+'Total Distance Tables Sup #2'!F18*'Other Assumptions'!J66*'Other Assumptions'!J73+'Total Distance Tables Sup #2'!F19*'Other Assumptions'!J66*'Other Assumptions'!J73</f>
        <v>380.27880991945602</v>
      </c>
      <c r="G16" s="4">
        <f ca="1">'Total Distance Tables Sup #2'!G16+'Total Distance Tables Sup #2'!G18*'Other Assumptions'!K66*'Other Assumptions'!K73+'Total Distance Tables Sup #2'!G19*'Other Assumptions'!K66*'Other Assumptions'!K73</f>
        <v>392.37364668355053</v>
      </c>
      <c r="H16" s="4">
        <f ca="1">'Total Distance Tables Sup #2'!H16+'Total Distance Tables Sup #2'!H18*'Other Assumptions'!L66*'Other Assumptions'!L73+'Total Distance Tables Sup #2'!H19*'Other Assumptions'!L66*'Other Assumptions'!L73</f>
        <v>402.58531464260761</v>
      </c>
      <c r="I16" s="1">
        <f ca="1">'Total Distance Tables Sup #2'!I16+'Total Distance Tables Sup #2'!I18*'Other Assumptions'!M66*'Other Assumptions'!M73+'Total Distance Tables Sup #2'!I19*'Other Assumptions'!M66*'Other Assumptions'!M73</f>
        <v>416.51875390515056</v>
      </c>
      <c r="J16" s="1">
        <f ca="1">'Total Distance Tables Sup #2'!J16+'Total Distance Tables Sup #2'!J18*'Other Assumptions'!N66*'Other Assumptions'!N73+'Total Distance Tables Sup #2'!J19*'Other Assumptions'!N66*'Other Assumptions'!N73</f>
        <v>429.39382743925637</v>
      </c>
      <c r="K16" s="1">
        <f ca="1">'Total Distance Tables Sup #2'!K16+'Total Distance Tables Sup #2'!K18*'Other Assumptions'!O66*'Other Assumptions'!O73+'Total Distance Tables Sup #2'!K19*'Other Assumptions'!O66*'Other Assumptions'!O73</f>
        <v>441.37900697652924</v>
      </c>
    </row>
    <row r="17" spans="1:17" x14ac:dyDescent="0.2">
      <c r="A17" t="str">
        <f ca="1">OFFSET(Auckland_Reference,7,2)</f>
        <v>Cyclist</v>
      </c>
      <c r="B17" s="4">
        <f ca="1">'Total Distance Tables Sup #2'!B17</f>
        <v>55.843008154000003</v>
      </c>
      <c r="C17" s="4">
        <f ca="1">'Total Distance Tables Sup #2'!C17+'Total Distance Tables Sup #2'!C18*'Other Assumptions'!G66*'Other Assumptions'!G72+'Total Distance Tables Sup #2'!C19*'Other Assumptions'!G66*'Other Assumptions'!G72</f>
        <v>65.378513306680617</v>
      </c>
      <c r="D17" s="4">
        <f ca="1">'Total Distance Tables Sup #2'!D17+'Total Distance Tables Sup #2'!D18*'Other Assumptions'!H66*'Other Assumptions'!H72+'Total Distance Tables Sup #2'!D19*'Other Assumptions'!H66*'Other Assumptions'!H72</f>
        <v>71.890556174685244</v>
      </c>
      <c r="E17" s="4">
        <f ca="1">'Total Distance Tables Sup #2'!E17+'Total Distance Tables Sup #2'!E18*'Other Assumptions'!I66*'Other Assumptions'!I72+'Total Distance Tables Sup #2'!E19*'Other Assumptions'!I66*'Other Assumptions'!I72</f>
        <v>76.120690933158102</v>
      </c>
      <c r="F17" s="4">
        <f ca="1">'Total Distance Tables Sup #2'!F17+'Total Distance Tables Sup #2'!F18*'Other Assumptions'!J66*'Other Assumptions'!J72+'Total Distance Tables Sup #2'!F19*'Other Assumptions'!J66*'Other Assumptions'!J72</f>
        <v>81.157391656662227</v>
      </c>
      <c r="G17" s="4">
        <f ca="1">'Total Distance Tables Sup #2'!G17+'Total Distance Tables Sup #2'!G18*'Other Assumptions'!K66*'Other Assumptions'!K72+'Total Distance Tables Sup #2'!G19*'Other Assumptions'!K66*'Other Assumptions'!K72</f>
        <v>87.35134167584151</v>
      </c>
      <c r="H17" s="4">
        <f ca="1">'Total Distance Tables Sup #2'!H17+'Total Distance Tables Sup #2'!H18*'Other Assumptions'!L66*'Other Assumptions'!L72+'Total Distance Tables Sup #2'!H19*'Other Assumptions'!L66*'Other Assumptions'!L72</f>
        <v>93.622834468862621</v>
      </c>
      <c r="I17" s="1">
        <f ca="1">'Total Distance Tables Sup #2'!I17+'Total Distance Tables Sup #2'!I18*'Other Assumptions'!M66*'Other Assumptions'!M72+'Total Distance Tables Sup #2'!I19*'Other Assumptions'!M66*'Other Assumptions'!M72</f>
        <v>97.988530723792977</v>
      </c>
      <c r="J17" s="1">
        <f ca="1">'Total Distance Tables Sup #2'!J17+'Total Distance Tables Sup #2'!J18*'Other Assumptions'!N66*'Other Assumptions'!N72+'Total Distance Tables Sup #2'!J19*'Other Assumptions'!N66*'Other Assumptions'!N72</f>
        <v>102.23744060365762</v>
      </c>
      <c r="K17" s="1">
        <f ca="1">'Total Distance Tables Sup #2'!K17+'Total Distance Tables Sup #2'!K18*'Other Assumptions'!O66*'Other Assumptions'!O72+'Total Distance Tables Sup #2'!K19*'Other Assumptions'!O66*'Other Assumptions'!O72</f>
        <v>106.44756840792243</v>
      </c>
    </row>
    <row r="18" spans="1:17" x14ac:dyDescent="0.2">
      <c r="A18" t="str">
        <f ca="1">OFFSET(Auckland_Reference,14,2)</f>
        <v>Light Vehicle Driver</v>
      </c>
      <c r="B18" s="4">
        <f ca="1">'Total Distance Tables Sup #2'!B18</f>
        <v>9374.4733825999992</v>
      </c>
      <c r="C18" s="4">
        <f ca="1">'Total Distance Tables Sup #2'!C18*(1-'Other Assumptions'!G7)*(1-'Other Assumptions'!G66)</f>
        <v>10945.554801256165</v>
      </c>
      <c r="D18" s="4">
        <f ca="1">'Total Distance Tables Sup #2'!D18*(1-'Other Assumptions'!H7)*(1-'Other Assumptions'!H66)</f>
        <v>12000.095158621771</v>
      </c>
      <c r="E18" s="4">
        <f ca="1">'Total Distance Tables Sup #2'!E18*(1-'Other Assumptions'!I7)*(1-'Other Assumptions'!I66)</f>
        <v>12102.331915672416</v>
      </c>
      <c r="F18" s="4">
        <f ca="1">'Total Distance Tables Sup #2'!F18*(1-'Other Assumptions'!J7)*(1-'Other Assumptions'!J66)</f>
        <v>12153.306679373074</v>
      </c>
      <c r="G18" s="4">
        <f ca="1">'Total Distance Tables Sup #2'!G18*(1-'Other Assumptions'!K7)*(1-'Other Assumptions'!K66)</f>
        <v>12024.643096259997</v>
      </c>
      <c r="H18" s="4">
        <f ca="1">'Total Distance Tables Sup #2'!H18*(1-'Other Assumptions'!L7)*(1-'Other Assumptions'!L66)</f>
        <v>11797.276507561795</v>
      </c>
      <c r="I18" s="1">
        <f ca="1">'Total Distance Tables Sup #2'!I18*(1-'Other Assumptions'!M7)*(1-'Other Assumptions'!M66)</f>
        <v>11506.862735824061</v>
      </c>
      <c r="J18" s="1">
        <f ca="1">'Total Distance Tables Sup #2'!J18*(1-'Other Assumptions'!N7)*(1-'Other Assumptions'!N66)</f>
        <v>11136.45772669627</v>
      </c>
      <c r="K18" s="1">
        <f ca="1">'Total Distance Tables Sup #2'!K18*(1-'Other Assumptions'!O7)*(1-'Other Assumptions'!O66)</f>
        <v>10696.2848385219</v>
      </c>
    </row>
    <row r="19" spans="1:17" x14ac:dyDescent="0.2">
      <c r="A19" t="str">
        <f ca="1">OFFSET(Auckland_Reference,21,2)</f>
        <v>Light Vehicle Passenger</v>
      </c>
      <c r="B19" s="4">
        <f ca="1">'Total Distance Tables Sup #2'!B19</f>
        <v>4814.6436660999998</v>
      </c>
      <c r="C19" s="4">
        <f ca="1">'Total Distance Tables Sup #2'!C19*(1-'Other Assumptions'!G7)*(1-'Other Assumptions'!G66+'Other Assumptions'!G66*'Other Assumptions'!G69)+'Total Distance Tables Sup #2'!C18*(1-'Other Assumptions'!G7)*'Other Assumptions'!G66*'Other Assumptions'!G69</f>
        <v>5375.4985516388751</v>
      </c>
      <c r="D19" s="4">
        <f ca="1">'Total Distance Tables Sup #2'!D19*(1-'Other Assumptions'!H7)*(1-'Other Assumptions'!H66+'Other Assumptions'!H66*'Other Assumptions'!H69)+'Total Distance Tables Sup #2'!D18*(1-'Other Assumptions'!H7)*'Other Assumptions'!H66*'Other Assumptions'!H69</f>
        <v>5684.9881900547743</v>
      </c>
      <c r="E19" s="4">
        <f ca="1">'Total Distance Tables Sup #2'!E19*(1-'Other Assumptions'!I7)*(1-'Other Assumptions'!I66+'Other Assumptions'!I66*'Other Assumptions'!I69)+'Total Distance Tables Sup #2'!E18*(1-'Other Assumptions'!I7)*'Other Assumptions'!I66*'Other Assumptions'!I69</f>
        <v>5588.0205095849515</v>
      </c>
      <c r="F19" s="4">
        <f ca="1">'Total Distance Tables Sup #2'!F19*(1-'Other Assumptions'!J7)*(1-'Other Assumptions'!J66+'Other Assumptions'!J66*'Other Assumptions'!J69)+'Total Distance Tables Sup #2'!F18*(1-'Other Assumptions'!J7)*'Other Assumptions'!J66*'Other Assumptions'!J69</f>
        <v>5493.0124360401223</v>
      </c>
      <c r="G19" s="4">
        <f ca="1">'Total Distance Tables Sup #2'!G19*(1-'Other Assumptions'!K7)*(1-'Other Assumptions'!K66+'Other Assumptions'!K66*'Other Assumptions'!K69)+'Total Distance Tables Sup #2'!G18*(1-'Other Assumptions'!K7)*'Other Assumptions'!K66*'Other Assumptions'!K69</f>
        <v>5344.9869701894431</v>
      </c>
      <c r="H19" s="4">
        <f ca="1">'Total Distance Tables Sup #2'!H19*(1-'Other Assumptions'!L7)*(1-'Other Assumptions'!L66+'Other Assumptions'!L66*'Other Assumptions'!L69)+'Total Distance Tables Sup #2'!H18*(1-'Other Assumptions'!L7)*'Other Assumptions'!L66*'Other Assumptions'!L69</f>
        <v>5151.1272856474861</v>
      </c>
      <c r="I19" s="1">
        <f ca="1">'Total Distance Tables Sup #2'!I19*(1-'Other Assumptions'!M7)*(1-'Other Assumptions'!M66+'Other Assumptions'!M66*'Other Assumptions'!M69)+'Total Distance Tables Sup #2'!I18*(1-'Other Assumptions'!M7)*'Other Assumptions'!M66*'Other Assumptions'!M69</f>
        <v>5009.4782035068456</v>
      </c>
      <c r="J19" s="1">
        <f ca="1">'Total Distance Tables Sup #2'!J19*(1-'Other Assumptions'!N7)*(1-'Other Assumptions'!N66+'Other Assumptions'!N66*'Other Assumptions'!N69)+'Total Distance Tables Sup #2'!J18*(1-'Other Assumptions'!N7)*'Other Assumptions'!N66*'Other Assumptions'!N69</f>
        <v>4832.8496961553064</v>
      </c>
      <c r="K19" s="1">
        <f ca="1">'Total Distance Tables Sup #2'!K19*(1-'Other Assumptions'!O7)*(1-'Other Assumptions'!O66+'Other Assumptions'!O66*'Other Assumptions'!O69)+'Total Distance Tables Sup #2'!K18*(1-'Other Assumptions'!O7)*'Other Assumptions'!O66*'Other Assumptions'!O69</f>
        <v>4624.9337129503847</v>
      </c>
    </row>
    <row r="20" spans="1:17" x14ac:dyDescent="0.2">
      <c r="A20" t="str">
        <f ca="1">OFFSET(Auckland_Reference,28,2)</f>
        <v>Taxi/Vehicle Share</v>
      </c>
      <c r="B20" s="4">
        <f ca="1">'Total Distance Tables Sup #2'!B20</f>
        <v>41.157157814999998</v>
      </c>
      <c r="C20" s="4">
        <f ca="1">'Total Distance Tables Sup #2'!C20+((C18+C19)*'Other Assumptions'!G7/(1-'Other Assumptions'!G7))</f>
        <v>50.253598862249895</v>
      </c>
      <c r="D20" s="4">
        <f ca="1">'Total Distance Tables Sup #2'!D20+((D18+D19)*'Other Assumptions'!H7/(1-'Other Assumptions'!H7))</f>
        <v>58.57560361687387</v>
      </c>
      <c r="E20" s="4">
        <f ca="1">'Total Distance Tables Sup #2'!E20+((E18+E19)*'Other Assumptions'!I7/(1-'Other Assumptions'!I7))</f>
        <v>997.4191850918204</v>
      </c>
      <c r="F20" s="4">
        <f ca="1">'Total Distance Tables Sup #2'!F20+((F18+F19)*'Other Assumptions'!J7/(1-'Other Assumptions'!J7))</f>
        <v>2034.4772272169362</v>
      </c>
      <c r="G20" s="4">
        <f ca="1">'Total Distance Tables Sup #2'!G20+((G18+G19)*'Other Assumptions'!K7/(1-'Other Assumptions'!K7))</f>
        <v>3145.6459778807948</v>
      </c>
      <c r="H20" s="4">
        <f ca="1">'Total Distance Tables Sup #2'!H20+((H18+H19)*'Other Assumptions'!L7/(1-'Other Assumptions'!L7))</f>
        <v>4324.2220062171336</v>
      </c>
      <c r="I20" s="1">
        <f ca="1">'Total Distance Tables Sup #2'!I20+((I18+I19)*'Other Assumptions'!M7/(1-'Other Assumptions'!M7))</f>
        <v>5596.1251925027309</v>
      </c>
      <c r="J20" s="1">
        <f ca="1">'Total Distance Tables Sup #2'!J20+((J18+J19)*'Other Assumptions'!N7/(1-'Other Assumptions'!N7))</f>
        <v>6938.0685049124168</v>
      </c>
      <c r="K20" s="1">
        <f ca="1">'Total Distance Tables Sup #2'!K20+((K18+K19)*'Other Assumptions'!O7/(1-'Other Assumptions'!O7))</f>
        <v>8347.2852774487037</v>
      </c>
      <c r="L20" s="4"/>
      <c r="M20" s="4"/>
      <c r="N20" s="4"/>
      <c r="O20" s="4"/>
      <c r="P20" s="4"/>
      <c r="Q20" s="4"/>
    </row>
    <row r="21" spans="1:17" x14ac:dyDescent="0.2">
      <c r="A21" t="str">
        <f ca="1">OFFSET(Auckland_Reference,35,2)</f>
        <v>Motorcyclist</v>
      </c>
      <c r="B21" s="4">
        <f ca="1">'Total Distance Tables Sup #2'!B21</f>
        <v>43.570185572</v>
      </c>
      <c r="C21" s="4">
        <f ca="1">'Total Distance Tables Sup #2'!C21</f>
        <v>51.041189444655664</v>
      </c>
      <c r="D21" s="4">
        <f ca="1">'Total Distance Tables Sup #2'!D21</f>
        <v>56.514218448360459</v>
      </c>
      <c r="E21" s="4">
        <f ca="1">'Total Distance Tables Sup #2'!E21</f>
        <v>59.527379236476094</v>
      </c>
      <c r="F21" s="4">
        <f ca="1">'Total Distance Tables Sup #2'!F21</f>
        <v>61.936393196576304</v>
      </c>
      <c r="G21" s="4">
        <f ca="1">'Total Distance Tables Sup #2'!G21</f>
        <v>63.191510203753779</v>
      </c>
      <c r="H21" s="4">
        <f ca="1">'Total Distance Tables Sup #2'!H21</f>
        <v>64.070076325220157</v>
      </c>
      <c r="I21" s="1">
        <f ca="1">'Total Distance Tables Sup #2'!I21</f>
        <v>67.286919263762243</v>
      </c>
      <c r="J21" s="1">
        <f ca="1">'Total Distance Tables Sup #2'!J21</f>
        <v>70.443044348525518</v>
      </c>
      <c r="K21" s="1">
        <f ca="1">'Total Distance Tables Sup #2'!K21</f>
        <v>73.591325571454732</v>
      </c>
    </row>
    <row r="22" spans="1:17" x14ac:dyDescent="0.2">
      <c r="A22" t="str">
        <f ca="1">OFFSET(Auckland_Reference,42,2)</f>
        <v>Local Train</v>
      </c>
      <c r="B22" s="4">
        <f ca="1">'Total Distance Tables Sup #2'!B22</f>
        <v>158.68929399999999</v>
      </c>
      <c r="C22" s="4">
        <f ca="1">'Total Distance Tables Sup #2'!C22+'Total Distance Tables Sup #2'!C18*'Other Assumptions'!G66*'Other Assumptions'!G71+'Total Distance Tables Sup #2'!C19*'Other Assumptions'!G66*'Other Assumptions'!G71</f>
        <v>331.03360862840913</v>
      </c>
      <c r="D22" s="4">
        <f ca="1">'Total Distance Tables Sup #2'!D22+'Total Distance Tables Sup #2'!D18*'Other Assumptions'!H66*'Other Assumptions'!H71+'Total Distance Tables Sup #2'!D19*'Other Assumptions'!H66*'Other Assumptions'!H71</f>
        <v>675.59989177045463</v>
      </c>
      <c r="E22" s="4">
        <f ca="1">'Total Distance Tables Sup #2'!E22+'Total Distance Tables Sup #2'!E18*'Other Assumptions'!I66*'Other Assumptions'!I71+'Total Distance Tables Sup #2'!E19*'Other Assumptions'!I66*'Other Assumptions'!I71</f>
        <v>1020.1661749125</v>
      </c>
      <c r="F22" s="4">
        <f ca="1">'Total Distance Tables Sup #2'!F22+'Total Distance Tables Sup #2'!F18*'Other Assumptions'!J66*'Other Assumptions'!J71+'Total Distance Tables Sup #2'!F19*'Other Assumptions'!J66*'Other Assumptions'!J71</f>
        <v>1195.1627346</v>
      </c>
      <c r="G22" s="4">
        <f ca="1">'Total Distance Tables Sup #2'!G22+'Total Distance Tables Sup #2'!G18*'Other Assumptions'!K66*'Other Assumptions'!K71+'Total Distance Tables Sup #2'!G19*'Other Assumptions'!K66*'Other Assumptions'!K71</f>
        <v>1370.1592942875</v>
      </c>
      <c r="H22" s="4">
        <f ca="1">'Total Distance Tables Sup #2'!H22+'Total Distance Tables Sup #2'!H18*'Other Assumptions'!L66*'Other Assumptions'!L71+'Total Distance Tables Sup #2'!H19*'Other Assumptions'!L66*'Other Assumptions'!L71</f>
        <v>1545.1558539749999</v>
      </c>
      <c r="I22" s="1">
        <f ca="1">'Total Distance Tables Sup #2'!I22+'Total Distance Tables Sup #2'!I18*'Other Assumptions'!M66*'Other Assumptions'!M71+'Total Distance Tables Sup #2'!I19*'Other Assumptions'!M66*'Other Assumptions'!M71</f>
        <v>1720.1524136625003</v>
      </c>
      <c r="J22" s="1">
        <f ca="1">'Total Distance Tables Sup #2'!J22+'Total Distance Tables Sup #2'!J18*'Other Assumptions'!N66*'Other Assumptions'!N71+'Total Distance Tables Sup #2'!J19*'Other Assumptions'!N66*'Other Assumptions'!N71</f>
        <v>1906.3592873350085</v>
      </c>
      <c r="K22" s="1">
        <f ca="1">'Total Distance Tables Sup #2'!K22+'Total Distance Tables Sup #2'!K18*'Other Assumptions'!O66*'Other Assumptions'!O71+'Total Distance Tables Sup #2'!K19*'Other Assumptions'!O66*'Other Assumptions'!O71</f>
        <v>2112.7230956648732</v>
      </c>
    </row>
    <row r="23" spans="1:17" x14ac:dyDescent="0.2">
      <c r="A23" t="str">
        <f ca="1">OFFSET(Auckland_Reference,49,2)</f>
        <v>Local Bus</v>
      </c>
      <c r="B23" s="4">
        <f ca="1">'Total Distance Tables Sup #2'!B23</f>
        <v>438.79018300000001</v>
      </c>
      <c r="C23" s="4">
        <f ca="1">'Total Distance Tables Sup #2'!C23+'Total Distance Tables Sup #2'!C18*'Other Assumptions'!G66*'Other Assumptions'!G70+'Total Distance Tables Sup #2'!C19*'Other Assumptions'!G66*'Other Assumptions'!G70</f>
        <v>486.44452630950911</v>
      </c>
      <c r="D23" s="4">
        <f ca="1">'Total Distance Tables Sup #2'!D23+'Total Distance Tables Sup #2'!D18*'Other Assumptions'!H66*'Other Assumptions'!H70+'Total Distance Tables Sup #2'!D19*'Other Assumptions'!H66*'Other Assumptions'!H70</f>
        <v>659.14450785705458</v>
      </c>
      <c r="E23" s="4">
        <f ca="1">'Total Distance Tables Sup #2'!E23+'Total Distance Tables Sup #2'!E18*'Other Assumptions'!I66*'Other Assumptions'!I70+'Total Distance Tables Sup #2'!E19*'Other Assumptions'!I66*'Other Assumptions'!I70</f>
        <v>831.84448940459993</v>
      </c>
      <c r="F23" s="4">
        <f ca="1">'Total Distance Tables Sup #2'!F23+'Total Distance Tables Sup #2'!F18*'Other Assumptions'!J66*'Other Assumptions'!J70+'Total Distance Tables Sup #2'!F19*'Other Assumptions'!J66*'Other Assumptions'!J70</f>
        <v>937.96868805772499</v>
      </c>
      <c r="G23" s="4">
        <f ca="1">'Total Distance Tables Sup #2'!G23+'Total Distance Tables Sup #2'!G18*'Other Assumptions'!K66*'Other Assumptions'!K70+'Total Distance Tables Sup #2'!G19*'Other Assumptions'!K66*'Other Assumptions'!K70</f>
        <v>1044.0928867108501</v>
      </c>
      <c r="H23" s="4">
        <f ca="1">'Total Distance Tables Sup #2'!H23+'Total Distance Tables Sup #2'!H18*'Other Assumptions'!L66*'Other Assumptions'!L70+'Total Distance Tables Sup #2'!H19*'Other Assumptions'!L66*'Other Assumptions'!L70</f>
        <v>1150.217085363975</v>
      </c>
      <c r="I23" s="1">
        <f ca="1">'Total Distance Tables Sup #2'!I23+'Total Distance Tables Sup #2'!I18*'Other Assumptions'!M66*'Other Assumptions'!M70+'Total Distance Tables Sup #2'!I19*'Other Assumptions'!M66*'Other Assumptions'!M70</f>
        <v>1256.3412840171</v>
      </c>
      <c r="J23" s="1">
        <f ca="1">'Total Distance Tables Sup #2'!J23+'Total Distance Tables Sup #2'!J18*'Other Assumptions'!N66*'Other Assumptions'!N70+'Total Distance Tables Sup #2'!J19*'Other Assumptions'!N66*'Other Assumptions'!N70</f>
        <v>1368.0635351474684</v>
      </c>
      <c r="K23" s="1">
        <f ca="1">'Total Distance Tables Sup #2'!K23+'Total Distance Tables Sup #2'!K18*'Other Assumptions'!O66*'Other Assumptions'!O70+'Total Distance Tables Sup #2'!K19*'Other Assumptions'!O66*'Other Assumptions'!O70</f>
        <v>1489.7208744234135</v>
      </c>
    </row>
    <row r="24" spans="1:17" x14ac:dyDescent="0.2">
      <c r="A24" t="str">
        <f ca="1">OFFSET(Auckland_Reference,56,2)</f>
        <v>Local Ferry</v>
      </c>
      <c r="B24" s="4">
        <f ca="1">'Total Distance Tables Sup #2'!B24</f>
        <v>0</v>
      </c>
      <c r="C24" s="4">
        <f ca="1">'Total Distance Tables Sup #2'!C24</f>
        <v>0</v>
      </c>
      <c r="D24" s="4">
        <f ca="1">'Total Distance Tables Sup #2'!D24</f>
        <v>0</v>
      </c>
      <c r="E24" s="4">
        <f ca="1">'Total Distance Tables Sup #2'!E24</f>
        <v>0</v>
      </c>
      <c r="F24" s="4">
        <f ca="1">'Total Distance Tables Sup #2'!F24</f>
        <v>0</v>
      </c>
      <c r="G24" s="4">
        <f ca="1">'Total Distance Tables Sup #2'!G24</f>
        <v>0</v>
      </c>
      <c r="H24" s="4">
        <f ca="1">'Total Distance Tables Sup #2'!H24</f>
        <v>0</v>
      </c>
      <c r="I24" s="1">
        <f ca="1">'Total Distance Tables Sup #2'!I24</f>
        <v>0</v>
      </c>
      <c r="J24" s="1">
        <f ca="1">'Total Distance Tables Sup #2'!J24</f>
        <v>0</v>
      </c>
      <c r="K24" s="1">
        <f ca="1">'Total Distance Tables Sup #2'!K24</f>
        <v>0</v>
      </c>
    </row>
    <row r="25" spans="1:17" x14ac:dyDescent="0.2">
      <c r="A25" t="str">
        <f ca="1">OFFSET(Auckland_Reference,63,2)</f>
        <v>Other Household Travel</v>
      </c>
      <c r="B25" s="4">
        <f ca="1">'Total Distance Tables Sup #2'!B25</f>
        <v>1.8241938706</v>
      </c>
      <c r="C25" s="4">
        <f ca="1">'Total Distance Tables Sup #2'!C25</f>
        <v>1.8775700838495539</v>
      </c>
      <c r="D25" s="4">
        <f ca="1">'Total Distance Tables Sup #2'!D25</f>
        <v>1.8392730024946664</v>
      </c>
      <c r="E25" s="4">
        <f ca="1">'Total Distance Tables Sup #2'!E25</f>
        <v>1.8119960721498671</v>
      </c>
      <c r="F25" s="4">
        <f ca="1">'Total Distance Tables Sup #2'!F25</f>
        <v>1.6991407367202827</v>
      </c>
      <c r="G25" s="4">
        <f ca="1">'Total Distance Tables Sup #2'!G25</f>
        <v>1.5138514155961369</v>
      </c>
      <c r="H25" s="4">
        <f ca="1">'Total Distance Tables Sup #2'!H25</f>
        <v>1.3347282403419616</v>
      </c>
      <c r="I25" s="1">
        <f ca="1">'Total Distance Tables Sup #2'!I25</f>
        <v>1.3659413870346355</v>
      </c>
      <c r="J25" s="1">
        <f ca="1">'Total Distance Tables Sup #2'!J25</f>
        <v>1.3938867313659824</v>
      </c>
      <c r="K25" s="1">
        <f ca="1">'Total Distance Tables Sup #2'!K25</f>
        <v>1.4198037845765059</v>
      </c>
    </row>
    <row r="26" spans="1:17" x14ac:dyDescent="0.2">
      <c r="A26" t="str">
        <f ca="1">OFFSET(Waikato_Reference,0,0)</f>
        <v>03 WAIKATO</v>
      </c>
      <c r="I26" s="1"/>
      <c r="J26" s="1"/>
      <c r="K26" s="1"/>
    </row>
    <row r="27" spans="1:17" x14ac:dyDescent="0.2">
      <c r="A27" t="str">
        <f ca="1">OFFSET(Waikato_Reference,0,2)</f>
        <v>Pedestrian</v>
      </c>
      <c r="B27" s="4">
        <f ca="1">'Total Distance Tables Sup #2'!B27</f>
        <v>52.675735545000002</v>
      </c>
      <c r="C27" s="4">
        <f ca="1">'Total Distance Tables Sup #2'!C27</f>
        <v>57.540304553768195</v>
      </c>
      <c r="D27" s="4">
        <f ca="1">'Total Distance Tables Sup #2'!D27</f>
        <v>60.177496487373197</v>
      </c>
      <c r="E27" s="4">
        <f ca="1">'Total Distance Tables Sup #2'!E27</f>
        <v>62.081939270027974</v>
      </c>
      <c r="F27" s="4">
        <f ca="1">'Total Distance Tables Sup #2'!F27</f>
        <v>63.356344259514508</v>
      </c>
      <c r="G27" s="4">
        <f ca="1">'Total Distance Tables Sup #2'!G27</f>
        <v>64.49871611553958</v>
      </c>
      <c r="H27" s="4">
        <f ca="1">'Total Distance Tables Sup #2'!H27</f>
        <v>65.392475456316419</v>
      </c>
      <c r="I27" s="1">
        <f ca="1">'Total Distance Tables Sup #2'!I27</f>
        <v>66.704688632330985</v>
      </c>
      <c r="J27" s="1">
        <f ca="1">'Total Distance Tables Sup #2'!J27</f>
        <v>67.827597674810789</v>
      </c>
      <c r="K27" s="1">
        <f ca="1">'Total Distance Tables Sup #2'!K27</f>
        <v>68.822160516030294</v>
      </c>
    </row>
    <row r="28" spans="1:17" x14ac:dyDescent="0.2">
      <c r="A28" t="str">
        <f ca="1">OFFSET(Waikato_Reference,7,2)</f>
        <v>Cyclist</v>
      </c>
      <c r="B28" s="4">
        <f ca="1">'Total Distance Tables Sup #2'!B28</f>
        <v>21.829422874999999</v>
      </c>
      <c r="C28" s="4">
        <f ca="1">'Total Distance Tables Sup #2'!C28</f>
        <v>24.701648721995983</v>
      </c>
      <c r="D28" s="4">
        <f ca="1">'Total Distance Tables Sup #2'!D28</f>
        <v>26.231369908750203</v>
      </c>
      <c r="E28" s="4">
        <f ca="1">'Total Distance Tables Sup #2'!E28</f>
        <v>27.058831884488018</v>
      </c>
      <c r="F28" s="4">
        <f ca="1">'Total Distance Tables Sup #2'!F28</f>
        <v>28.156120579282273</v>
      </c>
      <c r="G28" s="4">
        <f ca="1">'Total Distance Tables Sup #2'!G28</f>
        <v>29.633080644743067</v>
      </c>
      <c r="H28" s="4">
        <f ca="1">'Total Distance Tables Sup #2'!H28</f>
        <v>31.099954949651192</v>
      </c>
      <c r="I28" s="1">
        <f ca="1">'Total Distance Tables Sup #2'!I28</f>
        <v>31.873075518255845</v>
      </c>
      <c r="J28" s="1">
        <f ca="1">'Total Distance Tables Sup #2'!J28</f>
        <v>32.563377682847445</v>
      </c>
      <c r="K28" s="1">
        <f ca="1">'Total Distance Tables Sup #2'!K28</f>
        <v>33.199074294171474</v>
      </c>
    </row>
    <row r="29" spans="1:17" x14ac:dyDescent="0.2">
      <c r="A29" t="str">
        <f ca="1">OFFSET(Waikato_Reference,14,2)</f>
        <v>Light Vehicle Driver</v>
      </c>
      <c r="B29" s="4">
        <f ca="1">'Total Distance Tables Sup #2'!B29</f>
        <v>3709.9843593000001</v>
      </c>
      <c r="C29" s="4">
        <f ca="1">'Total Distance Tables Sup #2'!C29*(1-'Other Assumptions'!G8)</f>
        <v>4201.522234621285</v>
      </c>
      <c r="D29" s="4">
        <f ca="1">'Total Distance Tables Sup #2'!D29*(1-'Other Assumptions'!H8)</f>
        <v>4499.1447838043487</v>
      </c>
      <c r="E29" s="4">
        <f ca="1">'Total Distance Tables Sup #2'!E29*(1-'Other Assumptions'!I8)</f>
        <v>4464.4837181094481</v>
      </c>
      <c r="F29" s="4">
        <f ca="1">'Total Distance Tables Sup #2'!F29*(1-'Other Assumptions'!J8)</f>
        <v>4393.169291637988</v>
      </c>
      <c r="G29" s="4">
        <f ca="1">'Total Distance Tables Sup #2'!G29*(1-'Other Assumptions'!K8)</f>
        <v>4266.8869174517185</v>
      </c>
      <c r="H29" s="4">
        <f ca="1">'Total Distance Tables Sup #2'!H29*(1-'Other Assumptions'!L8)</f>
        <v>4114.5991489209227</v>
      </c>
      <c r="I29" s="1">
        <f ca="1">'Total Distance Tables Sup #2'!I29*(1-'Other Assumptions'!M8)</f>
        <v>3942.4798661894433</v>
      </c>
      <c r="J29" s="1">
        <f ca="1">'Total Distance Tables Sup #2'!J29*(1-'Other Assumptions'!N8)</f>
        <v>3748.8298168027281</v>
      </c>
      <c r="K29" s="1">
        <f ca="1">'Total Distance Tables Sup #2'!K29*(1-'Other Assumptions'!O8)</f>
        <v>3538.9092063919338</v>
      </c>
    </row>
    <row r="30" spans="1:17" x14ac:dyDescent="0.2">
      <c r="A30" t="str">
        <f ca="1">OFFSET(Waikato_Reference,21,2)</f>
        <v>Light Vehicle Passenger</v>
      </c>
      <c r="B30" s="4">
        <f ca="1">'Total Distance Tables Sup #2'!B30</f>
        <v>1955.0668243</v>
      </c>
      <c r="C30" s="4">
        <f ca="1">'Total Distance Tables Sup #2'!C30*(1-'Other Assumptions'!G8)</f>
        <v>2124.886470229389</v>
      </c>
      <c r="D30" s="4">
        <f ca="1">'Total Distance Tables Sup #2'!D30*(1-'Other Assumptions'!H8)</f>
        <v>2222.7746715581102</v>
      </c>
      <c r="E30" s="4">
        <f ca="1">'Total Distance Tables Sup #2'!E30*(1-'Other Assumptions'!I8)</f>
        <v>2175.358983629083</v>
      </c>
      <c r="F30" s="4">
        <f ca="1">'Total Distance Tables Sup #2'!F30*(1-'Other Assumptions'!J8)</f>
        <v>2107.3687009452751</v>
      </c>
      <c r="G30" s="4">
        <f ca="1">'Total Distance Tables Sup #2'!G30*(1-'Other Assumptions'!K8)</f>
        <v>2024.1914440388073</v>
      </c>
      <c r="H30" s="4">
        <f ca="1">'Total Distance Tables Sup #2'!H30*(1-'Other Assumptions'!L8)</f>
        <v>1928.4616103325534</v>
      </c>
      <c r="I30" s="1">
        <f ca="1">'Total Distance Tables Sup #2'!I30*(1-'Other Assumptions'!M8)</f>
        <v>1849.8281498024055</v>
      </c>
      <c r="J30" s="1">
        <f ca="1">'Total Distance Tables Sup #2'!J30*(1-'Other Assumptions'!N8)</f>
        <v>1760.911892889183</v>
      </c>
      <c r="K30" s="1">
        <f ca="1">'Total Distance Tables Sup #2'!K30*(1-'Other Assumptions'!O8)</f>
        <v>1664.1506228673302</v>
      </c>
    </row>
    <row r="31" spans="1:17" x14ac:dyDescent="0.2">
      <c r="A31" t="str">
        <f ca="1">OFFSET(Waikato_Reference,28,2)</f>
        <v>Taxi/Vehicle Share</v>
      </c>
      <c r="B31" s="4">
        <f ca="1">'Total Distance Tables Sup #2'!B31</f>
        <v>2.4426175743999998</v>
      </c>
      <c r="C31" s="4">
        <f ca="1">'Total Distance Tables Sup #2'!C31+((C29+C30)*'Other Assumptions'!G8/(1-'Other Assumptions'!G8))</f>
        <v>2.8826686285321461</v>
      </c>
      <c r="D31" s="4">
        <f ca="1">'Total Distance Tables Sup #2'!D31+((D29+D30)*'Other Assumptions'!H8/(1-'Other Assumptions'!H8))</f>
        <v>3.2449092330585461</v>
      </c>
      <c r="E31" s="4">
        <f ca="1">'Total Distance Tables Sup #2'!E31+((E29+E30)*'Other Assumptions'!I8/(1-'Other Assumptions'!I8))</f>
        <v>353.04612931612559</v>
      </c>
      <c r="F31" s="4">
        <f ca="1">'Total Distance Tables Sup #2'!F31+((F29+F30)*'Other Assumptions'!J8/(1-'Other Assumptions'!J8))</f>
        <v>726.16789554219611</v>
      </c>
      <c r="G31" s="4">
        <f ca="1">'Total Distance Tables Sup #2'!G31+((G29+G30)*'Other Assumptions'!K8/(1-'Other Assumptions'!K8))</f>
        <v>1114.3321314086511</v>
      </c>
      <c r="H31" s="4">
        <f ca="1">'Total Distance Tables Sup #2'!H31+((H29+H30)*'Other Assumptions'!L8/(1-'Other Assumptions'!L8))</f>
        <v>1515.1589643448724</v>
      </c>
      <c r="I31" s="1">
        <f ca="1">'Total Distance Tables Sup #2'!I31+((I29+I30)*'Other Assumptions'!M8/(1-'Other Assumptions'!M8))</f>
        <v>1935.247382388043</v>
      </c>
      <c r="J31" s="1">
        <f ca="1">'Total Distance Tables Sup #2'!J31+((J29+J30)*'Other Assumptions'!N8/(1-'Other Assumptions'!N8))</f>
        <v>2365.8672495202559</v>
      </c>
      <c r="K31" s="1">
        <f ca="1">'Total Distance Tables Sup #2'!K31+((K29+K30)*'Other Assumptions'!O8/(1-'Other Assumptions'!O8))</f>
        <v>2806.2594862081196</v>
      </c>
    </row>
    <row r="32" spans="1:17" x14ac:dyDescent="0.2">
      <c r="A32" t="str">
        <f ca="1">OFFSET(Waikato_Reference,35,2)</f>
        <v>Motorcyclist</v>
      </c>
      <c r="B32" s="4">
        <f ca="1">'Total Distance Tables Sup #2'!B32</f>
        <v>38.030338682999997</v>
      </c>
      <c r="C32" s="4">
        <f ca="1">'Total Distance Tables Sup #2'!C32</f>
        <v>43.06049535590035</v>
      </c>
      <c r="D32" s="4">
        <f ca="1">'Total Distance Tables Sup #2'!D32</f>
        <v>46.04412121296555</v>
      </c>
      <c r="E32" s="4">
        <f ca="1">'Total Distance Tables Sup #2'!E32</f>
        <v>47.248760469455824</v>
      </c>
      <c r="F32" s="4">
        <f ca="1">'Total Distance Tables Sup #2'!F32</f>
        <v>47.979750036311074</v>
      </c>
      <c r="G32" s="4">
        <f ca="1">'Total Distance Tables Sup #2'!G32</f>
        <v>47.866678425161403</v>
      </c>
      <c r="H32" s="4">
        <f ca="1">'Total Distance Tables Sup #2'!H32</f>
        <v>47.522639050839928</v>
      </c>
      <c r="I32" s="1">
        <f ca="1">'Total Distance Tables Sup #2'!I32</f>
        <v>48.870491270148733</v>
      </c>
      <c r="J32" s="1">
        <f ca="1">'Total Distance Tables Sup #2'!J32</f>
        <v>50.098523712838649</v>
      </c>
      <c r="K32" s="1">
        <f ca="1">'Total Distance Tables Sup #2'!K32</f>
        <v>51.248857613723921</v>
      </c>
    </row>
    <row r="33" spans="1:11" x14ac:dyDescent="0.2">
      <c r="A33" t="str">
        <f ca="1">OFFSET(Waikato_Reference,42,2)</f>
        <v>Local Train</v>
      </c>
      <c r="B33" s="4">
        <f ca="1">'Total Distance Tables Sup #2'!B33</f>
        <v>0</v>
      </c>
      <c r="C33" s="4">
        <f ca="1">'Total Distance Tables Sup #2'!C33</f>
        <v>0</v>
      </c>
      <c r="D33" s="4">
        <f ca="1">'Total Distance Tables Sup #2'!D33</f>
        <v>0</v>
      </c>
      <c r="E33" s="4">
        <f ca="1">'Total Distance Tables Sup #2'!E33</f>
        <v>0</v>
      </c>
      <c r="F33" s="4">
        <f ca="1">'Total Distance Tables Sup #2'!F33</f>
        <v>0</v>
      </c>
      <c r="G33" s="4">
        <f ca="1">'Total Distance Tables Sup #2'!G33</f>
        <v>0</v>
      </c>
      <c r="H33" s="4">
        <f ca="1">'Total Distance Tables Sup #2'!H33</f>
        <v>0</v>
      </c>
      <c r="I33" s="1">
        <f ca="1">'Total Distance Tables Sup #2'!I33</f>
        <v>0</v>
      </c>
      <c r="J33" s="1">
        <f ca="1">'Total Distance Tables Sup #2'!J33</f>
        <v>0</v>
      </c>
      <c r="K33" s="1">
        <f ca="1">'Total Distance Tables Sup #2'!K33</f>
        <v>0</v>
      </c>
    </row>
    <row r="34" spans="1:11" x14ac:dyDescent="0.2">
      <c r="A34" t="str">
        <f ca="1">OFFSET(Waikato_Reference,49,2)</f>
        <v>Local Bus</v>
      </c>
      <c r="B34" s="4">
        <f ca="1">'Total Distance Tables Sup #2'!B34</f>
        <v>54.303948532</v>
      </c>
      <c r="C34" s="4">
        <f ca="1">'Total Distance Tables Sup #2'!C34</f>
        <v>54.686199269744542</v>
      </c>
      <c r="D34" s="4">
        <f ca="1">'Total Distance Tables Sup #2'!D34</f>
        <v>54.568317274941258</v>
      </c>
      <c r="E34" s="4">
        <f ca="1">'Total Distance Tables Sup #2'!E34</f>
        <v>54.480145464987459</v>
      </c>
      <c r="F34" s="4">
        <f ca="1">'Total Distance Tables Sup #2'!F34</f>
        <v>53.522594838227334</v>
      </c>
      <c r="G34" s="4">
        <f ca="1">'Total Distance Tables Sup #2'!G34</f>
        <v>53.163429193695293</v>
      </c>
      <c r="H34" s="4">
        <f ca="1">'Total Distance Tables Sup #2'!H34</f>
        <v>52.573439214473844</v>
      </c>
      <c r="I34" s="1">
        <f ca="1">'Total Distance Tables Sup #2'!I34</f>
        <v>53.797391718814715</v>
      </c>
      <c r="J34" s="1">
        <f ca="1">'Total Distance Tables Sup #2'!J34</f>
        <v>54.874529134792979</v>
      </c>
      <c r="K34" s="1">
        <f ca="1">'Total Distance Tables Sup #2'!K34</f>
        <v>55.852846256031242</v>
      </c>
    </row>
    <row r="35" spans="1:11" x14ac:dyDescent="0.2">
      <c r="A35" t="str">
        <f ca="1">OFFSET(Waikato_Reference,56,2)</f>
        <v>Local Ferry</v>
      </c>
      <c r="B35" s="4">
        <f ca="1">'Total Distance Tables Sup #2'!B35</f>
        <v>0</v>
      </c>
      <c r="C35" s="4">
        <f ca="1">'Total Distance Tables Sup #2'!C35</f>
        <v>0</v>
      </c>
      <c r="D35" s="4">
        <f ca="1">'Total Distance Tables Sup #2'!D35</f>
        <v>0</v>
      </c>
      <c r="E35" s="4">
        <f ca="1">'Total Distance Tables Sup #2'!E35</f>
        <v>0</v>
      </c>
      <c r="F35" s="4">
        <f ca="1">'Total Distance Tables Sup #2'!F35</f>
        <v>0</v>
      </c>
      <c r="G35" s="4">
        <f ca="1">'Total Distance Tables Sup #2'!G35</f>
        <v>0</v>
      </c>
      <c r="H35" s="4">
        <f ca="1">'Total Distance Tables Sup #2'!H35</f>
        <v>0</v>
      </c>
      <c r="I35" s="1">
        <f ca="1">'Total Distance Tables Sup #2'!I35</f>
        <v>0</v>
      </c>
      <c r="J35" s="1">
        <f ca="1">'Total Distance Tables Sup #2'!J35</f>
        <v>0</v>
      </c>
      <c r="K35" s="1">
        <f ca="1">'Total Distance Tables Sup #2'!K35</f>
        <v>0</v>
      </c>
    </row>
    <row r="36" spans="1:11" x14ac:dyDescent="0.2">
      <c r="A36" t="str">
        <f ca="1">OFFSET(Waikato_Reference,63,2)</f>
        <v>Other Household Travel</v>
      </c>
      <c r="B36" s="4">
        <f ca="1">'Total Distance Tables Sup #2'!B36</f>
        <v>0</v>
      </c>
      <c r="C36" s="4">
        <f ca="1">'Total Distance Tables Sup #2'!C36</f>
        <v>0</v>
      </c>
      <c r="D36" s="4">
        <f ca="1">'Total Distance Tables Sup #2'!D36</f>
        <v>0</v>
      </c>
      <c r="E36" s="4">
        <f ca="1">'Total Distance Tables Sup #2'!E36</f>
        <v>0</v>
      </c>
      <c r="F36" s="4">
        <f ca="1">'Total Distance Tables Sup #2'!F36</f>
        <v>0</v>
      </c>
      <c r="G36" s="4">
        <f ca="1">'Total Distance Tables Sup #2'!G36</f>
        <v>0</v>
      </c>
      <c r="H36" s="4">
        <f ca="1">'Total Distance Tables Sup #2'!H36</f>
        <v>0</v>
      </c>
      <c r="I36" s="1">
        <f ca="1">'Total Distance Tables Sup #2'!I36</f>
        <v>0</v>
      </c>
      <c r="J36" s="1">
        <f ca="1">'Total Distance Tables Sup #2'!J36</f>
        <v>0</v>
      </c>
      <c r="K36" s="1">
        <f ca="1">'Total Distance Tables Sup #2'!K36</f>
        <v>0</v>
      </c>
    </row>
    <row r="37" spans="1:11" x14ac:dyDescent="0.2">
      <c r="A37" t="str">
        <f ca="1">OFFSET(BOP_Reference,0,0)</f>
        <v>04 BAY OF PLENTY</v>
      </c>
      <c r="I37" s="1"/>
      <c r="J37" s="1"/>
      <c r="K37" s="1"/>
    </row>
    <row r="38" spans="1:11" x14ac:dyDescent="0.2">
      <c r="A38" t="str">
        <f ca="1">OFFSET(BOP_Reference,0,2)</f>
        <v>Pedestrian</v>
      </c>
      <c r="B38" s="4">
        <f ca="1">'Total Distance Tables Sup #2'!B38</f>
        <v>35.579183637</v>
      </c>
      <c r="C38" s="4">
        <f ca="1">'Total Distance Tables Sup #2'!C38</f>
        <v>38.326654465227818</v>
      </c>
      <c r="D38" s="4">
        <f ca="1">'Total Distance Tables Sup #2'!D38</f>
        <v>39.810067326126081</v>
      </c>
      <c r="E38" s="4">
        <f ca="1">'Total Distance Tables Sup #2'!E38</f>
        <v>40.796136654227162</v>
      </c>
      <c r="F38" s="4">
        <f ca="1">'Total Distance Tables Sup #2'!F38</f>
        <v>41.366391007651885</v>
      </c>
      <c r="G38" s="4">
        <f ca="1">'Total Distance Tables Sup #2'!G38</f>
        <v>41.826510285303328</v>
      </c>
      <c r="H38" s="4">
        <f ca="1">'Total Distance Tables Sup #2'!H38</f>
        <v>42.119654890887055</v>
      </c>
      <c r="I38" s="1">
        <f ca="1">'Total Distance Tables Sup #2'!I38</f>
        <v>42.674638581560203</v>
      </c>
      <c r="J38" s="1">
        <f ca="1">'Total Distance Tables Sup #2'!J38</f>
        <v>43.099912670803022</v>
      </c>
      <c r="K38" s="1">
        <f ca="1">'Total Distance Tables Sup #2'!K38</f>
        <v>43.436489758521539</v>
      </c>
    </row>
    <row r="39" spans="1:11" x14ac:dyDescent="0.2">
      <c r="A39" t="str">
        <f ca="1">OFFSET(BOP_Reference,7,2)</f>
        <v>Cyclist</v>
      </c>
      <c r="B39" s="4">
        <f ca="1">'Total Distance Tables Sup #2'!B39</f>
        <v>8.5028812633000008</v>
      </c>
      <c r="C39" s="4">
        <f ca="1">'Total Distance Tables Sup #2'!C39</f>
        <v>9.4884044091632092</v>
      </c>
      <c r="D39" s="4">
        <f ca="1">'Total Distance Tables Sup #2'!D39</f>
        <v>10.007330842868591</v>
      </c>
      <c r="E39" s="4">
        <f ca="1">'Total Distance Tables Sup #2'!E39</f>
        <v>10.25418852583074</v>
      </c>
      <c r="F39" s="4">
        <f ca="1">'Total Distance Tables Sup #2'!F39</f>
        <v>10.601536900449789</v>
      </c>
      <c r="G39" s="4">
        <f ca="1">'Total Distance Tables Sup #2'!G39</f>
        <v>11.081941539932846</v>
      </c>
      <c r="H39" s="4">
        <f ca="1">'Total Distance Tables Sup #2'!H39</f>
        <v>11.55194935265464</v>
      </c>
      <c r="I39" s="1">
        <f ca="1">'Total Distance Tables Sup #2'!I39</f>
        <v>11.759150596258158</v>
      </c>
      <c r="J39" s="1">
        <f ca="1">'Total Distance Tables Sup #2'!J39</f>
        <v>11.932677170358332</v>
      </c>
      <c r="K39" s="1">
        <f ca="1">'Total Distance Tables Sup #2'!K39</f>
        <v>12.083448166891998</v>
      </c>
    </row>
    <row r="40" spans="1:11" x14ac:dyDescent="0.2">
      <c r="A40" t="str">
        <f ca="1">OFFSET(BOP_Reference,14,2)</f>
        <v>Light Vehicle Driver</v>
      </c>
      <c r="B40" s="4">
        <f ca="1">'Total Distance Tables Sup #2'!B40</f>
        <v>1972.0747595</v>
      </c>
      <c r="C40" s="4">
        <f ca="1">'Total Distance Tables Sup #2'!C40*(1-'Other Assumptions'!G9)</f>
        <v>2202.4261091894841</v>
      </c>
      <c r="D40" s="4">
        <f ca="1">'Total Distance Tables Sup #2'!D40*(1-'Other Assumptions'!H9)</f>
        <v>2342.3656494592965</v>
      </c>
      <c r="E40" s="4">
        <f ca="1">'Total Distance Tables Sup #2'!E40*(1-'Other Assumptions'!I9)</f>
        <v>2308.8245529998385</v>
      </c>
      <c r="F40" s="4">
        <f ca="1">'Total Distance Tables Sup #2'!F40*(1-'Other Assumptions'!J9)</f>
        <v>2257.3629230926776</v>
      </c>
      <c r="G40" s="4">
        <f ca="1">'Total Distance Tables Sup #2'!G40*(1-'Other Assumptions'!K9)</f>
        <v>2177.5975562549547</v>
      </c>
      <c r="H40" s="4">
        <f ca="1">'Total Distance Tables Sup #2'!H40*(1-'Other Assumptions'!L9)</f>
        <v>2085.6934802201063</v>
      </c>
      <c r="I40" s="1">
        <f ca="1">'Total Distance Tables Sup #2'!I40*(1-'Other Assumptions'!M9)</f>
        <v>1984.9469310653926</v>
      </c>
      <c r="J40" s="1">
        <f ca="1">'Total Distance Tables Sup #2'!J40*(1-'Other Assumptions'!N9)</f>
        <v>1874.6992506846777</v>
      </c>
      <c r="K40" s="1">
        <f ca="1">'Total Distance Tables Sup #2'!K40*(1-'Other Assumptions'!O9)</f>
        <v>1757.768855368809</v>
      </c>
    </row>
    <row r="41" spans="1:11" x14ac:dyDescent="0.2">
      <c r="A41" t="str">
        <f ca="1">OFFSET(BOP_Reference,21,2)</f>
        <v>Light Vehicle Passenger</v>
      </c>
      <c r="B41" s="4">
        <f ca="1">'Total Distance Tables Sup #2'!B41</f>
        <v>1385.2330090999999</v>
      </c>
      <c r="C41" s="4">
        <f ca="1">'Total Distance Tables Sup #2'!C41*(1-'Other Assumptions'!G9)</f>
        <v>1484.7055833780921</v>
      </c>
      <c r="D41" s="4">
        <f ca="1">'Total Distance Tables Sup #2'!D41*(1-'Other Assumptions'!H9)</f>
        <v>1542.5174672277992</v>
      </c>
      <c r="E41" s="4">
        <f ca="1">'Total Distance Tables Sup #2'!E41*(1-'Other Assumptions'!I9)</f>
        <v>1499.5486296087083</v>
      </c>
      <c r="F41" s="4">
        <f ca="1">'Total Distance Tables Sup #2'!F41*(1-'Other Assumptions'!J9)</f>
        <v>1443.3574681922848</v>
      </c>
      <c r="G41" s="4">
        <f ca="1">'Total Distance Tables Sup #2'!G41*(1-'Other Assumptions'!K9)</f>
        <v>1376.9811717584339</v>
      </c>
      <c r="H41" s="4">
        <f ca="1">'Total Distance Tables Sup #2'!H41*(1-'Other Assumptions'!L9)</f>
        <v>1302.9983905973763</v>
      </c>
      <c r="I41" s="1">
        <f ca="1">'Total Distance Tables Sup #2'!I41*(1-'Other Assumptions'!M9)</f>
        <v>1241.4256940906569</v>
      </c>
      <c r="J41" s="1">
        <f ca="1">'Total Distance Tables Sup #2'!J41*(1-'Other Assumptions'!N9)</f>
        <v>1173.7711659973318</v>
      </c>
      <c r="K41" s="1">
        <f ca="1">'Total Distance Tables Sup #2'!K41*(1-'Other Assumptions'!O9)</f>
        <v>1101.7800551840251</v>
      </c>
    </row>
    <row r="42" spans="1:11" x14ac:dyDescent="0.2">
      <c r="A42" t="str">
        <f ca="1">OFFSET(BOP_Reference,28,2)</f>
        <v>Taxi/Vehicle Share</v>
      </c>
      <c r="B42" s="4">
        <f ca="1">'Total Distance Tables Sup #2'!B42</f>
        <v>0.98369936449999995</v>
      </c>
      <c r="C42" s="4">
        <f ca="1">'Total Distance Tables Sup #2'!C42+((C40+C41)*'Other Assumptions'!G9/(1-'Other Assumptions'!G9))</f>
        <v>1.1448405928655205</v>
      </c>
      <c r="D42" s="4">
        <f ca="1">'Total Distance Tables Sup #2'!D42+((D40+D41)*'Other Assumptions'!H9/(1-'Other Assumptions'!H9))</f>
        <v>1.2799201963946412</v>
      </c>
      <c r="E42" s="4">
        <f ca="1">'Total Distance Tables Sup #2'!E42+((E40+E41)*'Other Assumptions'!I9/(1-'Other Assumptions'!I9))</f>
        <v>201.84365659883633</v>
      </c>
      <c r="F42" s="4">
        <f ca="1">'Total Distance Tables Sup #2'!F42+((F40+F41)*'Other Assumptions'!J9/(1-'Other Assumptions'!J9))</f>
        <v>412.70391544897382</v>
      </c>
      <c r="G42" s="4">
        <f ca="1">'Total Distance Tables Sup #2'!G42+((G40+G41)*'Other Assumptions'!K9/(1-'Other Assumptions'!K9))</f>
        <v>628.88005361106104</v>
      </c>
      <c r="H42" s="4">
        <f ca="1">'Total Distance Tables Sup #2'!H42+((H40+H41)*'Other Assumptions'!L9/(1-'Other Assumptions'!L9))</f>
        <v>848.86036106597123</v>
      </c>
      <c r="I42" s="1">
        <f ca="1">'Total Distance Tables Sup #2'!I42+((I40+I41)*'Other Assumptions'!M9/(1-'Other Assumptions'!M9))</f>
        <v>1077.1656813268089</v>
      </c>
      <c r="J42" s="1">
        <f ca="1">'Total Distance Tables Sup #2'!J42+((J40+J41)*'Other Assumptions'!N9/(1-'Other Assumptions'!N9))</f>
        <v>1308.2109478182083</v>
      </c>
      <c r="K42" s="1">
        <f ca="1">'Total Distance Tables Sup #2'!K42+((K40+K41)*'Other Assumptions'!O9/(1-'Other Assumptions'!O9))</f>
        <v>1541.4926132443704</v>
      </c>
    </row>
    <row r="43" spans="1:11" x14ac:dyDescent="0.2">
      <c r="A43" t="str">
        <f ca="1">OFFSET(BOP_Reference,35,2)</f>
        <v>Motorcyclist</v>
      </c>
      <c r="B43" s="4">
        <f ca="1">'Total Distance Tables Sup #2'!B43</f>
        <v>35.608960758999999</v>
      </c>
      <c r="C43" s="4">
        <f ca="1">'Total Distance Tables Sup #2'!C43</f>
        <v>39.760470256214312</v>
      </c>
      <c r="D43" s="4">
        <f ca="1">'Total Distance Tables Sup #2'!D43</f>
        <v>42.225686600052057</v>
      </c>
      <c r="E43" s="4">
        <f ca="1">'Total Distance Tables Sup #2'!E43</f>
        <v>43.041551574729141</v>
      </c>
      <c r="F43" s="4">
        <f ca="1">'Total Distance Tables Sup #2'!F43</f>
        <v>43.426941077357505</v>
      </c>
      <c r="G43" s="4">
        <f ca="1">'Total Distance Tables Sup #2'!G43</f>
        <v>43.030618577329342</v>
      </c>
      <c r="H43" s="4">
        <f ca="1">'Total Distance Tables Sup #2'!H43</f>
        <v>42.432763012149017</v>
      </c>
      <c r="I43" s="1">
        <f ca="1">'Total Distance Tables Sup #2'!I43</f>
        <v>43.341499316315762</v>
      </c>
      <c r="J43" s="1">
        <f ca="1">'Total Distance Tables Sup #2'!J43</f>
        <v>44.130476703808405</v>
      </c>
      <c r="K43" s="1">
        <f ca="1">'Total Distance Tables Sup #2'!K43</f>
        <v>44.838837421749226</v>
      </c>
    </row>
    <row r="44" spans="1:11" x14ac:dyDescent="0.2">
      <c r="A44" t="str">
        <f ca="1">OFFSET(Auckland_Reference,42,2)</f>
        <v>Local Train</v>
      </c>
      <c r="B44" s="4">
        <f ca="1">'Total Distance Tables Sup #2'!B44</f>
        <v>0</v>
      </c>
      <c r="C44" s="4">
        <f ca="1">'Total Distance Tables Sup #2'!C44</f>
        <v>0</v>
      </c>
      <c r="D44" s="4">
        <f ca="1">'Total Distance Tables Sup #2'!D44</f>
        <v>0</v>
      </c>
      <c r="E44" s="4">
        <f ca="1">'Total Distance Tables Sup #2'!E44</f>
        <v>0</v>
      </c>
      <c r="F44" s="4">
        <f ca="1">'Total Distance Tables Sup #2'!F44</f>
        <v>0</v>
      </c>
      <c r="G44" s="4">
        <f ca="1">'Total Distance Tables Sup #2'!G44</f>
        <v>0</v>
      </c>
      <c r="H44" s="4">
        <f ca="1">'Total Distance Tables Sup #2'!H44</f>
        <v>0</v>
      </c>
      <c r="I44" s="1">
        <f ca="1">'Total Distance Tables Sup #2'!I44</f>
        <v>0</v>
      </c>
      <c r="J44" s="1">
        <f ca="1">'Total Distance Tables Sup #2'!J44</f>
        <v>0</v>
      </c>
      <c r="K44" s="1">
        <f ca="1">'Total Distance Tables Sup #2'!K44</f>
        <v>0</v>
      </c>
    </row>
    <row r="45" spans="1:11" x14ac:dyDescent="0.2">
      <c r="A45" t="str">
        <f ca="1">OFFSET(BOP_Reference,42,2)</f>
        <v>Local Bus</v>
      </c>
      <c r="B45" s="4">
        <f ca="1">'Total Distance Tables Sup #2'!B45</f>
        <v>52.669440211999998</v>
      </c>
      <c r="C45" s="4">
        <f ca="1">'Total Distance Tables Sup #2'!C45</f>
        <v>52.305627781649427</v>
      </c>
      <c r="D45" s="4">
        <f ca="1">'Total Distance Tables Sup #2'!D45</f>
        <v>51.837169649710418</v>
      </c>
      <c r="E45" s="4">
        <f ca="1">'Total Distance Tables Sup #2'!E45</f>
        <v>51.408383135741104</v>
      </c>
      <c r="F45" s="4">
        <f ca="1">'Total Distance Tables Sup #2'!F45</f>
        <v>50.18068741430065</v>
      </c>
      <c r="G45" s="4">
        <f ca="1">'Total Distance Tables Sup #2'!G45</f>
        <v>49.50573027794357</v>
      </c>
      <c r="H45" s="4">
        <f ca="1">'Total Distance Tables Sup #2'!H45</f>
        <v>48.625640799459923</v>
      </c>
      <c r="I45" s="1">
        <f ca="1">'Total Distance Tables Sup #2'!I45</f>
        <v>49.42158092028631</v>
      </c>
      <c r="J45" s="1">
        <f ca="1">'Total Distance Tables Sup #2'!J45</f>
        <v>50.07058720429486</v>
      </c>
      <c r="K45" s="1">
        <f ca="1">'Total Distance Tables Sup #2'!K45</f>
        <v>50.61901056795206</v>
      </c>
    </row>
    <row r="46" spans="1:11" x14ac:dyDescent="0.2">
      <c r="A46" t="str">
        <f ca="1">OFFSET(Waikato_Reference,56,2)</f>
        <v>Local Ferry</v>
      </c>
      <c r="B46" s="4">
        <f>'Total Distance Tables Sup #2'!B46</f>
        <v>0</v>
      </c>
      <c r="C46" s="4">
        <f ca="1">'Total Distance Tables Sup #2'!C46</f>
        <v>0</v>
      </c>
      <c r="D46" s="4">
        <f ca="1">'Total Distance Tables Sup #2'!D46</f>
        <v>0</v>
      </c>
      <c r="E46" s="4">
        <f ca="1">'Total Distance Tables Sup #2'!E46</f>
        <v>0</v>
      </c>
      <c r="F46" s="4">
        <f ca="1">'Total Distance Tables Sup #2'!F46</f>
        <v>0</v>
      </c>
      <c r="G46" s="4">
        <f ca="1">'Total Distance Tables Sup #2'!G46</f>
        <v>0</v>
      </c>
      <c r="H46" s="4">
        <f ca="1">'Total Distance Tables Sup #2'!H46</f>
        <v>0</v>
      </c>
      <c r="I46" s="1">
        <f ca="1">'Total Distance Tables Sup #2'!I46</f>
        <v>0</v>
      </c>
      <c r="J46" s="1">
        <f ca="1">'Total Distance Tables Sup #2'!J46</f>
        <v>0</v>
      </c>
      <c r="K46" s="1">
        <f ca="1">'Total Distance Tables Sup #2'!K46</f>
        <v>0</v>
      </c>
    </row>
    <row r="47" spans="1:11" x14ac:dyDescent="0.2">
      <c r="A47" t="str">
        <f ca="1">OFFSET(BOP_Reference,49,2)</f>
        <v>Other Household Travel</v>
      </c>
      <c r="B47" s="4">
        <f ca="1">'Total Distance Tables Sup #2'!B47</f>
        <v>0</v>
      </c>
      <c r="C47" s="4">
        <f ca="1">'Total Distance Tables Sup #2'!C47</f>
        <v>0</v>
      </c>
      <c r="D47" s="4">
        <f ca="1">'Total Distance Tables Sup #2'!D47</f>
        <v>0</v>
      </c>
      <c r="E47" s="4">
        <f ca="1">'Total Distance Tables Sup #2'!E47</f>
        <v>0</v>
      </c>
      <c r="F47" s="4">
        <f ca="1">'Total Distance Tables Sup #2'!F47</f>
        <v>0</v>
      </c>
      <c r="G47" s="4">
        <f ca="1">'Total Distance Tables Sup #2'!G47</f>
        <v>0</v>
      </c>
      <c r="H47" s="4">
        <f ca="1">'Total Distance Tables Sup #2'!H47</f>
        <v>0</v>
      </c>
      <c r="I47" s="1">
        <f ca="1">'Total Distance Tables Sup #2'!I47</f>
        <v>0</v>
      </c>
      <c r="J47" s="1">
        <f ca="1">'Total Distance Tables Sup #2'!J47</f>
        <v>0</v>
      </c>
      <c r="K47" s="1">
        <f ca="1">'Total Distance Tables Sup #2'!K47</f>
        <v>0</v>
      </c>
    </row>
    <row r="48" spans="1:11" x14ac:dyDescent="0.2">
      <c r="A48" t="str">
        <f ca="1">OFFSET(Gisborne_Reference,0,0)</f>
        <v>05 GISBORNE</v>
      </c>
      <c r="I48" s="1"/>
      <c r="J48" s="1"/>
      <c r="K48" s="1"/>
    </row>
    <row r="49" spans="1:11" x14ac:dyDescent="0.2">
      <c r="A49" t="str">
        <f ca="1">OFFSET(Gisborne_Reference,0,2)</f>
        <v>Pedestrian</v>
      </c>
      <c r="B49" s="4">
        <f ca="1">'Total Distance Tables Sup #2'!B49</f>
        <v>7.5635235767999998</v>
      </c>
      <c r="C49" s="4">
        <f ca="1">'Total Distance Tables Sup #2'!C49</f>
        <v>7.7483057361249532</v>
      </c>
      <c r="D49" s="4">
        <f ca="1">'Total Distance Tables Sup #2'!D49</f>
        <v>7.8139314398176589</v>
      </c>
      <c r="E49" s="4">
        <f ca="1">'Total Distance Tables Sup #2'!E49</f>
        <v>7.8245827047437482</v>
      </c>
      <c r="F49" s="4">
        <f ca="1">'Total Distance Tables Sup #2'!F49</f>
        <v>7.7557995162320852</v>
      </c>
      <c r="G49" s="4">
        <f ca="1">'Total Distance Tables Sup #2'!G49</f>
        <v>7.6572679276929234</v>
      </c>
      <c r="H49" s="4">
        <f ca="1">'Total Distance Tables Sup #2'!H49</f>
        <v>7.5302678914785757</v>
      </c>
      <c r="I49" s="1">
        <f ca="1">'Total Distance Tables Sup #2'!I49</f>
        <v>7.4507310167640295</v>
      </c>
      <c r="J49" s="1">
        <f ca="1">'Total Distance Tables Sup #2'!J49</f>
        <v>7.3486715036748196</v>
      </c>
      <c r="K49" s="1">
        <f ca="1">'Total Distance Tables Sup #2'!K49</f>
        <v>7.2325355341563933</v>
      </c>
    </row>
    <row r="50" spans="1:11" x14ac:dyDescent="0.2">
      <c r="A50" t="str">
        <f ca="1">OFFSET(Gisborne_Reference,7,2)</f>
        <v>Cyclist</v>
      </c>
      <c r="B50" s="4">
        <f ca="1">'Total Distance Tables Sup #2'!B50</f>
        <v>3.8031873472000002</v>
      </c>
      <c r="C50" s="4">
        <f ca="1">'Total Distance Tables Sup #2'!C50</f>
        <v>4.0360119487868724</v>
      </c>
      <c r="D50" s="4">
        <f ca="1">'Total Distance Tables Sup #2'!D50</f>
        <v>4.1328378012100986</v>
      </c>
      <c r="E50" s="4">
        <f ca="1">'Total Distance Tables Sup #2'!E50</f>
        <v>4.1380607702173586</v>
      </c>
      <c r="F50" s="4">
        <f ca="1">'Total Distance Tables Sup #2'!F50</f>
        <v>4.1821652572443933</v>
      </c>
      <c r="G50" s="4">
        <f ca="1">'Total Distance Tables Sup #2'!G50</f>
        <v>4.2686592243379415</v>
      </c>
      <c r="H50" s="4">
        <f ca="1">'Total Distance Tables Sup #2'!H50</f>
        <v>4.3454456024963388</v>
      </c>
      <c r="I50" s="1">
        <f ca="1">'Total Distance Tables Sup #2'!I50</f>
        <v>4.3197479238772702</v>
      </c>
      <c r="J50" s="1">
        <f ca="1">'Total Distance Tables Sup #2'!J50</f>
        <v>4.2807883328472531</v>
      </c>
      <c r="K50" s="1">
        <f ca="1">'Total Distance Tables Sup #2'!K50</f>
        <v>4.2333108264821719</v>
      </c>
    </row>
    <row r="51" spans="1:11" x14ac:dyDescent="0.2">
      <c r="A51" t="str">
        <f ca="1">OFFSET(Gisborne_Reference,14,2)</f>
        <v>Light Vehicle Driver</v>
      </c>
      <c r="B51" s="4">
        <f ca="1">'Total Distance Tables Sup #2'!B51</f>
        <v>241.40144318</v>
      </c>
      <c r="C51" s="4">
        <f ca="1">'Total Distance Tables Sup #2'!C51*(1-'Other Assumptions'!G10)</f>
        <v>256.38669616322198</v>
      </c>
      <c r="D51" s="4">
        <f ca="1">'Total Distance Tables Sup #2'!D51*(1-'Other Assumptions'!H10)</f>
        <v>264.74006817017136</v>
      </c>
      <c r="E51" s="4">
        <f ca="1">'Total Distance Tables Sup #2'!E51*(1-'Other Assumptions'!I10)</f>
        <v>254.98896210861528</v>
      </c>
      <c r="F51" s="4">
        <f ca="1">'Total Distance Tables Sup #2'!F51*(1-'Other Assumptions'!J10)</f>
        <v>243.70735181680345</v>
      </c>
      <c r="G51" s="4">
        <f ca="1">'Total Distance Tables Sup #2'!G51*(1-'Other Assumptions'!K10)</f>
        <v>229.55572786790603</v>
      </c>
      <c r="H51" s="4">
        <f ca="1">'Total Distance Tables Sup #2'!H51*(1-'Other Assumptions'!L10)</f>
        <v>214.71599979783102</v>
      </c>
      <c r="I51" s="1">
        <f ca="1">'Total Distance Tables Sup #2'!I51*(1-'Other Assumptions'!M10)</f>
        <v>199.55666384253789</v>
      </c>
      <c r="J51" s="1">
        <f ca="1">'Total Distance Tables Sup #2'!J51*(1-'Other Assumptions'!N10)</f>
        <v>184.05700520206918</v>
      </c>
      <c r="K51" s="1">
        <f ca="1">'Total Distance Tables Sup #2'!K51*(1-'Other Assumptions'!O10)</f>
        <v>168.5333764026401</v>
      </c>
    </row>
    <row r="52" spans="1:11" x14ac:dyDescent="0.2">
      <c r="A52" t="str">
        <f ca="1">OFFSET(Gisborne_Reference,21,2)</f>
        <v>Light Vehicle Passenger</v>
      </c>
      <c r="B52" s="4">
        <f ca="1">'Total Distance Tables Sup #2'!B52</f>
        <v>174.74236519999999</v>
      </c>
      <c r="C52" s="4">
        <f ca="1">'Total Distance Tables Sup #2'!C52*(1-'Other Assumptions'!G10)</f>
        <v>178.1120782795166</v>
      </c>
      <c r="D52" s="4">
        <f ca="1">'Total Distance Tables Sup #2'!D52*(1-'Other Assumptions'!H10)</f>
        <v>179.66106374071808</v>
      </c>
      <c r="E52" s="4">
        <f ca="1">'Total Distance Tables Sup #2'!E52*(1-'Other Assumptions'!I10)</f>
        <v>170.66713324779872</v>
      </c>
      <c r="F52" s="4">
        <f ca="1">'Total Distance Tables Sup #2'!F52*(1-'Other Assumptions'!J10)</f>
        <v>160.58317374656517</v>
      </c>
      <c r="G52" s="4">
        <f ca="1">'Total Distance Tables Sup #2'!G52*(1-'Other Assumptions'!K10)</f>
        <v>149.58822382661114</v>
      </c>
      <c r="H52" s="4">
        <f ca="1">'Total Distance Tables Sup #2'!H52*(1-'Other Assumptions'!L10)</f>
        <v>138.2345788126556</v>
      </c>
      <c r="I52" s="1">
        <f ca="1">'Total Distance Tables Sup #2'!I52*(1-'Other Assumptions'!M10)</f>
        <v>128.61657931706796</v>
      </c>
      <c r="J52" s="1">
        <f ca="1">'Total Distance Tables Sup #2'!J52*(1-'Other Assumptions'!N10)</f>
        <v>118.75805401632311</v>
      </c>
      <c r="K52" s="1">
        <f ca="1">'Total Distance Tables Sup #2'!K52*(1-'Other Assumptions'!O10)</f>
        <v>108.86241211309982</v>
      </c>
    </row>
    <row r="53" spans="1:11" x14ac:dyDescent="0.2">
      <c r="A53" t="str">
        <f ca="1">OFFSET(Gisborne_Reference,28,2)</f>
        <v>Taxi/Vehicle Share</v>
      </c>
      <c r="B53" s="4">
        <f ca="1">'Total Distance Tables Sup #2'!B53</f>
        <v>0.1174510768</v>
      </c>
      <c r="C53" s="4">
        <f ca="1">'Total Distance Tables Sup #2'!C53+((C51+C52)*'Other Assumptions'!G10/(1-'Other Assumptions'!G10))</f>
        <v>0.12999219689436925</v>
      </c>
      <c r="D53" s="4">
        <f ca="1">'Total Distance Tables Sup #2'!D53+((D51+D52)*'Other Assumptions'!H10/(1-'Other Assumptions'!H10))</f>
        <v>0.14109967137812021</v>
      </c>
      <c r="E53" s="4">
        <f ca="1">'Total Distance Tables Sup #2'!E53+((E51+E52)*'Other Assumptions'!I10/(1-'Other Assumptions'!I10))</f>
        <v>22.554083792987402</v>
      </c>
      <c r="F53" s="4">
        <f ca="1">'Total Distance Tables Sup #2'!F53+((F51+F52)*'Other Assumptions'!J10/(1-'Other Assumptions'!J10))</f>
        <v>45.080469459925567</v>
      </c>
      <c r="G53" s="4">
        <f ca="1">'Total Distance Tables Sup #2'!G53+((G51+G52)*'Other Assumptions'!K10/(1-'Other Assumptions'!K10))</f>
        <v>67.072421923345203</v>
      </c>
      <c r="H53" s="4">
        <f ca="1">'Total Distance Tables Sup #2'!H53+((H51+H52)*'Other Assumptions'!L10/(1-'Other Assumptions'!L10))</f>
        <v>88.407081703853095</v>
      </c>
      <c r="I53" s="1">
        <f ca="1">'Total Distance Tables Sup #2'!I53+((I51+I52)*'Other Assumptions'!M10/(1-'Other Assumptions'!M10))</f>
        <v>109.55858260018466</v>
      </c>
      <c r="J53" s="1">
        <f ca="1">'Total Distance Tables Sup #2'!J53+((J51+J52)*'Other Assumptions'!N10/(1-'Other Assumptions'!N10))</f>
        <v>129.94294258384545</v>
      </c>
      <c r="K53" s="1">
        <f ca="1">'Total Distance Tables Sup #2'!K53+((K51+K52)*'Other Assumptions'!O10/(1-'Other Assumptions'!O10))</f>
        <v>149.52926688544488</v>
      </c>
    </row>
    <row r="54" spans="1:11" x14ac:dyDescent="0.2">
      <c r="A54" t="str">
        <f ca="1">OFFSET(Gisborne_Reference,35,2)</f>
        <v>Motorcyclist</v>
      </c>
      <c r="B54" s="4">
        <f ca="1">'Total Distance Tables Sup #2'!B54</f>
        <v>0.95186353219999997</v>
      </c>
      <c r="C54" s="4">
        <f ca="1">'Total Distance Tables Sup #2'!C54</f>
        <v>1.0107518694816831</v>
      </c>
      <c r="D54" s="4">
        <f ca="1">'Total Distance Tables Sup #2'!D54</f>
        <v>1.0421748962122819</v>
      </c>
      <c r="E54" s="4">
        <f ca="1">'Total Distance Tables Sup #2'!E54</f>
        <v>1.0380476016591977</v>
      </c>
      <c r="F54" s="4">
        <f ca="1">'Total Distance Tables Sup #2'!F54</f>
        <v>1.023824185034113</v>
      </c>
      <c r="G54" s="4">
        <f ca="1">'Total Distance Tables Sup #2'!G54</f>
        <v>0.99057418172506617</v>
      </c>
      <c r="H54" s="4">
        <f ca="1">'Total Distance Tables Sup #2'!H54</f>
        <v>0.953924795672348</v>
      </c>
      <c r="I54" s="1">
        <f ca="1">'Total Distance Tables Sup #2'!I54</f>
        <v>0.95152492160407331</v>
      </c>
      <c r="J54" s="1">
        <f ca="1">'Total Distance Tables Sup #2'!J54</f>
        <v>0.94614623645549989</v>
      </c>
      <c r="K54" s="1">
        <f ca="1">'Total Distance Tables Sup #2'!K54</f>
        <v>0.93880934049183107</v>
      </c>
    </row>
    <row r="55" spans="1:11" x14ac:dyDescent="0.2">
      <c r="A55" t="str">
        <f ca="1">OFFSET(Gisborne_Reference,42,2)</f>
        <v>Local Train</v>
      </c>
      <c r="B55" s="4">
        <f ca="1">'Total Distance Tables Sup #2'!B55</f>
        <v>0</v>
      </c>
      <c r="C55" s="4">
        <f ca="1">'Total Distance Tables Sup #2'!C55</f>
        <v>0</v>
      </c>
      <c r="D55" s="4">
        <f ca="1">'Total Distance Tables Sup #2'!D55</f>
        <v>0</v>
      </c>
      <c r="E55" s="4">
        <f ca="1">'Total Distance Tables Sup #2'!E55</f>
        <v>0</v>
      </c>
      <c r="F55" s="4">
        <f ca="1">'Total Distance Tables Sup #2'!F55</f>
        <v>0</v>
      </c>
      <c r="G55" s="4">
        <f ca="1">'Total Distance Tables Sup #2'!G55</f>
        <v>0</v>
      </c>
      <c r="H55" s="4">
        <f ca="1">'Total Distance Tables Sup #2'!H55</f>
        <v>0</v>
      </c>
      <c r="I55" s="1">
        <f ca="1">'Total Distance Tables Sup #2'!I55</f>
        <v>0</v>
      </c>
      <c r="J55" s="1">
        <f ca="1">'Total Distance Tables Sup #2'!J55</f>
        <v>0</v>
      </c>
      <c r="K55" s="1">
        <f ca="1">'Total Distance Tables Sup #2'!K55</f>
        <v>0</v>
      </c>
    </row>
    <row r="56" spans="1:11" x14ac:dyDescent="0.2">
      <c r="A56" t="str">
        <f ca="1">OFFSET(Gisborne_Reference,49,2)</f>
        <v>Local Bus</v>
      </c>
      <c r="B56" s="4">
        <f ca="1">'Total Distance Tables Sup #2'!B56</f>
        <v>4.8778387282000004</v>
      </c>
      <c r="C56" s="4">
        <f ca="1">'Total Distance Tables Sup #2'!C56</f>
        <v>4.6067517078632774</v>
      </c>
      <c r="D56" s="4">
        <f ca="1">'Total Distance Tables Sup #2'!D56</f>
        <v>4.4325997123120198</v>
      </c>
      <c r="E56" s="4">
        <f ca="1">'Total Distance Tables Sup #2'!E56</f>
        <v>4.2955288609824418</v>
      </c>
      <c r="F56" s="4">
        <f ca="1">'Total Distance Tables Sup #2'!F56</f>
        <v>4.0987940470971456</v>
      </c>
      <c r="G56" s="4">
        <f ca="1">'Total Distance Tables Sup #2'!G56</f>
        <v>3.948373532762397</v>
      </c>
      <c r="H56" s="4">
        <f ca="1">'Total Distance Tables Sup #2'!H56</f>
        <v>3.7873157074021599</v>
      </c>
      <c r="I56" s="1">
        <f ca="1">'Total Distance Tables Sup #2'!I56</f>
        <v>3.7591202273158206</v>
      </c>
      <c r="J56" s="1">
        <f ca="1">'Total Distance Tables Sup #2'!J56</f>
        <v>3.7192526197681022</v>
      </c>
      <c r="K56" s="1">
        <f ca="1">'Total Distance Tables Sup #2'!K56</f>
        <v>3.6718933244308287</v>
      </c>
    </row>
    <row r="57" spans="1:11" x14ac:dyDescent="0.2">
      <c r="A57" t="str">
        <f ca="1">OFFSET(Gisborne_Reference,56,2)</f>
        <v>Local Ferry</v>
      </c>
      <c r="B57" s="4">
        <f ca="1">'Total Distance Tables Sup #2'!B57</f>
        <v>0</v>
      </c>
      <c r="C57" s="4">
        <f ca="1">'Total Distance Tables Sup #2'!C57</f>
        <v>0</v>
      </c>
      <c r="D57" s="4">
        <f ca="1">'Total Distance Tables Sup #2'!D57</f>
        <v>0</v>
      </c>
      <c r="E57" s="4">
        <f ca="1">'Total Distance Tables Sup #2'!E57</f>
        <v>0</v>
      </c>
      <c r="F57" s="4">
        <f ca="1">'Total Distance Tables Sup #2'!F57</f>
        <v>0</v>
      </c>
      <c r="G57" s="4">
        <f ca="1">'Total Distance Tables Sup #2'!G57</f>
        <v>0</v>
      </c>
      <c r="H57" s="4">
        <f ca="1">'Total Distance Tables Sup #2'!H57</f>
        <v>0</v>
      </c>
      <c r="I57" s="1">
        <f ca="1">'Total Distance Tables Sup #2'!I57</f>
        <v>0</v>
      </c>
      <c r="J57" s="1">
        <f ca="1">'Total Distance Tables Sup #2'!J57</f>
        <v>0</v>
      </c>
      <c r="K57" s="1">
        <f ca="1">'Total Distance Tables Sup #2'!K57</f>
        <v>0</v>
      </c>
    </row>
    <row r="58" spans="1:11" x14ac:dyDescent="0.2">
      <c r="A58" t="str">
        <f ca="1">OFFSET(Gisborne_Reference,63,2)</f>
        <v>Other Household Travel</v>
      </c>
      <c r="B58" s="4">
        <f ca="1">'Total Distance Tables Sup #2'!B58</f>
        <v>0</v>
      </c>
      <c r="C58" s="4">
        <f ca="1">'Total Distance Tables Sup #2'!C58</f>
        <v>0</v>
      </c>
      <c r="D58" s="4">
        <f ca="1">'Total Distance Tables Sup #2'!D58</f>
        <v>0</v>
      </c>
      <c r="E58" s="4">
        <f ca="1">'Total Distance Tables Sup #2'!E58</f>
        <v>0</v>
      </c>
      <c r="F58" s="4">
        <f ca="1">'Total Distance Tables Sup #2'!F58</f>
        <v>0</v>
      </c>
      <c r="G58" s="4">
        <f ca="1">'Total Distance Tables Sup #2'!G58</f>
        <v>0</v>
      </c>
      <c r="H58" s="4">
        <f ca="1">'Total Distance Tables Sup #2'!H58</f>
        <v>0</v>
      </c>
      <c r="I58" s="1">
        <f ca="1">'Total Distance Tables Sup #2'!I58</f>
        <v>0</v>
      </c>
      <c r="J58" s="1">
        <f ca="1">'Total Distance Tables Sup #2'!J58</f>
        <v>0</v>
      </c>
      <c r="K58" s="1">
        <f ca="1">'Total Distance Tables Sup #2'!K58</f>
        <v>0</v>
      </c>
    </row>
    <row r="59" spans="1:11" x14ac:dyDescent="0.2">
      <c r="A59" t="str">
        <f ca="1">OFFSET(Hawkes_Bay_Reference,0,0)</f>
        <v>06 HAWKE`S BAY</v>
      </c>
      <c r="I59" s="1"/>
      <c r="J59" s="1"/>
      <c r="K59" s="1"/>
    </row>
    <row r="60" spans="1:11" x14ac:dyDescent="0.2">
      <c r="A60" t="str">
        <f ca="1">OFFSET(Hawkes_Bay_Reference,0,2)</f>
        <v>Pedestrian</v>
      </c>
      <c r="B60" s="4">
        <f ca="1">'Total Distance Tables Sup #2'!B60</f>
        <v>22.691613215</v>
      </c>
      <c r="C60" s="4">
        <f ca="1">'Total Distance Tables Sup #2'!C60</f>
        <v>23.396751892976802</v>
      </c>
      <c r="D60" s="4">
        <f ca="1">'Total Distance Tables Sup #2'!D60</f>
        <v>23.630890041897796</v>
      </c>
      <c r="E60" s="4">
        <f ca="1">'Total Distance Tables Sup #2'!E60</f>
        <v>23.728295277885362</v>
      </c>
      <c r="F60" s="4">
        <f ca="1">'Total Distance Tables Sup #2'!F60</f>
        <v>23.558320604470577</v>
      </c>
      <c r="G60" s="4">
        <f ca="1">'Total Distance Tables Sup #2'!G60</f>
        <v>23.332588513141271</v>
      </c>
      <c r="H60" s="4">
        <f ca="1">'Total Distance Tables Sup #2'!H60</f>
        <v>23.002748209148912</v>
      </c>
      <c r="I60" s="1">
        <f ca="1">'Total Distance Tables Sup #2'!I60</f>
        <v>22.816467366390501</v>
      </c>
      <c r="J60" s="1">
        <f ca="1">'Total Distance Tables Sup #2'!J60</f>
        <v>22.559972908378807</v>
      </c>
      <c r="K60" s="1">
        <f ca="1">'Total Distance Tables Sup #2'!K60</f>
        <v>22.25873791454292</v>
      </c>
    </row>
    <row r="61" spans="1:11" x14ac:dyDescent="0.2">
      <c r="A61" t="str">
        <f ca="1">OFFSET(Hawkes_Bay_Reference,7,2)</f>
        <v>Cyclist</v>
      </c>
      <c r="B61" s="4">
        <f ca="1">'Total Distance Tables Sup #2'!B61</f>
        <v>9.5482363540000001</v>
      </c>
      <c r="C61" s="4">
        <f ca="1">'Total Distance Tables Sup #2'!C61</f>
        <v>10.198481162884152</v>
      </c>
      <c r="D61" s="4">
        <f ca="1">'Total Distance Tables Sup #2'!D61</f>
        <v>10.459070205781506</v>
      </c>
      <c r="E61" s="4">
        <f ca="1">'Total Distance Tables Sup #2'!E61</f>
        <v>10.501140063736734</v>
      </c>
      <c r="F61" s="4">
        <f ca="1">'Total Distance Tables Sup #2'!F61</f>
        <v>10.630487409474069</v>
      </c>
      <c r="G61" s="4">
        <f ca="1">'Total Distance Tables Sup #2'!G61</f>
        <v>10.884658261425026</v>
      </c>
      <c r="H61" s="4">
        <f ca="1">'Total Distance Tables Sup #2'!H61</f>
        <v>11.108050633247304</v>
      </c>
      <c r="I61" s="1">
        <f ca="1">'Total Distance Tables Sup #2'!I61</f>
        <v>11.069860751549541</v>
      </c>
      <c r="J61" s="1">
        <f ca="1">'Total Distance Tables Sup #2'!J61</f>
        <v>10.99734191845684</v>
      </c>
      <c r="K61" s="1">
        <f ca="1">'Total Distance Tables Sup #2'!K61</f>
        <v>10.902456214233379</v>
      </c>
    </row>
    <row r="62" spans="1:11" x14ac:dyDescent="0.2">
      <c r="A62" t="str">
        <f ca="1">OFFSET(Hawkes_Bay_Reference,14,2)</f>
        <v>Light Vehicle Driver</v>
      </c>
      <c r="B62" s="4">
        <f ca="1">'Total Distance Tables Sup #2'!B62</f>
        <v>1001.7566771</v>
      </c>
      <c r="C62" s="4">
        <f ca="1">'Total Distance Tables Sup #2'!C62*(1-'Other Assumptions'!G11)</f>
        <v>1070.8422136513325</v>
      </c>
      <c r="D62" s="4">
        <f ca="1">'Total Distance Tables Sup #2'!D62*(1-'Other Assumptions'!H11)</f>
        <v>1107.4173817181668</v>
      </c>
      <c r="E62" s="4">
        <f ca="1">'Total Distance Tables Sup #2'!E62*(1-'Other Assumptions'!I11)</f>
        <v>1069.5667920302867</v>
      </c>
      <c r="F62" s="4">
        <f ca="1">'Total Distance Tables Sup #2'!F62*(1-'Other Assumptions'!J11)</f>
        <v>1023.9236178325236</v>
      </c>
      <c r="G62" s="4">
        <f ca="1">'Total Distance Tables Sup #2'!G62*(1-'Other Assumptions'!K11)</f>
        <v>967.51651936247458</v>
      </c>
      <c r="H62" s="4">
        <f ca="1">'Total Distance Tables Sup #2'!H62*(1-'Other Assumptions'!L11)</f>
        <v>907.22473602574303</v>
      </c>
      <c r="I62" s="1">
        <f ca="1">'Total Distance Tables Sup #2'!I62*(1-'Other Assumptions'!M11)</f>
        <v>845.27287109918939</v>
      </c>
      <c r="J62" s="1">
        <f ca="1">'Total Distance Tables Sup #2'!J62*(1-'Other Assumptions'!N11)</f>
        <v>781.56169724685697</v>
      </c>
      <c r="K62" s="1">
        <f ca="1">'Total Distance Tables Sup #2'!K62*(1-'Other Assumptions'!O11)</f>
        <v>717.4259109478246</v>
      </c>
    </row>
    <row r="63" spans="1:11" x14ac:dyDescent="0.2">
      <c r="A63" t="str">
        <f ca="1">OFFSET(Hawkes_Bay_Reference,21,2)</f>
        <v>Light Vehicle Passenger</v>
      </c>
      <c r="B63" s="4">
        <f ca="1">'Total Distance Tables Sup #2'!B63</f>
        <v>607.82570181000006</v>
      </c>
      <c r="C63" s="4">
        <f ca="1">'Total Distance Tables Sup #2'!C63*(1-'Other Assumptions'!G11)</f>
        <v>623.56514980766099</v>
      </c>
      <c r="D63" s="4">
        <f ca="1">'Total Distance Tables Sup #2'!D63*(1-'Other Assumptions'!H11)</f>
        <v>629.94711730603649</v>
      </c>
      <c r="E63" s="4">
        <f ca="1">'Total Distance Tables Sup #2'!E63*(1-'Other Assumptions'!I11)</f>
        <v>600.06029274144498</v>
      </c>
      <c r="F63" s="4">
        <f ca="1">'Total Distance Tables Sup #2'!F63*(1-'Other Assumptions'!J11)</f>
        <v>565.53232516189712</v>
      </c>
      <c r="G63" s="4">
        <f ca="1">'Total Distance Tables Sup #2'!G63*(1-'Other Assumptions'!K11)</f>
        <v>528.47704427654003</v>
      </c>
      <c r="H63" s="4">
        <f ca="1">'Total Distance Tables Sup #2'!H63*(1-'Other Assumptions'!L11)</f>
        <v>489.5822182954663</v>
      </c>
      <c r="I63" s="1">
        <f ca="1">'Total Distance Tables Sup #2'!I63*(1-'Other Assumptions'!M11)</f>
        <v>456.65279208423863</v>
      </c>
      <c r="J63" s="1">
        <f ca="1">'Total Distance Tables Sup #2'!J63*(1-'Other Assumptions'!N11)</f>
        <v>422.70020195563478</v>
      </c>
      <c r="K63" s="1">
        <f ca="1">'Total Distance Tables Sup #2'!K63*(1-'Other Assumptions'!O11)</f>
        <v>388.4432293252483</v>
      </c>
    </row>
    <row r="64" spans="1:11" x14ac:dyDescent="0.2">
      <c r="A64" t="str">
        <f ca="1">OFFSET(Hawkes_Bay_Reference,28,2)</f>
        <v>Taxi/Vehicle Share</v>
      </c>
      <c r="B64" s="4">
        <f ca="1">'Total Distance Tables Sup #2'!B64</f>
        <v>1.7589425135000001</v>
      </c>
      <c r="C64" s="4">
        <f ca="1">'Total Distance Tables Sup #2'!C64+((C62+C63)*'Other Assumptions'!G11/(1-'Other Assumptions'!G11))</f>
        <v>1.9593839218579061</v>
      </c>
      <c r="D64" s="4">
        <f ca="1">'Total Distance Tables Sup #2'!D64+((D62+D63)*'Other Assumptions'!H11/(1-'Other Assumptions'!H11))</f>
        <v>2.1300506037102349</v>
      </c>
      <c r="E64" s="4">
        <f ca="1">'Total Distance Tables Sup #2'!E64+((E62+E63)*'Other Assumptions'!I11/(1-'Other Assumptions'!I11))</f>
        <v>90.162885783097636</v>
      </c>
      <c r="F64" s="4">
        <f ca="1">'Total Distance Tables Sup #2'!F64+((F62+F63)*'Other Assumptions'!J11/(1-'Other Assumptions'!J11))</f>
        <v>179.02160351233553</v>
      </c>
      <c r="G64" s="4">
        <f ca="1">'Total Distance Tables Sup #2'!G64+((G62+G63)*'Other Assumptions'!K11/(1-'Other Assumptions'!K11))</f>
        <v>266.50350681158028</v>
      </c>
      <c r="H64" s="4">
        <f ca="1">'Total Distance Tables Sup #2'!H64+((H62+H63)*'Other Assumptions'!L11/(1-'Other Assumptions'!L11))</f>
        <v>351.78537334398339</v>
      </c>
      <c r="I64" s="1">
        <f ca="1">'Total Distance Tables Sup #2'!I64+((I62+I63)*'Other Assumptions'!M11/(1-'Other Assumptions'!M11))</f>
        <v>436.53570335811065</v>
      </c>
      <c r="J64" s="1">
        <f ca="1">'Total Distance Tables Sup #2'!J64+((J62+J63)*'Other Assumptions'!N11/(1-'Other Assumptions'!N11))</f>
        <v>518.64168715347978</v>
      </c>
      <c r="K64" s="1">
        <f ca="1">'Total Distance Tables Sup #2'!K64+((K62+K63)*'Other Assumptions'!O11/(1-'Other Assumptions'!O11))</f>
        <v>597.96139993838415</v>
      </c>
    </row>
    <row r="65" spans="1:11" x14ac:dyDescent="0.2">
      <c r="A65" t="str">
        <f ca="1">OFFSET(Hawkes_Bay_Reference,35,2)</f>
        <v>Motorcyclist</v>
      </c>
      <c r="B65" s="4">
        <f ca="1">'Total Distance Tables Sup #2'!B65</f>
        <v>3.0321841239</v>
      </c>
      <c r="C65" s="4">
        <f ca="1">'Total Distance Tables Sup #2'!C65</f>
        <v>3.2406568598664962</v>
      </c>
      <c r="D65" s="4">
        <f ca="1">'Total Distance Tables Sup #2'!D65</f>
        <v>3.3464995003583162</v>
      </c>
      <c r="E65" s="4">
        <f ca="1">'Total Distance Tables Sup #2'!E65</f>
        <v>3.3424298097727942</v>
      </c>
      <c r="F65" s="4">
        <f ca="1">'Total Distance Tables Sup #2'!F65</f>
        <v>3.3020436632042034</v>
      </c>
      <c r="G65" s="4">
        <f ca="1">'Total Distance Tables Sup #2'!G65</f>
        <v>3.2049093996194458</v>
      </c>
      <c r="H65" s="4">
        <f ca="1">'Total Distance Tables Sup #2'!H65</f>
        <v>3.0940199556458654</v>
      </c>
      <c r="I65" s="1">
        <f ca="1">'Total Distance Tables Sup #2'!I65</f>
        <v>3.0939219993710809</v>
      </c>
      <c r="J65" s="1">
        <f ca="1">'Total Distance Tables Sup #2'!J65</f>
        <v>3.0840945191609705</v>
      </c>
      <c r="K65" s="1">
        <f ca="1">'Total Distance Tables Sup #2'!K65</f>
        <v>3.0677999462922809</v>
      </c>
    </row>
    <row r="66" spans="1:11" x14ac:dyDescent="0.2">
      <c r="A66" t="str">
        <f ca="1">OFFSET(Auckland_Reference,42,2)</f>
        <v>Local Train</v>
      </c>
      <c r="B66" s="4">
        <f ca="1">'Total Distance Tables Sup #2'!B66</f>
        <v>0</v>
      </c>
      <c r="C66" s="4">
        <f ca="1">'Total Distance Tables Sup #2'!C66</f>
        <v>0</v>
      </c>
      <c r="D66" s="4">
        <f ca="1">'Total Distance Tables Sup #2'!D66</f>
        <v>0</v>
      </c>
      <c r="E66" s="4">
        <f ca="1">'Total Distance Tables Sup #2'!E66</f>
        <v>0</v>
      </c>
      <c r="F66" s="4">
        <f ca="1">'Total Distance Tables Sup #2'!F66</f>
        <v>0</v>
      </c>
      <c r="G66" s="4">
        <f ca="1">'Total Distance Tables Sup #2'!G66</f>
        <v>0</v>
      </c>
      <c r="H66" s="4">
        <f ca="1">'Total Distance Tables Sup #2'!H66</f>
        <v>0</v>
      </c>
      <c r="I66" s="1">
        <f ca="1">'Total Distance Tables Sup #2'!I66</f>
        <v>0</v>
      </c>
      <c r="J66" s="1">
        <f ca="1">'Total Distance Tables Sup #2'!J66</f>
        <v>0</v>
      </c>
      <c r="K66" s="1">
        <f ca="1">'Total Distance Tables Sup #2'!K66</f>
        <v>0</v>
      </c>
    </row>
    <row r="67" spans="1:11" x14ac:dyDescent="0.2">
      <c r="A67" t="str">
        <f ca="1">OFFSET(Hawkes_Bay_Reference,42,2)</f>
        <v>Local Bus</v>
      </c>
      <c r="B67" s="4">
        <f ca="1">'Total Distance Tables Sup #2'!B67</f>
        <v>39.591997026999998</v>
      </c>
      <c r="C67" s="4">
        <f ca="1">'Total Distance Tables Sup #2'!C67</f>
        <v>37.634174096705294</v>
      </c>
      <c r="D67" s="4">
        <f ca="1">'Total Distance Tables Sup #2'!D67</f>
        <v>36.266676661492831</v>
      </c>
      <c r="E67" s="4">
        <f ca="1">'Total Distance Tables Sup #2'!E67</f>
        <v>35.242017096199206</v>
      </c>
      <c r="F67" s="4">
        <f ca="1">'Total Distance Tables Sup #2'!F67</f>
        <v>33.683143361699791</v>
      </c>
      <c r="G67" s="4">
        <f ca="1">'Total Distance Tables Sup #2'!G67</f>
        <v>32.549631344464785</v>
      </c>
      <c r="H67" s="4">
        <f ca="1">'Total Distance Tables Sup #2'!H67</f>
        <v>31.299656504261826</v>
      </c>
      <c r="I67" s="1">
        <f ca="1">'Total Distance Tables Sup #2'!I67</f>
        <v>31.144007735886053</v>
      </c>
      <c r="J67" s="1">
        <f ca="1">'Total Distance Tables Sup #2'!J67</f>
        <v>30.890446129216475</v>
      </c>
      <c r="K67" s="1">
        <f ca="1">'Total Distance Tables Sup #2'!K67</f>
        <v>30.573050866629668</v>
      </c>
    </row>
    <row r="68" spans="1:11" x14ac:dyDescent="0.2">
      <c r="A68" t="str">
        <f ca="1">OFFSET(Waikato_Reference,56,2)</f>
        <v>Local Ferry</v>
      </c>
      <c r="B68" s="4">
        <f>'Total Distance Tables Sup #2'!B68</f>
        <v>0</v>
      </c>
      <c r="C68" s="4">
        <f ca="1">'Total Distance Tables Sup #2'!C68</f>
        <v>0</v>
      </c>
      <c r="D68" s="4">
        <f ca="1">'Total Distance Tables Sup #2'!D68</f>
        <v>0</v>
      </c>
      <c r="E68" s="4">
        <f ca="1">'Total Distance Tables Sup #2'!E68</f>
        <v>0</v>
      </c>
      <c r="F68" s="4">
        <f ca="1">'Total Distance Tables Sup #2'!F68</f>
        <v>0</v>
      </c>
      <c r="G68" s="4">
        <f ca="1">'Total Distance Tables Sup #2'!G68</f>
        <v>0</v>
      </c>
      <c r="H68" s="4">
        <f ca="1">'Total Distance Tables Sup #2'!H68</f>
        <v>0</v>
      </c>
      <c r="I68" s="1">
        <f ca="1">'Total Distance Tables Sup #2'!I68</f>
        <v>0</v>
      </c>
      <c r="J68" s="1">
        <f ca="1">'Total Distance Tables Sup #2'!J68</f>
        <v>0</v>
      </c>
      <c r="K68" s="1">
        <f ca="1">'Total Distance Tables Sup #2'!K68</f>
        <v>0</v>
      </c>
    </row>
    <row r="69" spans="1:11" x14ac:dyDescent="0.2">
      <c r="A69" t="str">
        <f ca="1">OFFSET(Hawkes_Bay_Reference,49,2)</f>
        <v>Other Household Travel</v>
      </c>
      <c r="B69" s="4">
        <f ca="1">'Total Distance Tables Sup #2'!B69</f>
        <v>0</v>
      </c>
      <c r="C69" s="4">
        <f ca="1">'Total Distance Tables Sup #2'!C69</f>
        <v>0</v>
      </c>
      <c r="D69" s="4">
        <f ca="1">'Total Distance Tables Sup #2'!D69</f>
        <v>0</v>
      </c>
      <c r="E69" s="4">
        <f ca="1">'Total Distance Tables Sup #2'!E69</f>
        <v>0</v>
      </c>
      <c r="F69" s="4">
        <f ca="1">'Total Distance Tables Sup #2'!F69</f>
        <v>0</v>
      </c>
      <c r="G69" s="4">
        <f ca="1">'Total Distance Tables Sup #2'!G69</f>
        <v>0</v>
      </c>
      <c r="H69" s="4">
        <f ca="1">'Total Distance Tables Sup #2'!H69</f>
        <v>0</v>
      </c>
      <c r="I69" s="1">
        <f ca="1">'Total Distance Tables Sup #2'!I69</f>
        <v>0</v>
      </c>
      <c r="J69" s="1">
        <f ca="1">'Total Distance Tables Sup #2'!J69</f>
        <v>0</v>
      </c>
      <c r="K69" s="1">
        <f ca="1">'Total Distance Tables Sup #2'!K69</f>
        <v>0</v>
      </c>
    </row>
    <row r="70" spans="1:11" x14ac:dyDescent="0.2">
      <c r="A70" t="str">
        <f ca="1">OFFSET(Taranaki_Reference,0,0)</f>
        <v>07 TARANAKI</v>
      </c>
      <c r="I70" s="1"/>
      <c r="J70" s="1"/>
      <c r="K70" s="1"/>
    </row>
    <row r="71" spans="1:11" x14ac:dyDescent="0.2">
      <c r="A71" t="str">
        <f ca="1">OFFSET(Taranaki_Reference,0,2)</f>
        <v>Pedestrian</v>
      </c>
      <c r="B71" s="4">
        <f ca="1">'Total Distance Tables Sup #2'!B71</f>
        <v>16.820589198</v>
      </c>
      <c r="C71" s="4">
        <f ca="1">'Total Distance Tables Sup #2'!C71</f>
        <v>17.50706474108426</v>
      </c>
      <c r="D71" s="4">
        <f ca="1">'Total Distance Tables Sup #2'!D71</f>
        <v>17.828520389937093</v>
      </c>
      <c r="E71" s="4">
        <f ca="1">'Total Distance Tables Sup #2'!E71</f>
        <v>18.070554230613279</v>
      </c>
      <c r="F71" s="4">
        <f ca="1">'Total Distance Tables Sup #2'!F71</f>
        <v>18.131177473343961</v>
      </c>
      <c r="G71" s="4">
        <f ca="1">'Total Distance Tables Sup #2'!G71</f>
        <v>18.175085413909567</v>
      </c>
      <c r="H71" s="4">
        <f ca="1">'Total Distance Tables Sup #2'!H71</f>
        <v>18.161603536947943</v>
      </c>
      <c r="I71" s="1">
        <f ca="1">'Total Distance Tables Sup #2'!I71</f>
        <v>18.259286218157214</v>
      </c>
      <c r="J71" s="1">
        <f ca="1">'Total Distance Tables Sup #2'!J71</f>
        <v>18.29931751275678</v>
      </c>
      <c r="K71" s="1">
        <f ca="1">'Total Distance Tables Sup #2'!K71</f>
        <v>18.300281980158815</v>
      </c>
    </row>
    <row r="72" spans="1:11" x14ac:dyDescent="0.2">
      <c r="A72" t="str">
        <f ca="1">OFFSET(Taranaki_Reference,7,2)</f>
        <v>Cyclist</v>
      </c>
      <c r="B72" s="4">
        <f ca="1">'Total Distance Tables Sup #2'!B72</f>
        <v>5.5737915155</v>
      </c>
      <c r="C72" s="4">
        <f ca="1">'Total Distance Tables Sup #2'!C72</f>
        <v>6.0095920726245824</v>
      </c>
      <c r="D72" s="4">
        <f ca="1">'Total Distance Tables Sup #2'!D72</f>
        <v>6.2141256159598601</v>
      </c>
      <c r="E72" s="4">
        <f ca="1">'Total Distance Tables Sup #2'!E72</f>
        <v>6.2978616066684756</v>
      </c>
      <c r="F72" s="4">
        <f ca="1">'Total Distance Tables Sup #2'!F72</f>
        <v>6.442977070957955</v>
      </c>
      <c r="G72" s="4">
        <f ca="1">'Total Distance Tables Sup #2'!G72</f>
        <v>6.6769798256773223</v>
      </c>
      <c r="H72" s="4">
        <f ca="1">'Total Distance Tables Sup #2'!H72</f>
        <v>6.9065958478110989</v>
      </c>
      <c r="I72" s="1">
        <f ca="1">'Total Distance Tables Sup #2'!I72</f>
        <v>6.9763663270345395</v>
      </c>
      <c r="J72" s="1">
        <f ca="1">'Total Distance Tables Sup #2'!J72</f>
        <v>7.0248292753214292</v>
      </c>
      <c r="K72" s="1">
        <f ca="1">'Total Distance Tables Sup #2'!K72</f>
        <v>7.0588397734063548</v>
      </c>
    </row>
    <row r="73" spans="1:11" x14ac:dyDescent="0.2">
      <c r="A73" t="str">
        <f ca="1">OFFSET(Taranaki_Reference,14,2)</f>
        <v>Light Vehicle Driver</v>
      </c>
      <c r="B73" s="4">
        <f ca="1">'Total Distance Tables Sup #2'!B73</f>
        <v>933.36875414999997</v>
      </c>
      <c r="C73" s="4">
        <f ca="1">'Total Distance Tables Sup #2'!C73*(1-'Other Assumptions'!G12)</f>
        <v>1007.1599126267363</v>
      </c>
      <c r="D73" s="4">
        <f ca="1">'Total Distance Tables Sup #2'!D73*(1-'Other Assumptions'!H12)</f>
        <v>1050.1751530058386</v>
      </c>
      <c r="E73" s="4">
        <f ca="1">'Total Distance Tables Sup #2'!E73*(1-'Other Assumptions'!I12)</f>
        <v>1023.8304109406012</v>
      </c>
      <c r="F73" s="4">
        <f ca="1">'Total Distance Tables Sup #2'!F73*(1-'Other Assumptions'!J12)</f>
        <v>990.52267519615827</v>
      </c>
      <c r="G73" s="4">
        <f ca="1">'Total Distance Tables Sup #2'!G73*(1-'Other Assumptions'!K12)</f>
        <v>947.29906273191011</v>
      </c>
      <c r="H73" s="4">
        <f ca="1">'Total Distance Tables Sup #2'!H73*(1-'Other Assumptions'!L12)</f>
        <v>900.33581911087242</v>
      </c>
      <c r="I73" s="1">
        <f ca="1">'Total Distance Tables Sup #2'!I73*(1-'Other Assumptions'!M12)</f>
        <v>850.25168820753299</v>
      </c>
      <c r="J73" s="1">
        <f ca="1">'Total Distance Tables Sup #2'!J73*(1-'Other Assumptions'!N12)</f>
        <v>796.8466780724342</v>
      </c>
      <c r="K73" s="1">
        <f ca="1">'Total Distance Tables Sup #2'!K73*(1-'Other Assumptions'!O12)</f>
        <v>741.39471145671973</v>
      </c>
    </row>
    <row r="74" spans="1:11" x14ac:dyDescent="0.2">
      <c r="A74" t="str">
        <f ca="1">OFFSET(Taranaki_Reference,21,2)</f>
        <v>Light Vehicle Passenger</v>
      </c>
      <c r="B74" s="4">
        <f ca="1">'Total Distance Tables Sup #2'!B74</f>
        <v>656.25872372000003</v>
      </c>
      <c r="C74" s="4">
        <f ca="1">'Total Distance Tables Sup #2'!C74*(1-'Other Assumptions'!G12)</f>
        <v>679.61006238883851</v>
      </c>
      <c r="D74" s="4">
        <f ca="1">'Total Distance Tables Sup #2'!D74*(1-'Other Assumptions'!H12)</f>
        <v>692.24449842666991</v>
      </c>
      <c r="E74" s="4">
        <f ca="1">'Total Distance Tables Sup #2'!E74*(1-'Other Assumptions'!I12)</f>
        <v>665.61028099652003</v>
      </c>
      <c r="F74" s="4">
        <f ca="1">'Total Distance Tables Sup #2'!F74*(1-'Other Assumptions'!J12)</f>
        <v>633.95628558633257</v>
      </c>
      <c r="G74" s="4">
        <f ca="1">'Total Distance Tables Sup #2'!G74*(1-'Other Assumptions'!K12)</f>
        <v>599.59756870495517</v>
      </c>
      <c r="H74" s="4">
        <f ca="1">'Total Distance Tables Sup #2'!H74*(1-'Other Assumptions'!L12)</f>
        <v>563.01543139911462</v>
      </c>
      <c r="I74" s="1">
        <f ca="1">'Total Distance Tables Sup #2'!I74*(1-'Other Assumptions'!M12)</f>
        <v>532.28191020385486</v>
      </c>
      <c r="J74" s="1">
        <f ca="1">'Total Distance Tables Sup #2'!J74*(1-'Other Assumptions'!N12)</f>
        <v>499.40049849575547</v>
      </c>
      <c r="K74" s="1">
        <f ca="1">'Total Distance Tables Sup #2'!K74*(1-'Other Assumptions'!O12)</f>
        <v>465.16282456311291</v>
      </c>
    </row>
    <row r="75" spans="1:11" x14ac:dyDescent="0.2">
      <c r="A75" t="str">
        <f ca="1">OFFSET(Taranaki_Reference,28,2)</f>
        <v>Taxi/Vehicle Share</v>
      </c>
      <c r="B75" s="4">
        <f ca="1">'Total Distance Tables Sup #2'!B75</f>
        <v>1.1335038904000001</v>
      </c>
      <c r="C75" s="4">
        <f ca="1">'Total Distance Tables Sup #2'!C75+((C73+C74)*'Other Assumptions'!G12/(1-'Other Assumptions'!G12))</f>
        <v>1.2745968627652697</v>
      </c>
      <c r="D75" s="4">
        <f ca="1">'Total Distance Tables Sup #2'!D75+((D73+D74)*'Other Assumptions'!H12/(1-'Other Assumptions'!H12))</f>
        <v>1.3970780871291077</v>
      </c>
      <c r="E75" s="4">
        <f ca="1">'Total Distance Tables Sup #2'!E75+((E73+E74)*'Other Assumptions'!I12/(1-'Other Assumptions'!I12))</f>
        <v>90.432587059996209</v>
      </c>
      <c r="F75" s="4">
        <f ca="1">'Total Distance Tables Sup #2'!F75+((F73+F74)*'Other Assumptions'!J12/(1-'Other Assumptions'!J12))</f>
        <v>182.11374677202289</v>
      </c>
      <c r="G75" s="4">
        <f ca="1">'Total Distance Tables Sup #2'!G75+((G73+G74)*'Other Assumptions'!K12/(1-'Other Assumptions'!K12))</f>
        <v>274.6778717333919</v>
      </c>
      <c r="H75" s="4">
        <f ca="1">'Total Distance Tables Sup #2'!H75+((H73+H74)*'Other Assumptions'!L12/(1-'Other Assumptions'!L12))</f>
        <v>367.61118983296728</v>
      </c>
      <c r="I75" s="1">
        <f ca="1">'Total Distance Tables Sup #2'!I75+((I73+I74)*'Other Assumptions'!M12/(1-'Other Assumptions'!M12))</f>
        <v>462.62589694881103</v>
      </c>
      <c r="J75" s="1">
        <f ca="1">'Total Distance Tables Sup #2'!J75+((J73+J74)*'Other Assumptions'!N12/(1-'Other Assumptions'!N12))</f>
        <v>557.31818462028787</v>
      </c>
      <c r="K75" s="1">
        <f ca="1">'Total Distance Tables Sup #2'!K75+((K73+K74)*'Other Assumptions'!O12/(1-'Other Assumptions'!O12))</f>
        <v>651.46698002003961</v>
      </c>
    </row>
    <row r="76" spans="1:11" x14ac:dyDescent="0.2">
      <c r="A76" t="str">
        <f ca="1">OFFSET(Taranaki_Reference,35,2)</f>
        <v>Motorcyclist</v>
      </c>
      <c r="B76" s="4">
        <f ca="1">'Total Distance Tables Sup #2'!B76</f>
        <v>7.0100687938000004</v>
      </c>
      <c r="C76" s="4">
        <f ca="1">'Total Distance Tables Sup #2'!C76</f>
        <v>7.5627839566320754</v>
      </c>
      <c r="D76" s="4">
        <f ca="1">'Total Distance Tables Sup #2'!D76</f>
        <v>7.874389002939659</v>
      </c>
      <c r="E76" s="4">
        <f ca="1">'Total Distance Tables Sup #2'!E76</f>
        <v>7.9388593713285784</v>
      </c>
      <c r="F76" s="4">
        <f ca="1">'Total Distance Tables Sup #2'!F76</f>
        <v>7.9260237837911109</v>
      </c>
      <c r="G76" s="4">
        <f ca="1">'Total Distance Tables Sup #2'!G76</f>
        <v>7.7861035225611985</v>
      </c>
      <c r="H76" s="4">
        <f ca="1">'Total Distance Tables Sup #2'!H76</f>
        <v>7.6188329985661944</v>
      </c>
      <c r="I76" s="1">
        <f ca="1">'Total Distance Tables Sup #2'!I76</f>
        <v>7.722103727645198</v>
      </c>
      <c r="J76" s="1">
        <f ca="1">'Total Distance Tables Sup #2'!J76</f>
        <v>7.8021604421772777</v>
      </c>
      <c r="K76" s="1">
        <f ca="1">'Total Distance Tables Sup #2'!K76</f>
        <v>7.8663843039997632</v>
      </c>
    </row>
    <row r="77" spans="1:11" x14ac:dyDescent="0.2">
      <c r="A77" t="str">
        <f ca="1">OFFSET(Taranaki_Reference,42,2)</f>
        <v>Local Train</v>
      </c>
      <c r="B77" s="4">
        <f ca="1">'Total Distance Tables Sup #2'!B77</f>
        <v>0</v>
      </c>
      <c r="C77" s="4">
        <f ca="1">'Total Distance Tables Sup #2'!C77</f>
        <v>0</v>
      </c>
      <c r="D77" s="4">
        <f ca="1">'Total Distance Tables Sup #2'!D77</f>
        <v>0</v>
      </c>
      <c r="E77" s="4">
        <f ca="1">'Total Distance Tables Sup #2'!E77</f>
        <v>0</v>
      </c>
      <c r="F77" s="4">
        <f ca="1">'Total Distance Tables Sup #2'!F77</f>
        <v>0</v>
      </c>
      <c r="G77" s="4">
        <f ca="1">'Total Distance Tables Sup #2'!G77</f>
        <v>0</v>
      </c>
      <c r="H77" s="4">
        <f ca="1">'Total Distance Tables Sup #2'!H77</f>
        <v>0</v>
      </c>
      <c r="I77" s="1">
        <f ca="1">'Total Distance Tables Sup #2'!I77</f>
        <v>0</v>
      </c>
      <c r="J77" s="1">
        <f ca="1">'Total Distance Tables Sup #2'!J77</f>
        <v>0</v>
      </c>
      <c r="K77" s="1">
        <f ca="1">'Total Distance Tables Sup #2'!K77</f>
        <v>0</v>
      </c>
    </row>
    <row r="78" spans="1:11" x14ac:dyDescent="0.2">
      <c r="A78" t="str">
        <f ca="1">OFFSET(Taranaki_Reference,49,2)</f>
        <v>Local Bus</v>
      </c>
      <c r="B78" s="4">
        <f ca="1">'Total Distance Tables Sup #2'!B78</f>
        <v>14.084735078</v>
      </c>
      <c r="C78" s="4">
        <f ca="1">'Total Distance Tables Sup #2'!C78</f>
        <v>13.514674809036247</v>
      </c>
      <c r="D78" s="4">
        <f ca="1">'Total Distance Tables Sup #2'!D78</f>
        <v>13.1313212266351</v>
      </c>
      <c r="E78" s="4">
        <f ca="1">'Total Distance Tables Sup #2'!E78</f>
        <v>12.880452920306872</v>
      </c>
      <c r="F78" s="4">
        <f ca="1">'Total Distance Tables Sup #2'!F78</f>
        <v>12.441127397342347</v>
      </c>
      <c r="G78" s="4">
        <f ca="1">'Total Distance Tables Sup #2'!G78</f>
        <v>12.168164017416238</v>
      </c>
      <c r="H78" s="4">
        <f ca="1">'Total Distance Tables Sup #2'!H78</f>
        <v>11.859857726030752</v>
      </c>
      <c r="I78" s="1">
        <f ca="1">'Total Distance Tables Sup #2'!I78</f>
        <v>11.961215999932602</v>
      </c>
      <c r="J78" s="1">
        <f ca="1">'Total Distance Tables Sup #2'!J78</f>
        <v>12.025023724508154</v>
      </c>
      <c r="K78" s="1">
        <f ca="1">'Total Distance Tables Sup #2'!K78</f>
        <v>12.063170523556442</v>
      </c>
    </row>
    <row r="79" spans="1:11" x14ac:dyDescent="0.2">
      <c r="A79" t="str">
        <f ca="1">OFFSET(Waikato_Reference,56,2)</f>
        <v>Local Ferry</v>
      </c>
      <c r="B79" s="4">
        <f>'Total Distance Tables Sup #2'!B79</f>
        <v>0</v>
      </c>
      <c r="C79" s="4">
        <f ca="1">'Total Distance Tables Sup #2'!C79</f>
        <v>0</v>
      </c>
      <c r="D79" s="4">
        <f ca="1">'Total Distance Tables Sup #2'!D79</f>
        <v>0</v>
      </c>
      <c r="E79" s="4">
        <f ca="1">'Total Distance Tables Sup #2'!E79</f>
        <v>0</v>
      </c>
      <c r="F79" s="4">
        <f ca="1">'Total Distance Tables Sup #2'!F79</f>
        <v>0</v>
      </c>
      <c r="G79" s="4">
        <f ca="1">'Total Distance Tables Sup #2'!G79</f>
        <v>0</v>
      </c>
      <c r="H79" s="4">
        <f ca="1">'Total Distance Tables Sup #2'!H79</f>
        <v>0</v>
      </c>
      <c r="I79" s="1">
        <f ca="1">'Total Distance Tables Sup #2'!I79</f>
        <v>0</v>
      </c>
      <c r="J79" s="1">
        <f ca="1">'Total Distance Tables Sup #2'!J79</f>
        <v>0</v>
      </c>
      <c r="K79" s="1">
        <f ca="1">'Total Distance Tables Sup #2'!K79</f>
        <v>0</v>
      </c>
    </row>
    <row r="80" spans="1:11" x14ac:dyDescent="0.2">
      <c r="A80" t="str">
        <f ca="1">OFFSET(Taranaki_Reference,56,2)</f>
        <v>Other Household Travel</v>
      </c>
      <c r="B80" s="4">
        <f ca="1">'Total Distance Tables Sup #2'!B80</f>
        <v>0</v>
      </c>
      <c r="C80" s="4">
        <f ca="1">'Total Distance Tables Sup #2'!C80</f>
        <v>0</v>
      </c>
      <c r="D80" s="4">
        <f ca="1">'Total Distance Tables Sup #2'!D80</f>
        <v>0</v>
      </c>
      <c r="E80" s="4">
        <f ca="1">'Total Distance Tables Sup #2'!E80</f>
        <v>0</v>
      </c>
      <c r="F80" s="4">
        <f ca="1">'Total Distance Tables Sup #2'!F80</f>
        <v>0</v>
      </c>
      <c r="G80" s="4">
        <f ca="1">'Total Distance Tables Sup #2'!G80</f>
        <v>0</v>
      </c>
      <c r="H80" s="4">
        <f ca="1">'Total Distance Tables Sup #2'!H80</f>
        <v>0</v>
      </c>
      <c r="I80" s="1">
        <f ca="1">'Total Distance Tables Sup #2'!I80</f>
        <v>0</v>
      </c>
      <c r="J80" s="1">
        <f ca="1">'Total Distance Tables Sup #2'!J80</f>
        <v>0</v>
      </c>
      <c r="K80" s="1">
        <f ca="1">'Total Distance Tables Sup #2'!K80</f>
        <v>0</v>
      </c>
    </row>
    <row r="81" spans="1:11" x14ac:dyDescent="0.2">
      <c r="A81" t="str">
        <f ca="1">OFFSET(Manawatu_Reference,0,0)</f>
        <v>08 MANAWATU-WANGANUI</v>
      </c>
      <c r="I81" s="1"/>
      <c r="J81" s="1"/>
      <c r="K81" s="1"/>
    </row>
    <row r="82" spans="1:11" x14ac:dyDescent="0.2">
      <c r="A82" t="str">
        <f ca="1">OFFSET(Manawatu_Reference,0,2)</f>
        <v>Pedestrian</v>
      </c>
      <c r="B82" s="4">
        <f ca="1">'Total Distance Tables Sup #2'!B82</f>
        <v>32.265609755</v>
      </c>
      <c r="C82" s="4">
        <f ca="1">'Total Distance Tables Sup #2'!C82</f>
        <v>33.320064319065139</v>
      </c>
      <c r="D82" s="4">
        <f ca="1">'Total Distance Tables Sup #2'!D82</f>
        <v>33.552496531057422</v>
      </c>
      <c r="E82" s="4">
        <f ca="1">'Total Distance Tables Sup #2'!E82</f>
        <v>33.588617153687757</v>
      </c>
      <c r="F82" s="4">
        <f ca="1">'Total Distance Tables Sup #2'!F82</f>
        <v>33.281985403124629</v>
      </c>
      <c r="G82" s="4">
        <f ca="1">'Total Distance Tables Sup #2'!G82</f>
        <v>32.911391306474336</v>
      </c>
      <c r="H82" s="4">
        <f ca="1">'Total Distance Tables Sup #2'!H82</f>
        <v>32.403077636110737</v>
      </c>
      <c r="I82" s="1">
        <f ca="1">'Total Distance Tables Sup #2'!I82</f>
        <v>32.098013511315308</v>
      </c>
      <c r="J82" s="1">
        <f ca="1">'Total Distance Tables Sup #2'!J82</f>
        <v>31.695057255266033</v>
      </c>
      <c r="K82" s="1">
        <f ca="1">'Total Distance Tables Sup #2'!K82</f>
        <v>31.230340429455513</v>
      </c>
    </row>
    <row r="83" spans="1:11" x14ac:dyDescent="0.2">
      <c r="A83" t="str">
        <f ca="1">OFFSET(Manawatu_Reference,7,2)</f>
        <v>Cyclist</v>
      </c>
      <c r="B83" s="4">
        <f ca="1">'Total Distance Tables Sup #2'!B83</f>
        <v>20.722330986999999</v>
      </c>
      <c r="C83" s="4">
        <f ca="1">'Total Distance Tables Sup #2'!C83</f>
        <v>22.168009569770842</v>
      </c>
      <c r="D83" s="4">
        <f ca="1">'Total Distance Tables Sup #2'!D83</f>
        <v>22.666203299355796</v>
      </c>
      <c r="E83" s="4">
        <f ca="1">'Total Distance Tables Sup #2'!E83</f>
        <v>22.688353389905455</v>
      </c>
      <c r="F83" s="4">
        <f ca="1">'Total Distance Tables Sup #2'!F83</f>
        <v>22.922343496769436</v>
      </c>
      <c r="G83" s="4">
        <f ca="1">'Total Distance Tables Sup #2'!G83</f>
        <v>23.433602527165355</v>
      </c>
      <c r="H83" s="4">
        <f ca="1">'Total Distance Tables Sup #2'!H83</f>
        <v>23.882804699593624</v>
      </c>
      <c r="I83" s="1">
        <f ca="1">'Total Distance Tables Sup #2'!I83</f>
        <v>23.769106140684453</v>
      </c>
      <c r="J83" s="1">
        <f ca="1">'Total Distance Tables Sup #2'!J83</f>
        <v>23.582054329043917</v>
      </c>
      <c r="K83" s="1">
        <f ca="1">'Total Distance Tables Sup #2'!K83</f>
        <v>23.347558614530204</v>
      </c>
    </row>
    <row r="84" spans="1:11" x14ac:dyDescent="0.2">
      <c r="A84" t="str">
        <f ca="1">OFFSET(Manawatu_Reference,14,2)</f>
        <v>Light Vehicle Driver</v>
      </c>
      <c r="B84" s="4">
        <f ca="1">'Total Distance Tables Sup #2'!B84</f>
        <v>1782.4745101999999</v>
      </c>
      <c r="C84" s="4">
        <f ca="1">'Total Distance Tables Sup #2'!C84*(1-'Other Assumptions'!G13)</f>
        <v>1908.3688640784865</v>
      </c>
      <c r="D84" s="4">
        <f ca="1">'Total Distance Tables Sup #2'!D84*(1-'Other Assumptions'!H13)</f>
        <v>1967.6265509154196</v>
      </c>
      <c r="E84" s="4">
        <f ca="1">'Total Distance Tables Sup #2'!E84*(1-'Other Assumptions'!I13)</f>
        <v>1894.6110863988736</v>
      </c>
      <c r="F84" s="4">
        <f ca="1">'Total Distance Tables Sup #2'!F84*(1-'Other Assumptions'!J13)</f>
        <v>1810.1686378092743</v>
      </c>
      <c r="G84" s="4">
        <f ca="1">'Total Distance Tables Sup #2'!G84*(1-'Other Assumptions'!K13)</f>
        <v>1707.7657004107891</v>
      </c>
      <c r="H84" s="4">
        <f ca="1">'Total Distance Tables Sup #2'!H84*(1-'Other Assumptions'!L13)</f>
        <v>1599.2192043823384</v>
      </c>
      <c r="I84" s="1">
        <f ca="1">'Total Distance Tables Sup #2'!I84*(1-'Other Assumptions'!M13)</f>
        <v>1488.0353878597055</v>
      </c>
      <c r="J84" s="1">
        <f ca="1">'Total Distance Tables Sup #2'!J84*(1-'Other Assumptions'!N13)</f>
        <v>1374.0508713660997</v>
      </c>
      <c r="K84" s="1">
        <f ca="1">'Total Distance Tables Sup #2'!K84*(1-'Other Assumptions'!O13)</f>
        <v>1259.620783885633</v>
      </c>
    </row>
    <row r="85" spans="1:11" x14ac:dyDescent="0.2">
      <c r="A85" t="str">
        <f ca="1">OFFSET(Manawatu_Reference,21,2)</f>
        <v>Light Vehicle Passenger</v>
      </c>
      <c r="B85" s="4">
        <f ca="1">'Total Distance Tables Sup #2'!B85</f>
        <v>885.65568203999999</v>
      </c>
      <c r="C85" s="4">
        <f ca="1">'Total Distance Tables Sup #2'!C85*(1-'Other Assumptions'!G13)</f>
        <v>910.00430106687747</v>
      </c>
      <c r="D85" s="4">
        <f ca="1">'Total Distance Tables Sup #2'!D85*(1-'Other Assumptions'!H13)</f>
        <v>916.55852714146886</v>
      </c>
      <c r="E85" s="4">
        <f ca="1">'Total Distance Tables Sup #2'!E85*(1-'Other Assumptions'!I13)</f>
        <v>870.42593801533098</v>
      </c>
      <c r="F85" s="4">
        <f ca="1">'Total Distance Tables Sup #2'!F85*(1-'Other Assumptions'!J13)</f>
        <v>818.7167586840776</v>
      </c>
      <c r="G85" s="4">
        <f ca="1">'Total Distance Tables Sup #2'!G85*(1-'Other Assumptions'!K13)</f>
        <v>763.87236051301397</v>
      </c>
      <c r="H85" s="4">
        <f ca="1">'Total Distance Tables Sup #2'!H85*(1-'Other Assumptions'!L13)</f>
        <v>706.71371564169522</v>
      </c>
      <c r="I85" s="1">
        <f ca="1">'Total Distance Tables Sup #2'!I85*(1-'Other Assumptions'!M13)</f>
        <v>658.30509624808076</v>
      </c>
      <c r="J85" s="1">
        <f ca="1">'Total Distance Tables Sup #2'!J85*(1-'Other Assumptions'!N13)</f>
        <v>608.55070613686246</v>
      </c>
      <c r="K85" s="1">
        <f ca="1">'Total Distance Tables Sup #2'!K85*(1-'Other Assumptions'!O13)</f>
        <v>558.4895957132801</v>
      </c>
    </row>
    <row r="86" spans="1:11" x14ac:dyDescent="0.2">
      <c r="A86" t="str">
        <f ca="1">OFFSET(Manawatu_Reference,28,2)</f>
        <v>Taxi/Vehicle Share</v>
      </c>
      <c r="B86" s="4">
        <f ca="1">'Total Distance Tables Sup #2'!B86</f>
        <v>5.6344181790999999</v>
      </c>
      <c r="C86" s="4">
        <f ca="1">'Total Distance Tables Sup #2'!C86+((C84+C85)*'Other Assumptions'!G13/(1-'Other Assumptions'!G13))</f>
        <v>6.2862656178764578</v>
      </c>
      <c r="D86" s="4">
        <f ca="1">'Total Distance Tables Sup #2'!D86+((D84+D85)*'Other Assumptions'!H13/(1-'Other Assumptions'!H13))</f>
        <v>6.8133015071856491</v>
      </c>
      <c r="E86" s="4">
        <f ca="1">'Total Distance Tables Sup #2'!E86+((E84+E85)*'Other Assumptions'!I13/(1-'Other Assumptions'!I13))</f>
        <v>152.82388138305578</v>
      </c>
      <c r="F86" s="4">
        <f ca="1">'Total Distance Tables Sup #2'!F86+((F84+F85)*'Other Assumptions'!J13/(1-'Other Assumptions'!J13))</f>
        <v>299.78569209757393</v>
      </c>
      <c r="G86" s="4">
        <f ca="1">'Total Distance Tables Sup #2'!G86+((G84+G85)*'Other Assumptions'!K13/(1-'Other Assumptions'!K13))</f>
        <v>444.13030360782898</v>
      </c>
      <c r="H86" s="4">
        <f ca="1">'Total Distance Tables Sup #2'!H86+((H84+H85)*'Other Assumptions'!L13/(1-'Other Assumptions'!L13))</f>
        <v>584.68222424785245</v>
      </c>
      <c r="I86" s="1">
        <f ca="1">'Total Distance Tables Sup #2'!I86+((I84+I85)*'Other Assumptions'!M13/(1-'Other Assumptions'!M13))</f>
        <v>723.56156515067687</v>
      </c>
      <c r="J86" s="1">
        <f ca="1">'Total Distance Tables Sup #2'!J86+((J84+J85)*'Other Assumptions'!N13/(1-'Other Assumptions'!N13))</f>
        <v>857.69212279971146</v>
      </c>
      <c r="K86" s="1">
        <f ca="1">'Total Distance Tables Sup #2'!K86+((K84+K85)*'Other Assumptions'!O13/(1-'Other Assumptions'!O13))</f>
        <v>986.86369297740714</v>
      </c>
    </row>
    <row r="87" spans="1:11" x14ac:dyDescent="0.2">
      <c r="A87" t="str">
        <f ca="1">OFFSET(Manawatu_Reference,35,2)</f>
        <v>Motorcyclist</v>
      </c>
      <c r="B87" s="4">
        <f ca="1">'Total Distance Tables Sup #2'!B87</f>
        <v>3.8744282972000001</v>
      </c>
      <c r="C87" s="4">
        <f ca="1">'Total Distance Tables Sup #2'!C87</f>
        <v>4.1472561809390456</v>
      </c>
      <c r="D87" s="4">
        <f ca="1">'Total Distance Tables Sup #2'!D87</f>
        <v>4.2698545292987413</v>
      </c>
      <c r="E87" s="4">
        <f ca="1">'Total Distance Tables Sup #2'!E87</f>
        <v>4.2517276359418705</v>
      </c>
      <c r="F87" s="4">
        <f ca="1">'Total Distance Tables Sup #2'!F87</f>
        <v>4.1920385097516979</v>
      </c>
      <c r="G87" s="4">
        <f ca="1">'Total Distance Tables Sup #2'!G87</f>
        <v>4.0623433842835119</v>
      </c>
      <c r="H87" s="4">
        <f ca="1">'Total Distance Tables Sup #2'!H87</f>
        <v>3.9165817878555673</v>
      </c>
      <c r="I87" s="1">
        <f ca="1">'Total Distance Tables Sup #2'!I87</f>
        <v>3.9112598128779124</v>
      </c>
      <c r="J87" s="1">
        <f ca="1">'Total Distance Tables Sup #2'!J87</f>
        <v>3.893661566178408</v>
      </c>
      <c r="K87" s="1">
        <f ca="1">'Total Distance Tables Sup #2'!K87</f>
        <v>3.8679492911639808</v>
      </c>
    </row>
    <row r="88" spans="1:11" x14ac:dyDescent="0.2">
      <c r="A88" t="str">
        <f ca="1">OFFSET(Taranaki_Reference,42,2)</f>
        <v>Local Train</v>
      </c>
      <c r="B88" s="4">
        <f ca="1">'Total Distance Tables Sup #2'!B88</f>
        <v>0</v>
      </c>
      <c r="C88" s="4">
        <f ca="1">'Total Distance Tables Sup #2'!C88</f>
        <v>0</v>
      </c>
      <c r="D88" s="4">
        <f ca="1">'Total Distance Tables Sup #2'!D88</f>
        <v>0</v>
      </c>
      <c r="E88" s="4">
        <f ca="1">'Total Distance Tables Sup #2'!E88</f>
        <v>0</v>
      </c>
      <c r="F88" s="4">
        <f ca="1">'Total Distance Tables Sup #2'!F88</f>
        <v>0</v>
      </c>
      <c r="G88" s="4">
        <f ca="1">'Total Distance Tables Sup #2'!G88</f>
        <v>0</v>
      </c>
      <c r="H88" s="4">
        <f ca="1">'Total Distance Tables Sup #2'!H88</f>
        <v>0</v>
      </c>
      <c r="I88" s="1">
        <f ca="1">'Total Distance Tables Sup #2'!I88</f>
        <v>0</v>
      </c>
      <c r="J88" s="1">
        <f ca="1">'Total Distance Tables Sup #2'!J88</f>
        <v>0</v>
      </c>
      <c r="K88" s="1">
        <f ca="1">'Total Distance Tables Sup #2'!K88</f>
        <v>0</v>
      </c>
    </row>
    <row r="89" spans="1:11" x14ac:dyDescent="0.2">
      <c r="A89" t="str">
        <f ca="1">OFFSET(Manawatu_Reference,42,2)</f>
        <v>Local Bus</v>
      </c>
      <c r="B89" s="4">
        <f ca="1">'Total Distance Tables Sup #2'!B89</f>
        <v>39.768452936000003</v>
      </c>
      <c r="C89" s="4">
        <f ca="1">'Total Distance Tables Sup #2'!C89</f>
        <v>37.860769348958677</v>
      </c>
      <c r="D89" s="4">
        <f ca="1">'Total Distance Tables Sup #2'!D89</f>
        <v>36.375527910889502</v>
      </c>
      <c r="E89" s="4">
        <f ca="1">'Total Distance Tables Sup #2'!E89</f>
        <v>35.240586482154747</v>
      </c>
      <c r="F89" s="4">
        <f ca="1">'Total Distance Tables Sup #2'!F89</f>
        <v>33.615091326607882</v>
      </c>
      <c r="G89" s="4">
        <f ca="1">'Total Distance Tables Sup #2'!G89</f>
        <v>32.43292950197624</v>
      </c>
      <c r="H89" s="4">
        <f ca="1">'Total Distance Tables Sup #2'!H89</f>
        <v>31.146043866694029</v>
      </c>
      <c r="I89" s="1">
        <f ca="1">'Total Distance Tables Sup #2'!I89</f>
        <v>30.950027100929834</v>
      </c>
      <c r="J89" s="1">
        <f ca="1">'Total Distance Tables Sup #2'!J89</f>
        <v>30.657301938060794</v>
      </c>
      <c r="K89" s="1">
        <f ca="1">'Total Distance Tables Sup #2'!K89</f>
        <v>30.302031481617163</v>
      </c>
    </row>
    <row r="90" spans="1:11" x14ac:dyDescent="0.2">
      <c r="A90" t="str">
        <f ca="1">OFFSET(Manawatu_Reference,49,2)</f>
        <v>Local Ferry</v>
      </c>
      <c r="B90" s="4">
        <f ca="1">'Total Distance Tables Sup #2'!B90</f>
        <v>0</v>
      </c>
      <c r="C90" s="4">
        <f ca="1">'Total Distance Tables Sup #2'!C90</f>
        <v>0</v>
      </c>
      <c r="D90" s="4">
        <f ca="1">'Total Distance Tables Sup #2'!D90</f>
        <v>0</v>
      </c>
      <c r="E90" s="4">
        <f ca="1">'Total Distance Tables Sup #2'!E90</f>
        <v>0</v>
      </c>
      <c r="F90" s="4">
        <f ca="1">'Total Distance Tables Sup #2'!F90</f>
        <v>0</v>
      </c>
      <c r="G90" s="4">
        <f ca="1">'Total Distance Tables Sup #2'!G90</f>
        <v>0</v>
      </c>
      <c r="H90" s="4">
        <f ca="1">'Total Distance Tables Sup #2'!H90</f>
        <v>0</v>
      </c>
      <c r="I90" s="1">
        <f ca="1">'Total Distance Tables Sup #2'!I90</f>
        <v>0</v>
      </c>
      <c r="J90" s="1">
        <f ca="1">'Total Distance Tables Sup #2'!J90</f>
        <v>0</v>
      </c>
      <c r="K90" s="1">
        <f ca="1">'Total Distance Tables Sup #2'!K90</f>
        <v>0</v>
      </c>
    </row>
    <row r="91" spans="1:11" x14ac:dyDescent="0.2">
      <c r="A91" t="str">
        <f ca="1">OFFSET(Manawatu_Reference,56,2)</f>
        <v>Other Household Travel</v>
      </c>
      <c r="B91" s="4">
        <f ca="1">'Total Distance Tables Sup #2'!B91</f>
        <v>0</v>
      </c>
      <c r="C91" s="4">
        <f ca="1">'Total Distance Tables Sup #2'!C91</f>
        <v>0</v>
      </c>
      <c r="D91" s="4">
        <f ca="1">'Total Distance Tables Sup #2'!D91</f>
        <v>0</v>
      </c>
      <c r="E91" s="4">
        <f ca="1">'Total Distance Tables Sup #2'!E91</f>
        <v>0</v>
      </c>
      <c r="F91" s="4">
        <f ca="1">'Total Distance Tables Sup #2'!F91</f>
        <v>0</v>
      </c>
      <c r="G91" s="4">
        <f ca="1">'Total Distance Tables Sup #2'!G91</f>
        <v>0</v>
      </c>
      <c r="H91" s="4">
        <f ca="1">'Total Distance Tables Sup #2'!H91</f>
        <v>0</v>
      </c>
      <c r="I91" s="1">
        <f ca="1">'Total Distance Tables Sup #2'!I91</f>
        <v>0</v>
      </c>
      <c r="J91" s="1">
        <f ca="1">'Total Distance Tables Sup #2'!J91</f>
        <v>0</v>
      </c>
      <c r="K91" s="1">
        <f ca="1">'Total Distance Tables Sup #2'!K91</f>
        <v>0</v>
      </c>
    </row>
    <row r="92" spans="1:11" x14ac:dyDescent="0.2">
      <c r="A92" t="str">
        <f ca="1">OFFSET(Wellington_Reference,0,0)</f>
        <v>09 WELLINGTON</v>
      </c>
      <c r="I92" s="1"/>
      <c r="J92" s="1"/>
      <c r="K92" s="1"/>
    </row>
    <row r="93" spans="1:11" x14ac:dyDescent="0.2">
      <c r="A93" t="str">
        <f ca="1">OFFSET(Wellington_Reference,0,2)</f>
        <v>Pedestrian</v>
      </c>
      <c r="B93" s="4">
        <f ca="1">'Total Distance Tables Sup #2'!B93</f>
        <v>126.13499251</v>
      </c>
      <c r="C93" s="4">
        <f ca="1">'Total Distance Tables Sup #2'!C93+'Total Distance Tables Sup #2'!C95*'Other Assumptions'!G77*'Other Assumptions'!G84+'Total Distance Tables Sup #2'!C96*'Other Assumptions'!G77*'Other Assumptions'!G84</f>
        <v>132.57550061390782</v>
      </c>
      <c r="D93" s="4">
        <f ca="1">'Total Distance Tables Sup #2'!D93+'Total Distance Tables Sup #2'!D95*'Other Assumptions'!H77*'Other Assumptions'!H84+'Total Distance Tables Sup #2'!D96*'Other Assumptions'!H77*'Other Assumptions'!H84</f>
        <v>134.78702249697096</v>
      </c>
      <c r="E93" s="4">
        <f ca="1">'Total Distance Tables Sup #2'!E93+'Total Distance Tables Sup #2'!E95*'Other Assumptions'!I77*'Other Assumptions'!I84+'Total Distance Tables Sup #2'!E96*'Other Assumptions'!I77*'Other Assumptions'!I84</f>
        <v>136.18159254285325</v>
      </c>
      <c r="F93" s="4">
        <f ca="1">'Total Distance Tables Sup #2'!F93+'Total Distance Tables Sup #2'!F95*'Other Assumptions'!J77*'Other Assumptions'!J84+'Total Distance Tables Sup #2'!F96*'Other Assumptions'!J77*'Other Assumptions'!J84</f>
        <v>136.70061686397068</v>
      </c>
      <c r="G93" s="4">
        <f ca="1">'Total Distance Tables Sup #2'!G93+'Total Distance Tables Sup #2'!G95*'Other Assumptions'!K77*'Other Assumptions'!K84+'Total Distance Tables Sup #2'!G96*'Other Assumptions'!K77*'Other Assumptions'!K84</f>
        <v>136.95124320929446</v>
      </c>
      <c r="H93" s="4">
        <f ca="1">'Total Distance Tables Sup #2'!H93+'Total Distance Tables Sup #2'!H95*'Other Assumptions'!L77*'Other Assumptions'!L84+'Total Distance Tables Sup #2'!H96*'Other Assumptions'!L77*'Other Assumptions'!L84</f>
        <v>136.52840995376229</v>
      </c>
      <c r="I93" s="1">
        <f ca="1">'Total Distance Tables Sup #2'!I93+'Total Distance Tables Sup #2'!I95*'Other Assumptions'!M77*'Other Assumptions'!M84+'Total Distance Tables Sup #2'!I96*'Other Assumptions'!M77*'Other Assumptions'!M84</f>
        <v>137.05372345545641</v>
      </c>
      <c r="J93" s="1">
        <f ca="1">'Total Distance Tables Sup #2'!J93+'Total Distance Tables Sup #2'!J95*'Other Assumptions'!N77*'Other Assumptions'!N84+'Total Distance Tables Sup #2'!J96*'Other Assumptions'!N77*'Other Assumptions'!N84</f>
        <v>137.10356827562114</v>
      </c>
      <c r="K93" s="1">
        <f ca="1">'Total Distance Tables Sup #2'!K93+'Total Distance Tables Sup #2'!K95*'Other Assumptions'!O77*'Other Assumptions'!O84+'Total Distance Tables Sup #2'!K96*'Other Assumptions'!O77*'Other Assumptions'!O84</f>
        <v>136.82800557671442</v>
      </c>
    </row>
    <row r="94" spans="1:11" x14ac:dyDescent="0.2">
      <c r="A94" t="str">
        <f ca="1">OFFSET(Wellington_Reference,7,2)</f>
        <v>Cyclist</v>
      </c>
      <c r="B94" s="4">
        <f ca="1">'Total Distance Tables Sup #2'!B94</f>
        <v>52.092312808000003</v>
      </c>
      <c r="C94" s="4">
        <f ca="1">'Total Distance Tables Sup #2'!C94+'Total Distance Tables Sup #2'!C95*'Other Assumptions'!G77*'Other Assumptions'!G83+'Total Distance Tables Sup #2'!C96*'Other Assumptions'!G77*'Other Assumptions'!G83</f>
        <v>56.708608523593192</v>
      </c>
      <c r="D94" s="4">
        <f ca="1">'Total Distance Tables Sup #2'!D94+'Total Distance Tables Sup #2'!D95*'Other Assumptions'!H77*'Other Assumptions'!H83+'Total Distance Tables Sup #2'!D96*'Other Assumptions'!H77*'Other Assumptions'!H83</f>
        <v>58.925524414575754</v>
      </c>
      <c r="E94" s="4">
        <f ca="1">'Total Distance Tables Sup #2'!E94+'Total Distance Tables Sup #2'!E95*'Other Assumptions'!I77*'Other Assumptions'!I83+'Total Distance Tables Sup #2'!E96*'Other Assumptions'!I77*'Other Assumptions'!I83</f>
        <v>59.79171186972907</v>
      </c>
      <c r="F94" s="4">
        <f ca="1">'Total Distance Tables Sup #2'!F94+'Total Distance Tables Sup #2'!F95*'Other Assumptions'!J77*'Other Assumptions'!J83+'Total Distance Tables Sup #2'!F96*'Other Assumptions'!J77*'Other Assumptions'!J83</f>
        <v>61.300300167286935</v>
      </c>
      <c r="G94" s="4">
        <f ca="1">'Total Distance Tables Sup #2'!G94+'Total Distance Tables Sup #2'!G95*'Other Assumptions'!K77*'Other Assumptions'!K83+'Total Distance Tables Sup #2'!G96*'Other Assumptions'!K77*'Other Assumptions'!K83</f>
        <v>63.61501020227449</v>
      </c>
      <c r="H94" s="4">
        <f ca="1">'Total Distance Tables Sup #2'!H94+'Total Distance Tables Sup #2'!H95*'Other Assumptions'!L77*'Other Assumptions'!L83+'Total Distance Tables Sup #2'!H96*'Other Assumptions'!L77*'Other Assumptions'!L83</f>
        <v>65.805232523527977</v>
      </c>
      <c r="I94" s="1">
        <f ca="1">'Total Distance Tables Sup #2'!I94+'Total Distance Tables Sup #2'!I95*'Other Assumptions'!M77*'Other Assumptions'!M83+'Total Distance Tables Sup #2'!I96*'Other Assumptions'!M77*'Other Assumptions'!M83</f>
        <v>66.47257607773399</v>
      </c>
      <c r="J94" s="1">
        <f ca="1">'Total Distance Tables Sup #2'!J94+'Total Distance Tables Sup #2'!J95*'Other Assumptions'!N77*'Other Assumptions'!N83+'Total Distance Tables Sup #2'!J96*'Other Assumptions'!N77*'Other Assumptions'!N83</f>
        <v>66.936939911429477</v>
      </c>
      <c r="K94" s="1">
        <f ca="1">'Total Distance Tables Sup #2'!K94+'Total Distance Tables Sup #2'!K95*'Other Assumptions'!O77*'Other Assumptions'!O83+'Total Distance Tables Sup #2'!K96*'Other Assumptions'!O77*'Other Assumptions'!O83</f>
        <v>67.263622402714745</v>
      </c>
    </row>
    <row r="95" spans="1:11" x14ac:dyDescent="0.2">
      <c r="A95" t="str">
        <f ca="1">OFFSET(Wellington_Reference,14,2)</f>
        <v>Light Vehicle Driver</v>
      </c>
      <c r="B95" s="4">
        <f ca="1">'Total Distance Tables Sup #2'!B95</f>
        <v>3481.4296611999998</v>
      </c>
      <c r="C95" s="4">
        <f ca="1">'Total Distance Tables Sup #2'!C95*(1-'Other Assumptions'!G14)*(1-'Other Assumptions'!G77)</f>
        <v>3792.7377630597539</v>
      </c>
      <c r="D95" s="4">
        <f ca="1">'Total Distance Tables Sup #2'!D95*(1-'Other Assumptions'!H14)*(1-'Other Assumptions'!H77)</f>
        <v>3961.3289254672682</v>
      </c>
      <c r="E95" s="4">
        <f ca="1">'Total Distance Tables Sup #2'!E95*(1-'Other Assumptions'!I14)*(1-'Other Assumptions'!I77)</f>
        <v>3857.6002433025947</v>
      </c>
      <c r="F95" s="4">
        <f ca="1">'Total Distance Tables Sup #2'!F95*(1-'Other Assumptions'!J14)*(1-'Other Assumptions'!J77)</f>
        <v>3734.3851327734587</v>
      </c>
      <c r="G95" s="4">
        <f ca="1">'Total Distance Tables Sup #2'!G95*(1-'Other Assumptions'!K14)*(1-'Other Assumptions'!K77)</f>
        <v>3570.7834202016065</v>
      </c>
      <c r="H95" s="4">
        <f ca="1">'Total Distance Tables Sup #2'!H95*(1-'Other Assumptions'!L14)*(1-'Other Assumptions'!L77)</f>
        <v>3387.9056731434598</v>
      </c>
      <c r="I95" s="1">
        <f ca="1">'Total Distance Tables Sup #2'!I95*(1-'Other Assumptions'!M14)*(1-'Other Assumptions'!M77)</f>
        <v>3193.803817841128</v>
      </c>
      <c r="J95" s="1">
        <f ca="1">'Total Distance Tables Sup #2'!J95*(1-'Other Assumptions'!N14)*(1-'Other Assumptions'!N77)</f>
        <v>2987.220237977122</v>
      </c>
      <c r="K95" s="1">
        <f ca="1">'Total Distance Tables Sup #2'!K95*(1-'Other Assumptions'!O14)*(1-'Other Assumptions'!O77)</f>
        <v>2773.1945193249844</v>
      </c>
    </row>
    <row r="96" spans="1:11" x14ac:dyDescent="0.2">
      <c r="A96" t="str">
        <f ca="1">OFFSET(Wellington_Reference,21,2)</f>
        <v>Light Vehicle Passenger</v>
      </c>
      <c r="B96" s="4">
        <f ca="1">'Total Distance Tables Sup #2'!B96</f>
        <v>2005.8850408000001</v>
      </c>
      <c r="C96" s="4">
        <f ca="1">'Total Distance Tables Sup #2'!C96*(1-'Other Assumptions'!G14)*(1-'Other Assumptions'!G77+'Other Assumptions'!G77*'Other Assumptions'!G80)+'Total Distance Tables Sup #2'!C95*(1-'Other Assumptions'!G14)*'Other Assumptions'!G77*'Other Assumptions'!G80</f>
        <v>2097.0831683828196</v>
      </c>
      <c r="D96" s="4">
        <f ca="1">'Total Distance Tables Sup #2'!D96*(1-'Other Assumptions'!H14)*(1-'Other Assumptions'!H77+'Other Assumptions'!H77*'Other Assumptions'!H80)+'Total Distance Tables Sup #2'!D95*(1-'Other Assumptions'!H14)*'Other Assumptions'!H77*'Other Assumptions'!H80</f>
        <v>2133.771274611694</v>
      </c>
      <c r="E96" s="4">
        <f ca="1">'Total Distance Tables Sup #2'!E96*(1-'Other Assumptions'!I14)*(1-'Other Assumptions'!I77+'Other Assumptions'!I77*'Other Assumptions'!I80)+'Total Distance Tables Sup #2'!E95*(1-'Other Assumptions'!I14)*'Other Assumptions'!I77*'Other Assumptions'!I80</f>
        <v>2044.9574840609969</v>
      </c>
      <c r="F96" s="4">
        <f ca="1">'Total Distance Tables Sup #2'!F96*(1-'Other Assumptions'!J14)*(1-'Other Assumptions'!J77+'Other Assumptions'!J77*'Other Assumptions'!J80)+'Total Distance Tables Sup #2'!F95*(1-'Other Assumptions'!J14)*'Other Assumptions'!J77*'Other Assumptions'!J80</f>
        <v>1945.8441390682067</v>
      </c>
      <c r="G96" s="4">
        <f ca="1">'Total Distance Tables Sup #2'!G96*(1-'Other Assumptions'!K14)*(1-'Other Assumptions'!K77+'Other Assumptions'!K77*'Other Assumptions'!K80)+'Total Distance Tables Sup #2'!G95*(1-'Other Assumptions'!K14)*'Other Assumptions'!K77*'Other Assumptions'!K80</f>
        <v>1837.0505770552491</v>
      </c>
      <c r="H96" s="4">
        <f ca="1">'Total Distance Tables Sup #2'!H96*(1-'Other Assumptions'!L14)*(1-'Other Assumptions'!L77+'Other Assumptions'!L77*'Other Assumptions'!L80)+'Total Distance Tables Sup #2'!H95*(1-'Other Assumptions'!L14)*'Other Assumptions'!L77*'Other Assumptions'!L80</f>
        <v>1718.6950772682246</v>
      </c>
      <c r="I96" s="1">
        <f ca="1">'Total Distance Tables Sup #2'!I96*(1-'Other Assumptions'!M14)*(1-'Other Assumptions'!M77+'Other Assumptions'!M77*'Other Assumptions'!M80)+'Total Distance Tables Sup #2'!I95*(1-'Other Assumptions'!M14)*'Other Assumptions'!M77*'Other Assumptions'!M80</f>
        <v>1619.2136346620873</v>
      </c>
      <c r="J96" s="1">
        <f ca="1">'Total Distance Tables Sup #2'!J96*(1-'Other Assumptions'!N14)*(1-'Other Assumptions'!N77+'Other Assumptions'!N77*'Other Assumptions'!N80)+'Total Distance Tables Sup #2'!J95*(1-'Other Assumptions'!N14)*'Other Assumptions'!N77*'Other Assumptions'!N80</f>
        <v>1513.1932313264297</v>
      </c>
      <c r="K96" s="1">
        <f ca="1">'Total Distance Tables Sup #2'!K96*(1-'Other Assumptions'!O14)*(1-'Other Assumptions'!O77+'Other Assumptions'!O77*'Other Assumptions'!O80)+'Total Distance Tables Sup #2'!K95*(1-'Other Assumptions'!O14)*'Other Assumptions'!O77*'Other Assumptions'!O80</f>
        <v>1403.2964335593374</v>
      </c>
    </row>
    <row r="97" spans="1:11" x14ac:dyDescent="0.2">
      <c r="A97" t="str">
        <f ca="1">OFFSET(Wellington_Reference,28,2)</f>
        <v>Taxi/Vehicle Share</v>
      </c>
      <c r="B97" s="4">
        <f ca="1">'Total Distance Tables Sup #2'!B97</f>
        <v>19.359252680000001</v>
      </c>
      <c r="C97" s="4">
        <f ca="1">'Total Distance Tables Sup #2'!C97+((C95+C96)*'Other Assumptions'!G14/(1-'Other Assumptions'!G14))</f>
        <v>21.979585420461127</v>
      </c>
      <c r="D97" s="4">
        <f ca="1">'Total Distance Tables Sup #2'!D97+((D95+D96)*'Other Assumptions'!H14/(1-'Other Assumptions'!H14))</f>
        <v>24.209552550333033</v>
      </c>
      <c r="E97" s="4">
        <f ca="1">'Total Distance Tables Sup #2'!E97+((E95+E96)*'Other Assumptions'!I14/(1-'Other Assumptions'!I14))</f>
        <v>336.93967137356333</v>
      </c>
      <c r="F97" s="4">
        <f ca="1">'Total Distance Tables Sup #2'!F97+((F95+F96)*'Other Assumptions'!J14/(1-'Other Assumptions'!J14))</f>
        <v>659.23505907998981</v>
      </c>
      <c r="G97" s="4">
        <f ca="1">'Total Distance Tables Sup #2'!G97+((G95+G96)*'Other Assumptions'!K14/(1-'Other Assumptions'!K14))</f>
        <v>983.85457059822363</v>
      </c>
      <c r="H97" s="4">
        <f ca="1">'Total Distance Tables Sup #2'!H97+((H95+H96)*'Other Assumptions'!L14/(1-'Other Assumptions'!L14))</f>
        <v>1307.5275475377844</v>
      </c>
      <c r="I97" s="1">
        <f ca="1">'Total Distance Tables Sup #2'!I97+((I95+I96)*'Other Assumptions'!M14/(1-'Other Assumptions'!M14))</f>
        <v>1635.3567795319029</v>
      </c>
      <c r="J97" s="1">
        <f ca="1">'Total Distance Tables Sup #2'!J97+((J95+J96)*'Other Assumptions'!N14/(1-'Other Assumptions'!N14))</f>
        <v>1959.8077941606898</v>
      </c>
      <c r="K97" s="1">
        <f ca="1">'Total Distance Tables Sup #2'!K97+((K95+K96)*'Other Assumptions'!O14/(1-'Other Assumptions'!O14))</f>
        <v>2279.9135148626342</v>
      </c>
    </row>
    <row r="98" spans="1:11" x14ac:dyDescent="0.2">
      <c r="A98" t="str">
        <f ca="1">OFFSET(Wellington_Reference,35,2)</f>
        <v>Motorcyclist</v>
      </c>
      <c r="B98" s="4">
        <f ca="1">'Total Distance Tables Sup #2'!B98</f>
        <v>24.444631151999999</v>
      </c>
      <c r="C98" s="4">
        <f ca="1">'Total Distance Tables Sup #2'!C98</f>
        <v>26.627106835526124</v>
      </c>
      <c r="D98" s="4">
        <f ca="1">'Total Distance Tables Sup #2'!D98</f>
        <v>27.859837739011599</v>
      </c>
      <c r="E98" s="4">
        <f ca="1">'Total Distance Tables Sup #2'!E98</f>
        <v>28.121874942901538</v>
      </c>
      <c r="F98" s="4">
        <f ca="1">'Total Distance Tables Sup #2'!F98</f>
        <v>28.136474242848251</v>
      </c>
      <c r="G98" s="4">
        <f ca="1">'Total Distance Tables Sup #2'!G98</f>
        <v>27.678209980861634</v>
      </c>
      <c r="H98" s="4">
        <f ca="1">'Total Distance Tables Sup #2'!H98</f>
        <v>27.084643769029721</v>
      </c>
      <c r="I98" s="1">
        <f ca="1">'Total Distance Tables Sup #2'!I98</f>
        <v>27.452832006609832</v>
      </c>
      <c r="J98" s="1">
        <f ca="1">'Total Distance Tables Sup #2'!J98</f>
        <v>27.738517482701695</v>
      </c>
      <c r="K98" s="1">
        <f ca="1">'Total Distance Tables Sup #2'!K98</f>
        <v>27.967933380140934</v>
      </c>
    </row>
    <row r="99" spans="1:11" x14ac:dyDescent="0.2">
      <c r="A99" t="str">
        <f ca="1">OFFSET(Wellington_Reference,42,2)</f>
        <v>Local Train</v>
      </c>
      <c r="B99" s="4">
        <f ca="1">'Total Distance Tables Sup #2'!B99</f>
        <v>297.83</v>
      </c>
      <c r="C99" s="4">
        <f ca="1">'Total Distance Tables Sup #2'!C99+'Total Distance Tables Sup #2'!C95*'Other Assumptions'!G77*'Other Assumptions'!G82+'Total Distance Tables Sup #2'!C96*'Other Assumptions'!G77*'Other Assumptions'!G82</f>
        <v>320.10000000000002</v>
      </c>
      <c r="D99" s="4">
        <f ca="1">'Total Distance Tables Sup #2'!D99+'Total Distance Tables Sup #2'!D95*'Other Assumptions'!H77*'Other Assumptions'!H82+'Total Distance Tables Sup #2'!D96*'Other Assumptions'!H77*'Other Assumptions'!H82</f>
        <v>358.66249999999997</v>
      </c>
      <c r="E99" s="4">
        <f ca="1">'Total Distance Tables Sup #2'!E99+'Total Distance Tables Sup #2'!E95*'Other Assumptions'!I77*'Other Assumptions'!I82+'Total Distance Tables Sup #2'!E96*'Other Assumptions'!I77*'Other Assumptions'!I82</f>
        <v>392.62</v>
      </c>
      <c r="F99" s="4">
        <f ca="1">'Total Distance Tables Sup #2'!F99+'Total Distance Tables Sup #2'!F95*'Other Assumptions'!J77*'Other Assumptions'!J82+'Total Distance Tables Sup #2'!F96*'Other Assumptions'!J77*'Other Assumptions'!J82</f>
        <v>419.66999999999996</v>
      </c>
      <c r="G99" s="4">
        <f ca="1">'Total Distance Tables Sup #2'!G99+'Total Distance Tables Sup #2'!G95*'Other Assumptions'!K77*'Other Assumptions'!K82+'Total Distance Tables Sup #2'!G96*'Other Assumptions'!K77*'Other Assumptions'!K82</f>
        <v>446.71999999999997</v>
      </c>
      <c r="H99" s="4">
        <f ca="1">'Total Distance Tables Sup #2'!H99+'Total Distance Tables Sup #2'!H95*'Other Assumptions'!L77*'Other Assumptions'!L82+'Total Distance Tables Sup #2'!H96*'Other Assumptions'!L77*'Other Assumptions'!L82</f>
        <v>473.77</v>
      </c>
      <c r="I99" s="1">
        <f ca="1">'Total Distance Tables Sup #2'!I99+'Total Distance Tables Sup #2'!I95*'Other Assumptions'!M77*'Other Assumptions'!M82+'Total Distance Tables Sup #2'!I96*'Other Assumptions'!M77*'Other Assumptions'!M82</f>
        <v>501.00186725132102</v>
      </c>
      <c r="J99" s="1">
        <f ca="1">'Total Distance Tables Sup #2'!J99+'Total Distance Tables Sup #2'!J95*'Other Assumptions'!N77*'Other Assumptions'!N82+'Total Distance Tables Sup #2'!J96*'Other Assumptions'!N77*'Other Assumptions'!N82</f>
        <v>529.59942594470544</v>
      </c>
      <c r="K99" s="1">
        <f ca="1">'Total Distance Tables Sup #2'!K99+'Total Distance Tables Sup #2'!K95*'Other Assumptions'!O77*'Other Assumptions'!O82+'Total Distance Tables Sup #2'!K96*'Other Assumptions'!O77*'Other Assumptions'!O82</f>
        <v>559.82935452866218</v>
      </c>
    </row>
    <row r="100" spans="1:11" x14ac:dyDescent="0.2">
      <c r="A100" t="str">
        <f ca="1">OFFSET(Wellington_Reference,49,2)</f>
        <v>Local Bus</v>
      </c>
      <c r="B100" s="4">
        <f ca="1">'Total Distance Tables Sup #2'!B100</f>
        <v>164.37</v>
      </c>
      <c r="C100" s="4">
        <f ca="1">'Total Distance Tables Sup #2'!C100+'Total Distance Tables Sup #2'!C95*'Other Assumptions'!G77*'Other Assumptions'!G81+'Total Distance Tables Sup #2'!C96*'Other Assumptions'!G77*'Other Assumptions'!G81</f>
        <v>171.7</v>
      </c>
      <c r="D100" s="4">
        <f ca="1">'Total Distance Tables Sup #2'!D100+'Total Distance Tables Sup #2'!D95*'Other Assumptions'!H77*'Other Assumptions'!H81+'Total Distance Tables Sup #2'!D96*'Other Assumptions'!H77*'Other Assumptions'!H81</f>
        <v>192.7</v>
      </c>
      <c r="E100" s="4">
        <f ca="1">'Total Distance Tables Sup #2'!E100+'Total Distance Tables Sup #2'!E95*'Other Assumptions'!I77*'Other Assumptions'!I81+'Total Distance Tables Sup #2'!E96*'Other Assumptions'!I77*'Other Assumptions'!I81</f>
        <v>207.58</v>
      </c>
      <c r="F100" s="4">
        <f ca="1">'Total Distance Tables Sup #2'!F100+'Total Distance Tables Sup #2'!F95*'Other Assumptions'!J77*'Other Assumptions'!J81+'Total Distance Tables Sup #2'!F96*'Other Assumptions'!J77*'Other Assumptions'!J81</f>
        <v>213.28000000000003</v>
      </c>
      <c r="G100" s="4">
        <f ca="1">'Total Distance Tables Sup #2'!G100+'Total Distance Tables Sup #2'!G95*'Other Assumptions'!K77*'Other Assumptions'!K81+'Total Distance Tables Sup #2'!G96*'Other Assumptions'!K77*'Other Assumptions'!K81</f>
        <v>218.98</v>
      </c>
      <c r="H100" s="4">
        <f ca="1">'Total Distance Tables Sup #2'!H100+'Total Distance Tables Sup #2'!H95*'Other Assumptions'!L77*'Other Assumptions'!L81+'Total Distance Tables Sup #2'!H96*'Other Assumptions'!L77*'Other Assumptions'!L81</f>
        <v>224.67999999999998</v>
      </c>
      <c r="I100" s="1">
        <f ca="1">'Total Distance Tables Sup #2'!I100+'Total Distance Tables Sup #2'!I95*'Other Assumptions'!M77*'Other Assumptions'!M81+'Total Distance Tables Sup #2'!I96*'Other Assumptions'!M77*'Other Assumptions'!M81</f>
        <v>230.39720711920958</v>
      </c>
      <c r="J100" s="1">
        <f ca="1">'Total Distance Tables Sup #2'!J100+'Total Distance Tables Sup #2'!J95*'Other Assumptions'!N77*'Other Assumptions'!N81+'Total Distance Tables Sup #2'!J96*'Other Assumptions'!N77*'Other Assumptions'!N81</f>
        <v>236.24195214964192</v>
      </c>
      <c r="K100" s="1">
        <f ca="1">'Total Distance Tables Sup #2'!K100+'Total Distance Tables Sup #2'!K95*'Other Assumptions'!O77*'Other Assumptions'!O81+'Total Distance Tables Sup #2'!K96*'Other Assumptions'!O77*'Other Assumptions'!O81</f>
        <v>242.23496739957</v>
      </c>
    </row>
    <row r="101" spans="1:11" x14ac:dyDescent="0.2">
      <c r="A101" t="str">
        <f ca="1">OFFSET(Wellington_Reference,56,2)</f>
        <v>Local Ferry</v>
      </c>
      <c r="B101" s="4">
        <f ca="1">'Total Distance Tables Sup #2'!B101</f>
        <v>0</v>
      </c>
      <c r="C101" s="4">
        <f ca="1">'Total Distance Tables Sup #2'!C101</f>
        <v>0</v>
      </c>
      <c r="D101" s="4">
        <f ca="1">'Total Distance Tables Sup #2'!D101</f>
        <v>0</v>
      </c>
      <c r="E101" s="4">
        <f ca="1">'Total Distance Tables Sup #2'!E101</f>
        <v>0</v>
      </c>
      <c r="F101" s="4">
        <f ca="1">'Total Distance Tables Sup #2'!F101</f>
        <v>0</v>
      </c>
      <c r="G101" s="4">
        <f ca="1">'Total Distance Tables Sup #2'!G101</f>
        <v>0</v>
      </c>
      <c r="H101" s="4">
        <f ca="1">'Total Distance Tables Sup #2'!H101</f>
        <v>0</v>
      </c>
      <c r="I101" s="1">
        <f ca="1">'Total Distance Tables Sup #2'!I101</f>
        <v>0</v>
      </c>
      <c r="J101" s="1">
        <f ca="1">'Total Distance Tables Sup #2'!J101</f>
        <v>0</v>
      </c>
      <c r="K101" s="1">
        <f ca="1">'Total Distance Tables Sup #2'!K101</f>
        <v>0</v>
      </c>
    </row>
    <row r="102" spans="1:11" x14ac:dyDescent="0.2">
      <c r="A102" t="str">
        <f ca="1">OFFSET(Wellington_Reference,63,2)</f>
        <v>Other Household Travel</v>
      </c>
      <c r="B102" s="4">
        <f ca="1">'Total Distance Tables Sup #2'!B102</f>
        <v>0</v>
      </c>
      <c r="C102" s="4">
        <f ca="1">'Total Distance Tables Sup #2'!C102</f>
        <v>0</v>
      </c>
      <c r="D102" s="4">
        <f ca="1">'Total Distance Tables Sup #2'!D102</f>
        <v>0</v>
      </c>
      <c r="E102" s="4">
        <f ca="1">'Total Distance Tables Sup #2'!E102</f>
        <v>0</v>
      </c>
      <c r="F102" s="4">
        <f ca="1">'Total Distance Tables Sup #2'!F102</f>
        <v>0</v>
      </c>
      <c r="G102" s="4">
        <f ca="1">'Total Distance Tables Sup #2'!G102</f>
        <v>0</v>
      </c>
      <c r="H102" s="4">
        <f ca="1">'Total Distance Tables Sup #2'!H102</f>
        <v>0</v>
      </c>
      <c r="I102" s="1">
        <f ca="1">'Total Distance Tables Sup #2'!I102</f>
        <v>0</v>
      </c>
      <c r="J102" s="1">
        <f ca="1">'Total Distance Tables Sup #2'!J102</f>
        <v>0</v>
      </c>
      <c r="K102" s="1">
        <f ca="1">'Total Distance Tables Sup #2'!K102</f>
        <v>0</v>
      </c>
    </row>
    <row r="103" spans="1:11" x14ac:dyDescent="0.2">
      <c r="A103" t="str">
        <f ca="1">OFFSET(Nelson_Reference,0,0)</f>
        <v>10 NELS-MARLB-TAS</v>
      </c>
      <c r="I103" s="1"/>
      <c r="J103" s="1"/>
      <c r="K103" s="1"/>
    </row>
    <row r="104" spans="1:11" x14ac:dyDescent="0.2">
      <c r="A104" t="str">
        <f ca="1">OFFSET(Nelson_Reference,0,2)</f>
        <v>Pedestrian</v>
      </c>
      <c r="B104" s="4">
        <f ca="1">'Total Distance Tables Sup #2'!B104</f>
        <v>28.582749250999999</v>
      </c>
      <c r="C104" s="4">
        <f ca="1">'Total Distance Tables Sup #2'!C104</f>
        <v>29.75231406147217</v>
      </c>
      <c r="D104" s="4">
        <f ca="1">'Total Distance Tables Sup #2'!D104</f>
        <v>30.346734076754529</v>
      </c>
      <c r="E104" s="4">
        <f ca="1">'Total Distance Tables Sup #2'!E104</f>
        <v>30.688024295771452</v>
      </c>
      <c r="F104" s="4">
        <f ca="1">'Total Distance Tables Sup #2'!F104</f>
        <v>30.699054662965025</v>
      </c>
      <c r="G104" s="4">
        <f ca="1">'Total Distance Tables Sup #2'!G104</f>
        <v>30.617103255105174</v>
      </c>
      <c r="H104" s="4">
        <f ca="1">'Total Distance Tables Sup #2'!H104</f>
        <v>30.346866415150323</v>
      </c>
      <c r="I104" s="1">
        <f ca="1">'Total Distance Tables Sup #2'!I104</f>
        <v>30.264671312271211</v>
      </c>
      <c r="J104" s="1">
        <f ca="1">'Total Distance Tables Sup #2'!J104</f>
        <v>30.088467247466777</v>
      </c>
      <c r="K104" s="1">
        <f ca="1">'Total Distance Tables Sup #2'!K104</f>
        <v>29.850835146347052</v>
      </c>
    </row>
    <row r="105" spans="1:11" x14ac:dyDescent="0.2">
      <c r="A105" t="str">
        <f ca="1">OFFSET(Nelson_Reference,7,2)</f>
        <v>Cyclist</v>
      </c>
      <c r="B105" s="4">
        <f ca="1">'Total Distance Tables Sup #2'!B105</f>
        <v>10.809874027999999</v>
      </c>
      <c r="C105" s="4">
        <f ca="1">'Total Distance Tables Sup #2'!C105</f>
        <v>11.656267973093504</v>
      </c>
      <c r="D105" s="4">
        <f ca="1">'Total Distance Tables Sup #2'!D105</f>
        <v>12.072127202254055</v>
      </c>
      <c r="E105" s="4">
        <f ca="1">'Total Distance Tables Sup #2'!E105</f>
        <v>12.206683589427641</v>
      </c>
      <c r="F105" s="4">
        <f ca="1">'Total Distance Tables Sup #2'!F105</f>
        <v>12.450669265104823</v>
      </c>
      <c r="G105" s="4">
        <f ca="1">'Total Distance Tables Sup #2'!G105</f>
        <v>12.837333391436694</v>
      </c>
      <c r="H105" s="4">
        <f ca="1">'Total Distance Tables Sup #2'!H105</f>
        <v>13.171366156368236</v>
      </c>
      <c r="I105" s="1">
        <f ca="1">'Total Distance Tables Sup #2'!I105</f>
        <v>13.197405482066335</v>
      </c>
      <c r="J105" s="1">
        <f ca="1">'Total Distance Tables Sup #2'!J105</f>
        <v>13.182812157489499</v>
      </c>
      <c r="K105" s="1">
        <f ca="1">'Total Distance Tables Sup #2'!K105</f>
        <v>13.141324705914101</v>
      </c>
    </row>
    <row r="106" spans="1:11" x14ac:dyDescent="0.2">
      <c r="A106" t="str">
        <f ca="1">OFFSET(Nelson_Reference,14,2)</f>
        <v>Light Vehicle Driver</v>
      </c>
      <c r="B106" s="4">
        <f ca="1">'Total Distance Tables Sup #2'!B106</f>
        <v>1012.1329009999999</v>
      </c>
      <c r="C106" s="4">
        <f ca="1">'Total Distance Tables Sup #2'!C106*(1-'Other Assumptions'!G15)</f>
        <v>1092.2632777995841</v>
      </c>
      <c r="D106" s="4">
        <f ca="1">'Total Distance Tables Sup #2'!D106*(1-'Other Assumptions'!H15)</f>
        <v>1140.7221776058159</v>
      </c>
      <c r="E106" s="4">
        <f ca="1">'Total Distance Tables Sup #2'!E106*(1-'Other Assumptions'!I15)</f>
        <v>1109.5502388131681</v>
      </c>
      <c r="F106" s="4">
        <f ca="1">'Total Distance Tables Sup #2'!F106*(1-'Other Assumptions'!J15)</f>
        <v>1070.2491818289316</v>
      </c>
      <c r="G106" s="4">
        <f ca="1">'Total Distance Tables Sup #2'!G106*(1-'Other Assumptions'!K15)</f>
        <v>1018.3480480803144</v>
      </c>
      <c r="H106" s="4">
        <f ca="1">'Total Distance Tables Sup #2'!H106*(1-'Other Assumptions'!L15)</f>
        <v>960.03193508891297</v>
      </c>
      <c r="I106" s="1">
        <f ca="1">'Total Distance Tables Sup #2'!I106*(1-'Other Assumptions'!M15)</f>
        <v>899.33430030691625</v>
      </c>
      <c r="J106" s="1">
        <f ca="1">'Total Distance Tables Sup #2'!J106*(1-'Other Assumptions'!N15)</f>
        <v>836.10616907855217</v>
      </c>
      <c r="K106" s="1">
        <f ca="1">'Total Distance Tables Sup #2'!K106*(1-'Other Assumptions'!O15)</f>
        <v>771.73763095601225</v>
      </c>
    </row>
    <row r="107" spans="1:11" x14ac:dyDescent="0.2">
      <c r="A107" t="str">
        <f ca="1">OFFSET(Nelson_Reference,21,2)</f>
        <v>Light Vehicle Passenger</v>
      </c>
      <c r="B107" s="4">
        <f ca="1">'Total Distance Tables Sup #2'!B107</f>
        <v>528.66856442999995</v>
      </c>
      <c r="C107" s="4">
        <f ca="1">'Total Distance Tables Sup #2'!C107*(1-'Other Assumptions'!G15)</f>
        <v>547.53617167092091</v>
      </c>
      <c r="D107" s="4">
        <f ca="1">'Total Distance Tables Sup #2'!D107*(1-'Other Assumptions'!H15)</f>
        <v>558.60108195741577</v>
      </c>
      <c r="E107" s="4">
        <f ca="1">'Total Distance Tables Sup #2'!E107*(1-'Other Assumptions'!I15)</f>
        <v>535.87448690211431</v>
      </c>
      <c r="F107" s="4">
        <f ca="1">'Total Distance Tables Sup #2'!F107*(1-'Other Assumptions'!J15)</f>
        <v>508.86655504499822</v>
      </c>
      <c r="G107" s="4">
        <f ca="1">'Total Distance Tables Sup #2'!G107*(1-'Other Assumptions'!K15)</f>
        <v>478.8429571471292</v>
      </c>
      <c r="H107" s="4">
        <f ca="1">'Total Distance Tables Sup #2'!H107*(1-'Other Assumptions'!L15)</f>
        <v>445.99045391341156</v>
      </c>
      <c r="I107" s="1">
        <f ca="1">'Total Distance Tables Sup #2'!I107*(1-'Other Assumptions'!M15)</f>
        <v>418.25339489150082</v>
      </c>
      <c r="J107" s="1">
        <f ca="1">'Total Distance Tables Sup #2'!J107*(1-'Other Assumptions'!N15)</f>
        <v>389.27789770330446</v>
      </c>
      <c r="K107" s="1">
        <f ca="1">'Total Distance Tables Sup #2'!K107*(1-'Other Assumptions'!O15)</f>
        <v>359.70734510655643</v>
      </c>
    </row>
    <row r="108" spans="1:11" x14ac:dyDescent="0.2">
      <c r="A108" t="str">
        <f ca="1">OFFSET(Nelson_Reference,28,2)</f>
        <v>Taxi/Vehicle Share</v>
      </c>
      <c r="B108" s="4">
        <f ca="1">'Total Distance Tables Sup #2'!B108</f>
        <v>2.5483198348</v>
      </c>
      <c r="C108" s="4">
        <f ca="1">'Total Distance Tables Sup #2'!C108+((C106+C107)*'Other Assumptions'!G15/(1-'Other Assumptions'!G15))</f>
        <v>2.8658165188259326</v>
      </c>
      <c r="D108" s="4">
        <f ca="1">'Total Distance Tables Sup #2'!D108+((D106+D107)*'Other Assumptions'!H15/(1-'Other Assumptions'!H15))</f>
        <v>3.1461937383927321</v>
      </c>
      <c r="E108" s="4">
        <f ca="1">'Total Distance Tables Sup #2'!E108+((E106+E107)*'Other Assumptions'!I15/(1-'Other Assumptions'!I15))</f>
        <v>90.00443937760123</v>
      </c>
      <c r="F108" s="4">
        <f ca="1">'Total Distance Tables Sup #2'!F108+((F106+F107)*'Other Assumptions'!J15/(1-'Other Assumptions'!J15))</f>
        <v>179.07749249903833</v>
      </c>
      <c r="G108" s="4">
        <f ca="1">'Total Distance Tables Sup #2'!G108+((G106+G107)*'Other Assumptions'!K15/(1-'Other Assumptions'!K15))</f>
        <v>267.99034110126149</v>
      </c>
      <c r="H108" s="4">
        <f ca="1">'Total Distance Tables Sup #2'!H108+((H106+H107)*'Other Assumptions'!L15/(1-'Other Assumptions'!L15))</f>
        <v>355.42598396164885</v>
      </c>
      <c r="I108" s="1">
        <f ca="1">'Total Distance Tables Sup #2'!I108+((I106+I107)*'Other Assumptions'!M15/(1-'Other Assumptions'!M15))</f>
        <v>443.10226498571848</v>
      </c>
      <c r="J108" s="1">
        <f ca="1">'Total Distance Tables Sup #2'!J108+((J106+J107)*'Other Assumptions'!N15/(1-'Other Assumptions'!N15))</f>
        <v>529.04476627362703</v>
      </c>
      <c r="K108" s="1">
        <f ca="1">'Total Distance Tables Sup #2'!K108+((K106+K107)*'Other Assumptions'!O15/(1-'Other Assumptions'!O15))</f>
        <v>613.08562479905993</v>
      </c>
    </row>
    <row r="109" spans="1:11" x14ac:dyDescent="0.2">
      <c r="A109" t="str">
        <f ca="1">OFFSET(Nelson_Reference,35,2)</f>
        <v>Motorcyclist</v>
      </c>
      <c r="B109" s="4">
        <f ca="1">'Total Distance Tables Sup #2'!B109</f>
        <v>34.127286998000002</v>
      </c>
      <c r="C109" s="4">
        <f ca="1">'Total Distance Tables Sup #2'!C109</f>
        <v>36.821866232551095</v>
      </c>
      <c r="D109" s="4">
        <f ca="1">'Total Distance Tables Sup #2'!D109</f>
        <v>38.399910515730724</v>
      </c>
      <c r="E109" s="4">
        <f ca="1">'Total Distance Tables Sup #2'!E109</f>
        <v>38.625334658624389</v>
      </c>
      <c r="F109" s="4">
        <f ca="1">'Total Distance Tables Sup #2'!F109</f>
        <v>38.447761034205435</v>
      </c>
      <c r="G109" s="4">
        <f ca="1">'Total Distance Tables Sup #2'!G109</f>
        <v>37.577207401515913</v>
      </c>
      <c r="H109" s="4">
        <f ca="1">'Total Distance Tables Sup #2'!H109</f>
        <v>36.472438942978052</v>
      </c>
      <c r="I109" s="1">
        <f ca="1">'Total Distance Tables Sup #2'!I109</f>
        <v>36.669457598693704</v>
      </c>
      <c r="J109" s="1">
        <f ca="1">'Total Distance Tables Sup #2'!J109</f>
        <v>36.753333768795997</v>
      </c>
      <c r="K109" s="1">
        <f ca="1">'Total Distance Tables Sup #2'!K109</f>
        <v>36.761273988754944</v>
      </c>
    </row>
    <row r="110" spans="1:11" x14ac:dyDescent="0.2">
      <c r="A110" t="str">
        <f ca="1">OFFSET(Nelson_Reference,42,2)</f>
        <v>Local Train</v>
      </c>
      <c r="B110" s="4">
        <f ca="1">'Total Distance Tables Sup #2'!B110</f>
        <v>0</v>
      </c>
      <c r="C110" s="4">
        <f ca="1">'Total Distance Tables Sup #2'!C110</f>
        <v>0</v>
      </c>
      <c r="D110" s="4">
        <f ca="1">'Total Distance Tables Sup #2'!D110</f>
        <v>0</v>
      </c>
      <c r="E110" s="4">
        <f ca="1">'Total Distance Tables Sup #2'!E110</f>
        <v>0</v>
      </c>
      <c r="F110" s="4">
        <f ca="1">'Total Distance Tables Sup #2'!F110</f>
        <v>0</v>
      </c>
      <c r="G110" s="4">
        <f ca="1">'Total Distance Tables Sup #2'!G110</f>
        <v>0</v>
      </c>
      <c r="H110" s="4">
        <f ca="1">'Total Distance Tables Sup #2'!H110</f>
        <v>0</v>
      </c>
      <c r="I110" s="1">
        <f ca="1">'Total Distance Tables Sup #2'!I110</f>
        <v>0</v>
      </c>
      <c r="J110" s="1">
        <f ca="1">'Total Distance Tables Sup #2'!J110</f>
        <v>0</v>
      </c>
      <c r="K110" s="1">
        <f ca="1">'Total Distance Tables Sup #2'!K110</f>
        <v>0</v>
      </c>
    </row>
    <row r="111" spans="1:11" x14ac:dyDescent="0.2">
      <c r="A111" t="str">
        <f ca="1">OFFSET(Nelson_Reference,49,2)</f>
        <v>Local Bus</v>
      </c>
      <c r="B111" s="4">
        <f ca="1">'Total Distance Tables Sup #2'!B111</f>
        <v>19.807462209000001</v>
      </c>
      <c r="C111" s="4">
        <f ca="1">'Total Distance Tables Sup #2'!C111</f>
        <v>19.007735081562252</v>
      </c>
      <c r="D111" s="4">
        <f ca="1">'Total Distance Tables Sup #2'!D111</f>
        <v>18.497900571915267</v>
      </c>
      <c r="E111" s="4">
        <f ca="1">'Total Distance Tables Sup #2'!E111</f>
        <v>18.10280817389172</v>
      </c>
      <c r="F111" s="4">
        <f ca="1">'Total Distance Tables Sup #2'!F111</f>
        <v>17.43315890538188</v>
      </c>
      <c r="G111" s="4">
        <f ca="1">'Total Distance Tables Sup #2'!G111</f>
        <v>16.964069837130658</v>
      </c>
      <c r="H111" s="4">
        <f ca="1">'Total Distance Tables Sup #2'!H111</f>
        <v>16.400477755718519</v>
      </c>
      <c r="I111" s="1">
        <f ca="1">'Total Distance Tables Sup #2'!I111</f>
        <v>16.407592325698438</v>
      </c>
      <c r="J111" s="1">
        <f ca="1">'Total Distance Tables Sup #2'!J111</f>
        <v>16.363208800566682</v>
      </c>
      <c r="K111" s="1">
        <f ca="1">'Total Distance Tables Sup #2'!K111</f>
        <v>16.284616284924816</v>
      </c>
    </row>
    <row r="112" spans="1:11" x14ac:dyDescent="0.2">
      <c r="A112" t="str">
        <f ca="1">OFFSET(Wellington_Reference,56,2)</f>
        <v>Local Ferry</v>
      </c>
      <c r="B112" s="4">
        <f>'Total Distance Tables Sup #2'!B112</f>
        <v>0</v>
      </c>
      <c r="C112" s="4">
        <f ca="1">'Total Distance Tables Sup #2'!C112</f>
        <v>0</v>
      </c>
      <c r="D112" s="4">
        <f ca="1">'Total Distance Tables Sup #2'!D112</f>
        <v>0</v>
      </c>
      <c r="E112" s="4">
        <f ca="1">'Total Distance Tables Sup #2'!E112</f>
        <v>0</v>
      </c>
      <c r="F112" s="4">
        <f ca="1">'Total Distance Tables Sup #2'!F112</f>
        <v>0</v>
      </c>
      <c r="G112" s="4">
        <f ca="1">'Total Distance Tables Sup #2'!G112</f>
        <v>0</v>
      </c>
      <c r="H112" s="4">
        <f ca="1">'Total Distance Tables Sup #2'!H112</f>
        <v>0</v>
      </c>
      <c r="I112" s="1">
        <f ca="1">'Total Distance Tables Sup #2'!I112</f>
        <v>0</v>
      </c>
      <c r="J112" s="1">
        <f ca="1">'Total Distance Tables Sup #2'!J112</f>
        <v>0</v>
      </c>
      <c r="K112" s="1">
        <f ca="1">'Total Distance Tables Sup #2'!K112</f>
        <v>0</v>
      </c>
    </row>
    <row r="113" spans="1:11" x14ac:dyDescent="0.2">
      <c r="A113" t="str">
        <f ca="1">OFFSET(Nelson_Reference,56,2)</f>
        <v>Other Household Travel</v>
      </c>
      <c r="B113" s="4">
        <f ca="1">'Total Distance Tables Sup #2'!B113</f>
        <v>0</v>
      </c>
      <c r="C113" s="4">
        <f ca="1">'Total Distance Tables Sup #2'!C113</f>
        <v>0</v>
      </c>
      <c r="D113" s="4">
        <f ca="1">'Total Distance Tables Sup #2'!D113</f>
        <v>0</v>
      </c>
      <c r="E113" s="4">
        <f ca="1">'Total Distance Tables Sup #2'!E113</f>
        <v>0</v>
      </c>
      <c r="F113" s="4">
        <f ca="1">'Total Distance Tables Sup #2'!F113</f>
        <v>0</v>
      </c>
      <c r="G113" s="4">
        <f ca="1">'Total Distance Tables Sup #2'!G113</f>
        <v>0</v>
      </c>
      <c r="H113" s="4">
        <f ca="1">'Total Distance Tables Sup #2'!H113</f>
        <v>0</v>
      </c>
      <c r="I113" s="1">
        <f ca="1">'Total Distance Tables Sup #2'!I113</f>
        <v>0</v>
      </c>
      <c r="J113" s="1">
        <f ca="1">'Total Distance Tables Sup #2'!J113</f>
        <v>0</v>
      </c>
      <c r="K113" s="1">
        <f ca="1">'Total Distance Tables Sup #2'!K113</f>
        <v>0</v>
      </c>
    </row>
    <row r="114" spans="1:11" x14ac:dyDescent="0.2">
      <c r="A114" t="str">
        <f ca="1">OFFSET(West_Coast_Reference,0,0)</f>
        <v>12 WEST COAST</v>
      </c>
      <c r="B114" s="4"/>
      <c r="C114" s="4"/>
      <c r="D114" s="4"/>
      <c r="E114" s="4"/>
      <c r="F114" s="4"/>
      <c r="G114" s="4"/>
      <c r="H114" s="4"/>
      <c r="I114" s="1"/>
      <c r="J114" s="1"/>
      <c r="K114" s="1"/>
    </row>
    <row r="115" spans="1:11" x14ac:dyDescent="0.2">
      <c r="A115" t="str">
        <f ca="1">OFFSET(West_Coast_Reference,0,2)</f>
        <v>Pedestrian</v>
      </c>
      <c r="B115" s="4">
        <f ca="1">'Total Distance Tables Sup #2'!B115</f>
        <v>4.6474841125999999</v>
      </c>
      <c r="C115" s="4">
        <f ca="1">'Total Distance Tables Sup #2'!C115</f>
        <v>4.5438714698571818</v>
      </c>
      <c r="D115" s="4">
        <f ca="1">'Total Distance Tables Sup #2'!D115</f>
        <v>4.4988723968081334</v>
      </c>
      <c r="E115" s="4">
        <f ca="1">'Total Distance Tables Sup #2'!E115</f>
        <v>4.4235543765078607</v>
      </c>
      <c r="F115" s="4">
        <f ca="1">'Total Distance Tables Sup #2'!F115</f>
        <v>4.3045418955837533</v>
      </c>
      <c r="G115" s="4">
        <f ca="1">'Total Distance Tables Sup #2'!G115</f>
        <v>4.178227956286988</v>
      </c>
      <c r="H115" s="4">
        <f ca="1">'Total Distance Tables Sup #2'!H115</f>
        <v>4.0411872522068881</v>
      </c>
      <c r="I115" s="1">
        <f ca="1">'Total Distance Tables Sup #2'!I115</f>
        <v>3.9325811495791512</v>
      </c>
      <c r="J115" s="1">
        <f ca="1">'Total Distance Tables Sup #2'!J115</f>
        <v>3.8147659967156411</v>
      </c>
      <c r="K115" s="1">
        <f ca="1">'Total Distance Tables Sup #2'!K115</f>
        <v>3.6925799323563626</v>
      </c>
    </row>
    <row r="116" spans="1:11" x14ac:dyDescent="0.2">
      <c r="A116" t="str">
        <f ca="1">OFFSET(West_Coast_Reference,7,2)</f>
        <v>Cyclist</v>
      </c>
      <c r="B116" s="4">
        <f ca="1">'Total Distance Tables Sup #2'!B116</f>
        <v>1.9571055828999999</v>
      </c>
      <c r="C116" s="4">
        <f ca="1">'Total Distance Tables Sup #2'!C116</f>
        <v>1.9821865276513997</v>
      </c>
      <c r="D116" s="4">
        <f ca="1">'Total Distance Tables Sup #2'!D116</f>
        <v>1.9927610570821725</v>
      </c>
      <c r="E116" s="4">
        <f ca="1">'Total Distance Tables Sup #2'!E116</f>
        <v>1.9592048022461195</v>
      </c>
      <c r="F116" s="4">
        <f ca="1">'Total Distance Tables Sup #2'!F116</f>
        <v>1.9439018908620778</v>
      </c>
      <c r="G116" s="4">
        <f ca="1">'Total Distance Tables Sup #2'!G116</f>
        <v>1.9506644100955524</v>
      </c>
      <c r="H116" s="4">
        <f ca="1">'Total Distance Tables Sup #2'!H116</f>
        <v>1.9530153328133588</v>
      </c>
      <c r="I116" s="1">
        <f ca="1">'Total Distance Tables Sup #2'!I116</f>
        <v>1.9094575166579308</v>
      </c>
      <c r="J116" s="1">
        <f ca="1">'Total Distance Tables Sup #2'!J116</f>
        <v>1.8610395832727427</v>
      </c>
      <c r="K116" s="1">
        <f ca="1">'Total Distance Tables Sup #2'!K116</f>
        <v>1.8100570938309106</v>
      </c>
    </row>
    <row r="117" spans="1:11" x14ac:dyDescent="0.2">
      <c r="A117" t="str">
        <f ca="1">OFFSET(West_Coast_Reference,14,2)</f>
        <v>Light Vehicle Driver</v>
      </c>
      <c r="B117" s="4">
        <f ca="1">'Total Distance Tables Sup #2'!B117</f>
        <v>226.22434741999999</v>
      </c>
      <c r="C117" s="4">
        <f ca="1">'Total Distance Tables Sup #2'!C117*(1-'Other Assumptions'!G16)</f>
        <v>229.30868742310201</v>
      </c>
      <c r="D117" s="4">
        <f ca="1">'Total Distance Tables Sup #2'!D117*(1-'Other Assumptions'!H16)</f>
        <v>232.46602439870051</v>
      </c>
      <c r="E117" s="4">
        <f ca="1">'Total Distance Tables Sup #2'!E117*(1-'Other Assumptions'!I16)</f>
        <v>219.85548210533702</v>
      </c>
      <c r="F117" s="4">
        <f ca="1">'Total Distance Tables Sup #2'!F117*(1-'Other Assumptions'!J16)</f>
        <v>206.28836254845461</v>
      </c>
      <c r="G117" s="4">
        <f ca="1">'Total Distance Tables Sup #2'!G117*(1-'Other Assumptions'!K16)</f>
        <v>191.03465313775982</v>
      </c>
      <c r="H117" s="4">
        <f ca="1">'Total Distance Tables Sup #2'!H117*(1-'Other Assumptions'!L16)</f>
        <v>175.73921755348587</v>
      </c>
      <c r="I117" s="1">
        <f ca="1">'Total Distance Tables Sup #2'!I117*(1-'Other Assumptions'!M16)</f>
        <v>160.63892020432047</v>
      </c>
      <c r="J117" s="1">
        <f ca="1">'Total Distance Tables Sup #2'!J117*(1-'Other Assumptions'!N16)</f>
        <v>145.71932576653955</v>
      </c>
      <c r="K117" s="1">
        <f ca="1">'Total Distance Tables Sup #2'!K117*(1-'Other Assumptions'!O16)</f>
        <v>131.22935183993863</v>
      </c>
    </row>
    <row r="118" spans="1:11" x14ac:dyDescent="0.2">
      <c r="A118" t="str">
        <f ca="1">OFFSET(West_Coast_Reference,21,2)</f>
        <v>Light Vehicle Passenger</v>
      </c>
      <c r="B118" s="4">
        <f ca="1">'Total Distance Tables Sup #2'!B118</f>
        <v>160.37072223999999</v>
      </c>
      <c r="C118" s="4">
        <f ca="1">'Total Distance Tables Sup #2'!C118*(1-'Other Assumptions'!G16)</f>
        <v>156.00761120178166</v>
      </c>
      <c r="D118" s="4">
        <f ca="1">'Total Distance Tables Sup #2'!D118*(1-'Other Assumptions'!H16)</f>
        <v>154.49739893170599</v>
      </c>
      <c r="E118" s="4">
        <f ca="1">'Total Distance Tables Sup #2'!E118*(1-'Other Assumptions'!I16)</f>
        <v>144.10969696789033</v>
      </c>
      <c r="F118" s="4">
        <f ca="1">'Total Distance Tables Sup #2'!F118*(1-'Other Assumptions'!J16)</f>
        <v>133.11700210036983</v>
      </c>
      <c r="G118" s="4">
        <f ca="1">'Total Distance Tables Sup #2'!G118*(1-'Other Assumptions'!K16)</f>
        <v>121.91266339680752</v>
      </c>
      <c r="H118" s="4">
        <f ca="1">'Total Distance Tables Sup #2'!H118*(1-'Other Assumptions'!L16)</f>
        <v>110.80219601485926</v>
      </c>
      <c r="I118" s="1">
        <f ca="1">'Total Distance Tables Sup #2'!I118*(1-'Other Assumptions'!M16)</f>
        <v>101.39321398213531</v>
      </c>
      <c r="J118" s="1">
        <f ca="1">'Total Distance Tables Sup #2'!J118*(1-'Other Assumptions'!N16)</f>
        <v>92.077870713760262</v>
      </c>
      <c r="K118" s="1">
        <f ca="1">'Total Distance Tables Sup #2'!K118*(1-'Other Assumptions'!O16)</f>
        <v>83.013821827890737</v>
      </c>
    </row>
    <row r="119" spans="1:11" x14ac:dyDescent="0.2">
      <c r="A119" t="str">
        <f ca="1">OFFSET(West_Coast_Reference,28,2)</f>
        <v>Taxi/Vehicle Share</v>
      </c>
      <c r="B119" s="4">
        <f ca="1">'Total Distance Tables Sup #2'!B119</f>
        <v>1.6916956777000001</v>
      </c>
      <c r="C119" s="4">
        <f ca="1">'Total Distance Tables Sup #2'!C119+((C117+C118)*'Other Assumptions'!G16/(1-'Other Assumptions'!G16))</f>
        <v>1.7869321426360312</v>
      </c>
      <c r="D119" s="4">
        <f ca="1">'Total Distance Tables Sup #2'!D119+((D117+D118)*'Other Assumptions'!H16/(1-'Other Assumptions'!H16))</f>
        <v>1.9042833460769777</v>
      </c>
      <c r="E119" s="4">
        <f ca="1">'Total Distance Tables Sup #2'!E119+((E117+E118)*'Other Assumptions'!I16/(1-'Other Assumptions'!I16))</f>
        <v>21.158856579552442</v>
      </c>
      <c r="F119" s="4">
        <f ca="1">'Total Distance Tables Sup #2'!F119+((F117+F118)*'Other Assumptions'!J16/(1-'Other Assumptions'!J16))</f>
        <v>39.784173593067564</v>
      </c>
      <c r="G119" s="4">
        <f ca="1">'Total Distance Tables Sup #2'!G119+((G117+G118)*'Other Assumptions'!K16/(1-'Other Assumptions'!K16))</f>
        <v>57.332165135828504</v>
      </c>
      <c r="H119" s="4">
        <f ca="1">'Total Distance Tables Sup #2'!H119+((H117+H118)*'Other Assumptions'!L16/(1-'Other Assumptions'!L16))</f>
        <v>73.76681944645081</v>
      </c>
      <c r="I119" s="1">
        <f ca="1">'Total Distance Tables Sup #2'!I119+((I117+I118)*'Other Assumptions'!M16/(1-'Other Assumptions'!M16))</f>
        <v>89.416423422689405</v>
      </c>
      <c r="J119" s="1">
        <f ca="1">'Total Distance Tables Sup #2'!J119+((J117+J118)*'Other Assumptions'!N16/(1-'Other Assumptions'!N16))</f>
        <v>103.92158755288044</v>
      </c>
      <c r="K119" s="1">
        <f ca="1">'Total Distance Tables Sup #2'!K119+((K117+K118)*'Other Assumptions'!O16/(1-'Other Assumptions'!O16))</f>
        <v>117.30411309720213</v>
      </c>
    </row>
    <row r="120" spans="1:11" x14ac:dyDescent="0.2">
      <c r="A120" t="str">
        <f ca="1">OFFSET(West_Coast_Reference,35,2)</f>
        <v>Motorcyclist</v>
      </c>
      <c r="B120" s="4">
        <f ca="1">'Total Distance Tables Sup #2'!B120</f>
        <v>0.29466348679999999</v>
      </c>
      <c r="C120" s="4">
        <f ca="1">'Total Distance Tables Sup #2'!C120</f>
        <v>0.29862195124231178</v>
      </c>
      <c r="D120" s="4">
        <f ca="1">'Total Distance Tables Sup #2'!D120</f>
        <v>0.30229612000545841</v>
      </c>
      <c r="E120" s="4">
        <f ca="1">'Total Distance Tables Sup #2'!E120</f>
        <v>0.2956550766468185</v>
      </c>
      <c r="F120" s="4">
        <f ca="1">'Total Distance Tables Sup #2'!F120</f>
        <v>0.28627513990462355</v>
      </c>
      <c r="G120" s="4">
        <f ca="1">'Total Distance Tables Sup #2'!G120</f>
        <v>0.27230974156491417</v>
      </c>
      <c r="H120" s="4">
        <f ca="1">'Total Distance Tables Sup #2'!H120</f>
        <v>0.2579114195201368</v>
      </c>
      <c r="I120" s="1">
        <f ca="1">'Total Distance Tables Sup #2'!I120</f>
        <v>0.25302117139355956</v>
      </c>
      <c r="J120" s="1">
        <f ca="1">'Total Distance Tables Sup #2'!J120</f>
        <v>0.24744302779100011</v>
      </c>
      <c r="K120" s="1">
        <f ca="1">'Total Distance Tables Sup #2'!K120</f>
        <v>0.24147635812697249</v>
      </c>
    </row>
    <row r="121" spans="1:11" x14ac:dyDescent="0.2">
      <c r="A121" t="str">
        <f ca="1">OFFSET(Nelson_Reference,42,2)</f>
        <v>Local Train</v>
      </c>
      <c r="B121" s="4">
        <f ca="1">'Total Distance Tables Sup #2'!B121</f>
        <v>0</v>
      </c>
      <c r="C121" s="4">
        <f ca="1">'Total Distance Tables Sup #2'!C121</f>
        <v>0</v>
      </c>
      <c r="D121" s="4">
        <f ca="1">'Total Distance Tables Sup #2'!D121</f>
        <v>0</v>
      </c>
      <c r="E121" s="4">
        <f ca="1">'Total Distance Tables Sup #2'!E121</f>
        <v>0</v>
      </c>
      <c r="F121" s="4">
        <f ca="1">'Total Distance Tables Sup #2'!F121</f>
        <v>0</v>
      </c>
      <c r="G121" s="4">
        <f ca="1">'Total Distance Tables Sup #2'!G121</f>
        <v>0</v>
      </c>
      <c r="H121" s="4">
        <f ca="1">'Total Distance Tables Sup #2'!H121</f>
        <v>0</v>
      </c>
      <c r="I121" s="1">
        <f ca="1">'Total Distance Tables Sup #2'!I121</f>
        <v>0</v>
      </c>
      <c r="J121" s="1">
        <f ca="1">'Total Distance Tables Sup #2'!J121</f>
        <v>0</v>
      </c>
      <c r="K121" s="1">
        <f ca="1">'Total Distance Tables Sup #2'!K121</f>
        <v>0</v>
      </c>
    </row>
    <row r="122" spans="1:11" x14ac:dyDescent="0.2">
      <c r="A122" t="str">
        <f ca="1">OFFSET(West_Coast_Reference,42,2)</f>
        <v>Local Bus</v>
      </c>
      <c r="B122" s="4">
        <f ca="1">'Total Distance Tables Sup #2'!B122</f>
        <v>6.0600083682000001</v>
      </c>
      <c r="C122" s="4">
        <f ca="1">'Total Distance Tables Sup #2'!C122</f>
        <v>5.4621815671156266</v>
      </c>
      <c r="D122" s="4">
        <f ca="1">'Total Distance Tables Sup #2'!D122</f>
        <v>5.1599397475806184</v>
      </c>
      <c r="E122" s="4">
        <f ca="1">'Total Distance Tables Sup #2'!E122</f>
        <v>4.9099702846351976</v>
      </c>
      <c r="F122" s="4">
        <f ca="1">'Total Distance Tables Sup #2'!F122</f>
        <v>4.5994775055431942</v>
      </c>
      <c r="G122" s="4">
        <f ca="1">'Total Distance Tables Sup #2'!G122</f>
        <v>4.3560068783579071</v>
      </c>
      <c r="H122" s="4">
        <f ca="1">'Total Distance Tables Sup #2'!H122</f>
        <v>4.1094347998140277</v>
      </c>
      <c r="I122" s="1">
        <f ca="1">'Total Distance Tables Sup #2'!I122</f>
        <v>4.0115948180816146</v>
      </c>
      <c r="J122" s="1">
        <f ca="1">'Total Distance Tables Sup #2'!J122</f>
        <v>3.903613253031935</v>
      </c>
      <c r="K122" s="1">
        <f ca="1">'Total Distance Tables Sup #2'!K122</f>
        <v>3.7903683961876764</v>
      </c>
    </row>
    <row r="123" spans="1:11" x14ac:dyDescent="0.2">
      <c r="A123" t="str">
        <f ca="1">OFFSET(Wellington_Reference,56,2)</f>
        <v>Local Ferry</v>
      </c>
      <c r="B123" s="4">
        <f>'Total Distance Tables Sup #2'!B123</f>
        <v>0</v>
      </c>
      <c r="C123" s="4">
        <f ca="1">'Total Distance Tables Sup #2'!C123</f>
        <v>0</v>
      </c>
      <c r="D123" s="4">
        <f ca="1">'Total Distance Tables Sup #2'!D123</f>
        <v>0</v>
      </c>
      <c r="E123" s="4">
        <f ca="1">'Total Distance Tables Sup #2'!E123</f>
        <v>0</v>
      </c>
      <c r="F123" s="4">
        <f ca="1">'Total Distance Tables Sup #2'!F123</f>
        <v>0</v>
      </c>
      <c r="G123" s="4">
        <f ca="1">'Total Distance Tables Sup #2'!G123</f>
        <v>0</v>
      </c>
      <c r="H123" s="4">
        <f ca="1">'Total Distance Tables Sup #2'!H123</f>
        <v>0</v>
      </c>
      <c r="I123" s="1">
        <f ca="1">'Total Distance Tables Sup #2'!I123</f>
        <v>0</v>
      </c>
      <c r="J123" s="1">
        <f ca="1">'Total Distance Tables Sup #2'!J123</f>
        <v>0</v>
      </c>
      <c r="K123" s="1">
        <f ca="1">'Total Distance Tables Sup #2'!K123</f>
        <v>0</v>
      </c>
    </row>
    <row r="124" spans="1:11" x14ac:dyDescent="0.2">
      <c r="A124" t="str">
        <f ca="1">OFFSET(West_Coast_Reference,49,2)</f>
        <v>Other Household Travel</v>
      </c>
      <c r="B124" s="4">
        <f ca="1">'Total Distance Tables Sup #2'!B124</f>
        <v>0</v>
      </c>
      <c r="C124" s="4">
        <f ca="1">'Total Distance Tables Sup #2'!C124</f>
        <v>0</v>
      </c>
      <c r="D124" s="4">
        <f ca="1">'Total Distance Tables Sup #2'!D124</f>
        <v>0</v>
      </c>
      <c r="E124" s="4">
        <f ca="1">'Total Distance Tables Sup #2'!E124</f>
        <v>0</v>
      </c>
      <c r="F124" s="4">
        <f ca="1">'Total Distance Tables Sup #2'!F124</f>
        <v>0</v>
      </c>
      <c r="G124" s="4">
        <f ca="1">'Total Distance Tables Sup #2'!G124</f>
        <v>0</v>
      </c>
      <c r="H124" s="4">
        <f ca="1">'Total Distance Tables Sup #2'!H124</f>
        <v>0</v>
      </c>
      <c r="I124" s="1">
        <f ca="1">'Total Distance Tables Sup #2'!I124</f>
        <v>0</v>
      </c>
      <c r="J124" s="1">
        <f ca="1">'Total Distance Tables Sup #2'!J124</f>
        <v>0</v>
      </c>
      <c r="K124" s="1">
        <f ca="1">'Total Distance Tables Sup #2'!K124</f>
        <v>0</v>
      </c>
    </row>
    <row r="125" spans="1:11" x14ac:dyDescent="0.2">
      <c r="A125" t="str">
        <f ca="1">OFFSET(Canterbury_Reference,0,0)</f>
        <v>13 CANTERBURY</v>
      </c>
      <c r="B125" s="4"/>
      <c r="I125" s="1"/>
      <c r="J125" s="1"/>
      <c r="K125" s="1"/>
    </row>
    <row r="126" spans="1:11" x14ac:dyDescent="0.2">
      <c r="A126" t="str">
        <f ca="1">OFFSET(Canterbury_Reference,0,2)</f>
        <v>Pedestrian</v>
      </c>
      <c r="B126" s="4">
        <f ca="1">'Total Distance Tables Sup #2'!B126</f>
        <v>113.37513976</v>
      </c>
      <c r="C126" s="4">
        <f ca="1">'Total Distance Tables Sup #2'!C126+'Total Distance Tables Sup #2'!C128*'Other Assumptions'!G88*'Other Assumptions'!G95+'Total Distance Tables Sup #2'!C129*'Other Assumptions'!G88*'Other Assumptions'!G95</f>
        <v>124.60995372381409</v>
      </c>
      <c r="D126" s="4">
        <f ca="1">'Total Distance Tables Sup #2'!D126+'Total Distance Tables Sup #2'!D128*'Other Assumptions'!H88*'Other Assumptions'!H95+'Total Distance Tables Sup #2'!D129*'Other Assumptions'!H88*'Other Assumptions'!H95</f>
        <v>131.49274704243425</v>
      </c>
      <c r="E126" s="4">
        <f ca="1">'Total Distance Tables Sup #2'!E126+'Total Distance Tables Sup #2'!E128*'Other Assumptions'!I88*'Other Assumptions'!I95+'Total Distance Tables Sup #2'!E129*'Other Assumptions'!I88*'Other Assumptions'!I95</f>
        <v>135.98738608634551</v>
      </c>
      <c r="F126" s="4">
        <f ca="1">'Total Distance Tables Sup #2'!F126+'Total Distance Tables Sup #2'!F128*'Other Assumptions'!J88*'Other Assumptions'!J95+'Total Distance Tables Sup #2'!F129*'Other Assumptions'!J88*'Other Assumptions'!J95</f>
        <v>139.27577192716089</v>
      </c>
      <c r="G126" s="4">
        <f ca="1">'Total Distance Tables Sup #2'!G126+'Total Distance Tables Sup #2'!G128*'Other Assumptions'!K88*'Other Assumptions'!K95+'Total Distance Tables Sup #2'!G129*'Other Assumptions'!K88*'Other Assumptions'!K95</f>
        <v>142.38124459191519</v>
      </c>
      <c r="H126" s="4">
        <f ca="1">'Total Distance Tables Sup #2'!H126+'Total Distance Tables Sup #2'!H128*'Other Assumptions'!L88*'Other Assumptions'!L95+'Total Distance Tables Sup #2'!H129*'Other Assumptions'!L88*'Other Assumptions'!L95</f>
        <v>144.92234704727923</v>
      </c>
      <c r="I126" s="1">
        <f ca="1">'Total Distance Tables Sup #2'!I126+'Total Distance Tables Sup #2'!I128*'Other Assumptions'!M88*'Other Assumptions'!M95+'Total Distance Tables Sup #2'!I129*'Other Assumptions'!M88*'Other Assumptions'!M95</f>
        <v>148.41227005698337</v>
      </c>
      <c r="J126" s="1">
        <f ca="1">'Total Distance Tables Sup #2'!J126+'Total Distance Tables Sup #2'!J128*'Other Assumptions'!N88*'Other Assumptions'!N95+'Total Distance Tables Sup #2'!J129*'Other Assumptions'!N88*'Other Assumptions'!N95</f>
        <v>151.50457514560563</v>
      </c>
      <c r="K126" s="1">
        <f ca="1">'Total Distance Tables Sup #2'!K126+'Total Distance Tables Sup #2'!K128*'Other Assumptions'!O88*'Other Assumptions'!O95+'Total Distance Tables Sup #2'!K129*'Other Assumptions'!O88*'Other Assumptions'!O95</f>
        <v>154.33111022784746</v>
      </c>
    </row>
    <row r="127" spans="1:11" x14ac:dyDescent="0.2">
      <c r="A127" t="str">
        <f ca="1">OFFSET(Canterbury_Reference,7,2)</f>
        <v>Cyclist</v>
      </c>
      <c r="B127" s="4">
        <f ca="1">'Total Distance Tables Sup #2'!B127</f>
        <v>97.023488555</v>
      </c>
      <c r="C127" s="4">
        <f ca="1">'Total Distance Tables Sup #2'!C127+'Total Distance Tables Sup #2'!C128*'Other Assumptions'!G88*'Other Assumptions'!G94+'Total Distance Tables Sup #2'!C129*'Other Assumptions'!G88*'Other Assumptions'!G94</f>
        <v>110.46734726198969</v>
      </c>
      <c r="D127" s="4">
        <f ca="1">'Total Distance Tables Sup #2'!D127+'Total Distance Tables Sup #2'!D128*'Other Assumptions'!H88*'Other Assumptions'!H94+'Total Distance Tables Sup #2'!D129*'Other Assumptions'!H88*'Other Assumptions'!H94</f>
        <v>118.36302590194882</v>
      </c>
      <c r="E127" s="4">
        <f ca="1">'Total Distance Tables Sup #2'!E127+'Total Distance Tables Sup #2'!E128*'Other Assumptions'!I88*'Other Assumptions'!I94+'Total Distance Tables Sup #2'!E129*'Other Assumptions'!I88*'Other Assumptions'!I94</f>
        <v>122.39672597907094</v>
      </c>
      <c r="F127" s="4">
        <f ca="1">'Total Distance Tables Sup #2'!F127+'Total Distance Tables Sup #2'!F128*'Other Assumptions'!J88*'Other Assumptions'!J94+'Total Distance Tables Sup #2'!F129*'Other Assumptions'!J88*'Other Assumptions'!J94</f>
        <v>127.81613644842552</v>
      </c>
      <c r="G127" s="4">
        <f ca="1">'Total Distance Tables Sup #2'!G127+'Total Distance Tables Sup #2'!G128*'Other Assumptions'!K88*'Other Assumptions'!K94+'Total Distance Tables Sup #2'!G129*'Other Assumptions'!K88*'Other Assumptions'!K94</f>
        <v>135.08462551879714</v>
      </c>
      <c r="H127" s="4">
        <f ca="1">'Total Distance Tables Sup #2'!H127+'Total Distance Tables Sup #2'!H128*'Other Assumptions'!L88*'Other Assumptions'!L94+'Total Distance Tables Sup #2'!H129*'Other Assumptions'!L88*'Other Assumptions'!L94</f>
        <v>142.32944175200359</v>
      </c>
      <c r="I127" s="1">
        <f ca="1">'Total Distance Tables Sup #2'!I127+'Total Distance Tables Sup #2'!I128*'Other Assumptions'!M88*'Other Assumptions'!M94+'Total Distance Tables Sup #2'!I129*'Other Assumptions'!M88*'Other Assumptions'!M94</f>
        <v>146.44172081164336</v>
      </c>
      <c r="J127" s="1">
        <f ca="1">'Total Distance Tables Sup #2'!J127+'Total Distance Tables Sup #2'!J128*'Other Assumptions'!N88*'Other Assumptions'!N94+'Total Distance Tables Sup #2'!J129*'Other Assumptions'!N88*'Other Assumptions'!N94</f>
        <v>150.20215510766911</v>
      </c>
      <c r="K127" s="1">
        <f ca="1">'Total Distance Tables Sup #2'!K127+'Total Distance Tables Sup #2'!K128*'Other Assumptions'!O88*'Other Assumptions'!O94+'Total Distance Tables Sup #2'!K129*'Other Assumptions'!O88*'Other Assumptions'!O94</f>
        <v>153.73705507571208</v>
      </c>
    </row>
    <row r="128" spans="1:11" x14ac:dyDescent="0.2">
      <c r="A128" t="str">
        <f ca="1">OFFSET(Canterbury_Reference,14,2)</f>
        <v>Light Vehicle Driver</v>
      </c>
      <c r="B128" s="4">
        <f ca="1">'Total Distance Tables Sup #2'!B128</f>
        <v>3777.041205</v>
      </c>
      <c r="C128" s="4">
        <f ca="1">'Total Distance Tables Sup #2'!C128*(1-'Other Assumptions'!G17)*(1-'Other Assumptions'!G88)</f>
        <v>4303.8751245061658</v>
      </c>
      <c r="D128" s="4">
        <f ca="1">'Total Distance Tables Sup #2'!D128*(1-'Other Assumptions'!H17)*(1-'Other Assumptions'!H88)</f>
        <v>4650.1832613889947</v>
      </c>
      <c r="E128" s="4">
        <f ca="1">'Total Distance Tables Sup #2'!E128*(1-'Other Assumptions'!I17)*(1-'Other Assumptions'!I88)</f>
        <v>4625.6951947417838</v>
      </c>
      <c r="F128" s="4">
        <f ca="1">'Total Distance Tables Sup #2'!F128*(1-'Other Assumptions'!J17)*(1-'Other Assumptions'!J88)</f>
        <v>4568.1022952198146</v>
      </c>
      <c r="G128" s="4">
        <f ca="1">'Total Distance Tables Sup #2'!G128*(1-'Other Assumptions'!K17)*(1-'Other Assumptions'!K88)</f>
        <v>4455.3852781229716</v>
      </c>
      <c r="H128" s="4">
        <f ca="1">'Total Distance Tables Sup #2'!H128*(1-'Other Assumptions'!L17)*(1-'Other Assumptions'!L88)</f>
        <v>4313.2787920905839</v>
      </c>
      <c r="I128" s="1">
        <f ca="1">'Total Distance Tables Sup #2'!I128*(1-'Other Assumptions'!M17)*(1-'Other Assumptions'!M88)</f>
        <v>4149.1138131235475</v>
      </c>
      <c r="J128" s="1">
        <f ca="1">'Total Distance Tables Sup #2'!J128*(1-'Other Assumptions'!N17)*(1-'Other Assumptions'!N88)</f>
        <v>3960.841422139184</v>
      </c>
      <c r="K128" s="1">
        <f ca="1">'Total Distance Tables Sup #2'!K128*(1-'Other Assumptions'!O17)*(1-'Other Assumptions'!O88)</f>
        <v>3753.7644418577588</v>
      </c>
    </row>
    <row r="129" spans="1:11" x14ac:dyDescent="0.2">
      <c r="A129" t="str">
        <f ca="1">OFFSET(Canterbury_Reference,21,2)</f>
        <v>Light Vehicle Passenger</v>
      </c>
      <c r="B129" s="4">
        <f ca="1">'Total Distance Tables Sup #2'!B129</f>
        <v>2033.7115475000001</v>
      </c>
      <c r="C129" s="4">
        <f ca="1">'Total Distance Tables Sup #2'!C129*(1-'Other Assumptions'!G17)*(1-'Other Assumptions'!G88+'Other Assumptions'!G88*'Other Assumptions'!G91)+'Total Distance Tables Sup #2'!C128*(1-'Other Assumptions'!G17)*'Other Assumptions'!G88*'Other Assumptions'!G91</f>
        <v>2224.0104900290562</v>
      </c>
      <c r="D129" s="4">
        <f ca="1">'Total Distance Tables Sup #2'!D129*(1-'Other Assumptions'!H17)*(1-'Other Assumptions'!H88+'Other Assumptions'!H88*'Other Assumptions'!H91)+'Total Distance Tables Sup #2'!D128*(1-'Other Assumptions'!H17)*'Other Assumptions'!H88*'Other Assumptions'!H91</f>
        <v>2347.3813143181319</v>
      </c>
      <c r="E129" s="4">
        <f ca="1">'Total Distance Tables Sup #2'!E129*(1-'Other Assumptions'!I17)*(1-'Other Assumptions'!I88+'Other Assumptions'!I88*'Other Assumptions'!I91)+'Total Distance Tables Sup #2'!E128*(1-'Other Assumptions'!I17)*'Other Assumptions'!I88*'Other Assumptions'!I91</f>
        <v>2302.9515887737884</v>
      </c>
      <c r="F129" s="4">
        <f ca="1">'Total Distance Tables Sup #2'!F129*(1-'Other Assumptions'!J17)*(1-'Other Assumptions'!J88+'Other Assumptions'!J88*'Other Assumptions'!J91)+'Total Distance Tables Sup #2'!F128*(1-'Other Assumptions'!J17)*'Other Assumptions'!J88*'Other Assumptions'!J91</f>
        <v>2238.9609102943136</v>
      </c>
      <c r="G129" s="4">
        <f ca="1">'Total Distance Tables Sup #2'!G129*(1-'Other Assumptions'!K17)*(1-'Other Assumptions'!K88+'Other Assumptions'!K88*'Other Assumptions'!K91)+'Total Distance Tables Sup #2'!G128*(1-'Other Assumptions'!K17)*'Other Assumptions'!K88*'Other Assumptions'!K91</f>
        <v>2159.6024997274244</v>
      </c>
      <c r="H129" s="4">
        <f ca="1">'Total Distance Tables Sup #2'!H129*(1-'Other Assumptions'!L17)*(1-'Other Assumptions'!L88+'Other Assumptions'!L88*'Other Assumptions'!L91)+'Total Distance Tables Sup #2'!H128*(1-'Other Assumptions'!L17)*'Other Assumptions'!L88*'Other Assumptions'!L91</f>
        <v>2065.5661139905533</v>
      </c>
      <c r="I129" s="1">
        <f ca="1">'Total Distance Tables Sup #2'!I129*(1-'Other Assumptions'!M17)*(1-'Other Assumptions'!M88+'Other Assumptions'!M88*'Other Assumptions'!M91)+'Total Distance Tables Sup #2'!I128*(1-'Other Assumptions'!M17)*'Other Assumptions'!M88*'Other Assumptions'!M91</f>
        <v>1989.140006910608</v>
      </c>
      <c r="J129" s="1">
        <f ca="1">'Total Distance Tables Sup #2'!J129*(1-'Other Assumptions'!N17)*(1-'Other Assumptions'!N88+'Other Assumptions'!N88*'Other Assumptions'!N91)+'Total Distance Tables Sup #2'!J128*(1-'Other Assumptions'!N17)*'Other Assumptions'!N88*'Other Assumptions'!N91</f>
        <v>1900.979618904114</v>
      </c>
      <c r="K129" s="1">
        <f ca="1">'Total Distance Tables Sup #2'!K129*(1-'Other Assumptions'!O17)*(1-'Other Assumptions'!O88+'Other Assumptions'!O88*'Other Assumptions'!O91)+'Total Distance Tables Sup #2'!K128*(1-'Other Assumptions'!O17)*'Other Assumptions'!O88*'Other Assumptions'!O91</f>
        <v>1803.5921305521865</v>
      </c>
    </row>
    <row r="130" spans="1:11" x14ac:dyDescent="0.2">
      <c r="A130" t="str">
        <f ca="1">OFFSET(Canterbury_Reference,28,2)</f>
        <v>Taxi/Vehicle Share</v>
      </c>
      <c r="B130" s="4">
        <f ca="1">'Total Distance Tables Sup #2'!B130</f>
        <v>16.530142167000001</v>
      </c>
      <c r="C130" s="4">
        <f ca="1">'Total Distance Tables Sup #2'!C130+((C128+C129)*'Other Assumptions'!G17/(1-'Other Assumptions'!G17))</f>
        <v>19.628593667867509</v>
      </c>
      <c r="D130" s="4">
        <f ca="1">'Total Distance Tables Sup #2'!D130+((D128+D129)*'Other Assumptions'!H17/(1-'Other Assumptions'!H17))</f>
        <v>22.293800982316228</v>
      </c>
      <c r="E130" s="4">
        <f ca="1">'Total Distance Tables Sup #2'!E130+((E128+E129)*'Other Assumptions'!I17/(1-'Other Assumptions'!I17))</f>
        <v>389.32704011100651</v>
      </c>
      <c r="F130" s="4">
        <f ca="1">'Total Distance Tables Sup #2'!F130+((F128+F129)*'Other Assumptions'!J17/(1-'Other Assumptions'!J17))</f>
        <v>783.19940091977469</v>
      </c>
      <c r="G130" s="4">
        <f ca="1">'Total Distance Tables Sup #2'!G130+((G128+G129)*'Other Assumptions'!K17/(1-'Other Assumptions'!K17))</f>
        <v>1196.0988158538332</v>
      </c>
      <c r="H130" s="4">
        <f ca="1">'Total Distance Tables Sup #2'!H130+((H128+H129)*'Other Assumptions'!L17/(1-'Other Assumptions'!L17))</f>
        <v>1625.3279867048052</v>
      </c>
      <c r="I130" s="1">
        <f ca="1">'Total Distance Tables Sup #2'!I130+((I128+I129)*'Other Assumptions'!M17/(1-'Other Assumptions'!M17))</f>
        <v>2077.4113797333853</v>
      </c>
      <c r="J130" s="1">
        <f ca="1">'Total Distance Tables Sup #2'!J130+((J128+J129)*'Other Assumptions'!N17/(1-'Other Assumptions'!N17))</f>
        <v>2544.1600453278597</v>
      </c>
      <c r="K130" s="1">
        <f ca="1">'Total Distance Tables Sup #2'!K130+((K128+K129)*'Other Assumptions'!O17/(1-'Other Assumptions'!O17))</f>
        <v>3024.9403043547818</v>
      </c>
    </row>
    <row r="131" spans="1:11" x14ac:dyDescent="0.2">
      <c r="A131" t="str">
        <f ca="1">OFFSET(Canterbury_Reference,35,2)</f>
        <v>Motorcyclist</v>
      </c>
      <c r="B131" s="4">
        <f ca="1">'Total Distance Tables Sup #2'!B131</f>
        <v>12.048552727000001</v>
      </c>
      <c r="C131" s="4">
        <f ca="1">'Total Distance Tables Sup #2'!C131</f>
        <v>13.726413029488894</v>
      </c>
      <c r="D131" s="4">
        <f ca="1">'Total Distance Tables Sup #2'!D131</f>
        <v>14.809463764552916</v>
      </c>
      <c r="E131" s="4">
        <f ca="1">'Total Distance Tables Sup #2'!E131</f>
        <v>15.234255452025836</v>
      </c>
      <c r="F131" s="4">
        <f ca="1">'Total Distance Tables Sup #2'!F131</f>
        <v>15.525332425517563</v>
      </c>
      <c r="G131" s="4">
        <f ca="1">'Total Distance Tables Sup #2'!G131</f>
        <v>15.553655290672346</v>
      </c>
      <c r="H131" s="4">
        <f ca="1">'Total Distance Tables Sup #2'!H131</f>
        <v>15.502637559360171</v>
      </c>
      <c r="I131" s="1">
        <f ca="1">'Total Distance Tables Sup #2'!I131</f>
        <v>16.005071334799027</v>
      </c>
      <c r="J131" s="1">
        <f ca="1">'Total Distance Tables Sup #2'!J131</f>
        <v>16.47182439110999</v>
      </c>
      <c r="K131" s="1">
        <f ca="1">'Total Distance Tables Sup #2'!K131</f>
        <v>16.91635653567775</v>
      </c>
    </row>
    <row r="132" spans="1:11" x14ac:dyDescent="0.2">
      <c r="A132" t="str">
        <f ca="1">OFFSET(Canterbury_Reference,42,2)</f>
        <v>Local Train</v>
      </c>
      <c r="B132" s="4">
        <f ca="1">'Total Distance Tables Sup #2'!B132</f>
        <v>0</v>
      </c>
      <c r="C132" s="4">
        <f ca="1">'Total Distance Tables Sup #2'!C132+'Total Distance Tables Sup #2'!C128*'Other Assumptions'!G88*'Other Assumptions'!G93+'Total Distance Tables Sup #2'!C129*'Other Assumptions'!G88*'Other Assumptions'!G93</f>
        <v>0</v>
      </c>
      <c r="D132" s="4">
        <f ca="1">'Total Distance Tables Sup #2'!D132+'Total Distance Tables Sup #2'!D128*'Other Assumptions'!H88*'Other Assumptions'!H93+'Total Distance Tables Sup #2'!D129*'Other Assumptions'!H88*'Other Assumptions'!H93</f>
        <v>0</v>
      </c>
      <c r="E132" s="4">
        <f ca="1">'Total Distance Tables Sup #2'!E132+'Total Distance Tables Sup #2'!E128*'Other Assumptions'!I88*'Other Assumptions'!I93+'Total Distance Tables Sup #2'!E129*'Other Assumptions'!I88*'Other Assumptions'!I93</f>
        <v>0</v>
      </c>
      <c r="F132" s="4">
        <f ca="1">'Total Distance Tables Sup #2'!F132+'Total Distance Tables Sup #2'!F128*'Other Assumptions'!J88*'Other Assumptions'!J93+'Total Distance Tables Sup #2'!F129*'Other Assumptions'!J88*'Other Assumptions'!J93</f>
        <v>0</v>
      </c>
      <c r="G132" s="4">
        <f ca="1">'Total Distance Tables Sup #2'!G132+'Total Distance Tables Sup #2'!G128*'Other Assumptions'!K88*'Other Assumptions'!K93+'Total Distance Tables Sup #2'!G129*'Other Assumptions'!K88*'Other Assumptions'!K93</f>
        <v>0</v>
      </c>
      <c r="H132" s="4">
        <f ca="1">'Total Distance Tables Sup #2'!H132+'Total Distance Tables Sup #2'!H128*'Other Assumptions'!L88*'Other Assumptions'!L93+'Total Distance Tables Sup #2'!H129*'Other Assumptions'!L88*'Other Assumptions'!L93</f>
        <v>0</v>
      </c>
      <c r="I132" s="1">
        <f ca="1">'Total Distance Tables Sup #2'!I132+'Total Distance Tables Sup #2'!I128*'Other Assumptions'!M88*'Other Assumptions'!M93+'Total Distance Tables Sup #2'!I129*'Other Assumptions'!M88*'Other Assumptions'!M93</f>
        <v>0</v>
      </c>
      <c r="J132" s="1">
        <f ca="1">'Total Distance Tables Sup #2'!J132+'Total Distance Tables Sup #2'!J128*'Other Assumptions'!N88*'Other Assumptions'!N93+'Total Distance Tables Sup #2'!J129*'Other Assumptions'!N88*'Other Assumptions'!N93</f>
        <v>0</v>
      </c>
      <c r="K132" s="1">
        <f ca="1">'Total Distance Tables Sup #2'!K132+'Total Distance Tables Sup #2'!K128*'Other Assumptions'!O88*'Other Assumptions'!O93+'Total Distance Tables Sup #2'!K129*'Other Assumptions'!O88*'Other Assumptions'!O93</f>
        <v>0</v>
      </c>
    </row>
    <row r="133" spans="1:11" x14ac:dyDescent="0.2">
      <c r="A133" t="str">
        <f ca="1">OFFSET(Canterbury_Reference,49,2)</f>
        <v>Local Bus</v>
      </c>
      <c r="B133" s="4">
        <f ca="1">'Total Distance Tables Sup #2'!B133</f>
        <v>174.53993166999999</v>
      </c>
      <c r="C133" s="4">
        <f ca="1">'Total Distance Tables Sup #2'!C133+'Total Distance Tables Sup #2'!C128*'Other Assumptions'!G88*'Other Assumptions'!G92+'Total Distance Tables Sup #2'!C129*'Other Assumptions'!G88*'Other Assumptions'!G92</f>
        <v>176.87296327000001</v>
      </c>
      <c r="D133" s="4">
        <f ca="1">'Total Distance Tables Sup #2'!D133+'Total Distance Tables Sup #2'!D128*'Other Assumptions'!H88*'Other Assumptions'!H92+'Total Distance Tables Sup #2'!D129*'Other Assumptions'!H88*'Other Assumptions'!H92</f>
        <v>174.21967068999999</v>
      </c>
      <c r="E133" s="4">
        <f ca="1">'Total Distance Tables Sup #2'!E133+'Total Distance Tables Sup #2'!E128*'Other Assumptions'!I88*'Other Assumptions'!I92+'Total Distance Tables Sup #2'!E129*'Other Assumptions'!I88*'Other Assumptions'!I92</f>
        <v>176.58415210000001</v>
      </c>
      <c r="F133" s="4">
        <f ca="1">'Total Distance Tables Sup #2'!F133+'Total Distance Tables Sup #2'!F128*'Other Assumptions'!J88*'Other Assumptions'!J92+'Total Distance Tables Sup #2'!F129*'Other Assumptions'!J88*'Other Assumptions'!J92</f>
        <v>174.93159184000001</v>
      </c>
      <c r="G133" s="4">
        <f ca="1">'Total Distance Tables Sup #2'!G133+'Total Distance Tables Sup #2'!G128*'Other Assumptions'!K88*'Other Assumptions'!K92+'Total Distance Tables Sup #2'!G129*'Other Assumptions'!K88*'Other Assumptions'!K92</f>
        <v>173.02374889999999</v>
      </c>
      <c r="H133" s="4">
        <f ca="1">'Total Distance Tables Sup #2'!H133+'Total Distance Tables Sup #2'!H128*'Other Assumptions'!L88*'Other Assumptions'!L92+'Total Distance Tables Sup #2'!H129*'Other Assumptions'!L88*'Other Assumptions'!L92</f>
        <v>170.2658198</v>
      </c>
      <c r="I133" s="1">
        <f ca="1">'Total Distance Tables Sup #2'!I133+'Total Distance Tables Sup #2'!I128*'Other Assumptions'!M88*'Other Assumptions'!M92+'Total Distance Tables Sup #2'!I129*'Other Assumptions'!M88*'Other Assumptions'!M92</f>
        <v>170.2658198</v>
      </c>
      <c r="J133" s="1">
        <f ca="1">'Total Distance Tables Sup #2'!J133+'Total Distance Tables Sup #2'!J128*'Other Assumptions'!N88*'Other Assumptions'!N92+'Total Distance Tables Sup #2'!J129*'Other Assumptions'!N88*'Other Assumptions'!N92</f>
        <v>170.2658198</v>
      </c>
      <c r="K133" s="1">
        <f ca="1">'Total Distance Tables Sup #2'!K133+'Total Distance Tables Sup #2'!K128*'Other Assumptions'!O88*'Other Assumptions'!O92+'Total Distance Tables Sup #2'!K129*'Other Assumptions'!O88*'Other Assumptions'!O92</f>
        <v>170.2658198</v>
      </c>
    </row>
    <row r="134" spans="1:11" x14ac:dyDescent="0.2">
      <c r="A134" t="str">
        <f ca="1">OFFSET(Wellington_Reference,56,2)</f>
        <v>Local Ferry</v>
      </c>
      <c r="B134" s="4">
        <v>0</v>
      </c>
      <c r="C134" s="4">
        <f ca="1">'Total Distance Tables Sup #2'!C134</f>
        <v>0</v>
      </c>
      <c r="D134" s="4">
        <f ca="1">'Total Distance Tables Sup #2'!D134</f>
        <v>0</v>
      </c>
      <c r="E134" s="4">
        <f ca="1">'Total Distance Tables Sup #2'!E134</f>
        <v>0</v>
      </c>
      <c r="F134" s="4">
        <f ca="1">'Total Distance Tables Sup #2'!F134</f>
        <v>0</v>
      </c>
      <c r="G134" s="4">
        <f ca="1">'Total Distance Tables Sup #2'!G134</f>
        <v>0</v>
      </c>
      <c r="H134" s="4">
        <f ca="1">'Total Distance Tables Sup #2'!H134</f>
        <v>0</v>
      </c>
      <c r="I134" s="1">
        <f ca="1">'Total Distance Tables Sup #2'!I134</f>
        <v>0</v>
      </c>
      <c r="J134" s="1">
        <f ca="1">'Total Distance Tables Sup #2'!J134</f>
        <v>0</v>
      </c>
      <c r="K134" s="1">
        <f ca="1">'Total Distance Tables Sup #2'!K134</f>
        <v>0</v>
      </c>
    </row>
    <row r="135" spans="1:11" x14ac:dyDescent="0.2">
      <c r="A135" t="str">
        <f ca="1">OFFSET(Canterbury_Reference,56,2)</f>
        <v>Other Household Travel</v>
      </c>
      <c r="B135" s="4">
        <f ca="1">'Total Distance Tables Sup #2'!B135</f>
        <v>0</v>
      </c>
      <c r="C135" s="4">
        <f ca="1">'Total Distance Tables Sup #2'!C135</f>
        <v>0</v>
      </c>
      <c r="D135" s="4">
        <f ca="1">'Total Distance Tables Sup #2'!D135</f>
        <v>0</v>
      </c>
      <c r="E135" s="4">
        <f ca="1">'Total Distance Tables Sup #2'!E135</f>
        <v>0</v>
      </c>
      <c r="F135" s="4">
        <f ca="1">'Total Distance Tables Sup #2'!F135</f>
        <v>0</v>
      </c>
      <c r="G135" s="4">
        <f ca="1">'Total Distance Tables Sup #2'!G135</f>
        <v>0</v>
      </c>
      <c r="H135" s="4">
        <f ca="1">'Total Distance Tables Sup #2'!H135</f>
        <v>0</v>
      </c>
      <c r="I135" s="1">
        <f ca="1">'Total Distance Tables Sup #2'!I135</f>
        <v>0</v>
      </c>
      <c r="J135" s="1">
        <f ca="1">'Total Distance Tables Sup #2'!J135</f>
        <v>0</v>
      </c>
      <c r="K135" s="1">
        <f ca="1">'Total Distance Tables Sup #2'!K135</f>
        <v>0</v>
      </c>
    </row>
    <row r="136" spans="1:11" x14ac:dyDescent="0.2">
      <c r="A136" t="str">
        <f ca="1">OFFSET(Otago_Reference,0,0)</f>
        <v>14 OTAGO</v>
      </c>
      <c r="I136" s="1"/>
      <c r="J136" s="1"/>
      <c r="K136" s="1"/>
    </row>
    <row r="137" spans="1:11" x14ac:dyDescent="0.2">
      <c r="A137" t="str">
        <f ca="1">OFFSET(Otago_Reference,0,2)</f>
        <v>Pedestrian</v>
      </c>
      <c r="B137" s="4">
        <f ca="1">'Total Distance Tables Sup #2'!B137</f>
        <v>45.829100335</v>
      </c>
      <c r="C137" s="4">
        <f ca="1">'Total Distance Tables Sup #2'!C137</f>
        <v>49.200948850688739</v>
      </c>
      <c r="D137" s="4">
        <f ca="1">'Total Distance Tables Sup #2'!D137</f>
        <v>50.914230076065692</v>
      </c>
      <c r="E137" s="4">
        <f ca="1">'Total Distance Tables Sup #2'!E137</f>
        <v>51.801875967196516</v>
      </c>
      <c r="F137" s="4">
        <f ca="1">'Total Distance Tables Sup #2'!F137</f>
        <v>52.217952529123849</v>
      </c>
      <c r="G137" s="4">
        <f ca="1">'Total Distance Tables Sup #2'!G137</f>
        <v>52.572653587394086</v>
      </c>
      <c r="H137" s="4">
        <f ca="1">'Total Distance Tables Sup #2'!H137</f>
        <v>52.711331875643531</v>
      </c>
      <c r="I137" s="1">
        <f ca="1">'Total Distance Tables Sup #2'!I137</f>
        <v>53.174076522993985</v>
      </c>
      <c r="J137" s="1">
        <f ca="1">'Total Distance Tables Sup #2'!J137</f>
        <v>53.470890092033912</v>
      </c>
      <c r="K137" s="1">
        <f ca="1">'Total Distance Tables Sup #2'!K137</f>
        <v>53.654563177809578</v>
      </c>
    </row>
    <row r="138" spans="1:11" x14ac:dyDescent="0.2">
      <c r="A138" t="str">
        <f ca="1">OFFSET(Otago_Reference,7,2)</f>
        <v>Cyclist</v>
      </c>
      <c r="B138" s="4">
        <f ca="1">'Total Distance Tables Sup #2'!B138</f>
        <v>16.325352069000001</v>
      </c>
      <c r="C138" s="4">
        <f ca="1">'Total Distance Tables Sup #2'!C138</f>
        <v>18.155860714249538</v>
      </c>
      <c r="D138" s="4">
        <f ca="1">'Total Distance Tables Sup #2'!D138</f>
        <v>19.077243156499492</v>
      </c>
      <c r="E138" s="4">
        <f ca="1">'Total Distance Tables Sup #2'!E138</f>
        <v>19.40791298157994</v>
      </c>
      <c r="F138" s="4">
        <f ca="1">'Total Distance Tables Sup #2'!F138</f>
        <v>19.947667677323121</v>
      </c>
      <c r="G138" s="4">
        <f ca="1">'Total Distance Tables Sup #2'!G138</f>
        <v>20.762287971307202</v>
      </c>
      <c r="H138" s="4">
        <f ca="1">'Total Distance Tables Sup #2'!H138</f>
        <v>21.548922068725322</v>
      </c>
      <c r="I138" s="1">
        <f ca="1">'Total Distance Tables Sup #2'!I138</f>
        <v>21.840226876540235</v>
      </c>
      <c r="J138" s="1">
        <f ca="1">'Total Distance Tables Sup #2'!J138</f>
        <v>22.066324644162258</v>
      </c>
      <c r="K138" s="1">
        <f ca="1">'Total Distance Tables Sup #2'!K138</f>
        <v>22.24815053310763</v>
      </c>
    </row>
    <row r="139" spans="1:11" x14ac:dyDescent="0.2">
      <c r="A139" t="str">
        <f ca="1">OFFSET(Otago_Reference,14,2)</f>
        <v>Light Vehicle Driver</v>
      </c>
      <c r="B139" s="4">
        <f ca="1">'Total Distance Tables Sup #2'!B139</f>
        <v>1192.1699989000001</v>
      </c>
      <c r="C139" s="4">
        <f ca="1">'Total Distance Tables Sup #2'!C139*(1-'Other Assumptions'!G18)</f>
        <v>1326.9158294201511</v>
      </c>
      <c r="D139" s="4">
        <f ca="1">'Total Distance Tables Sup #2'!D139*(1-'Other Assumptions'!H18)</f>
        <v>1405.9517622448946</v>
      </c>
      <c r="E139" s="4">
        <f ca="1">'Total Distance Tables Sup #2'!E139*(1-'Other Assumptions'!I18)</f>
        <v>1375.8999131901842</v>
      </c>
      <c r="F139" s="4">
        <f ca="1">'Total Distance Tables Sup #2'!F139*(1-'Other Assumptions'!J18)</f>
        <v>1337.343758317917</v>
      </c>
      <c r="G139" s="4">
        <f ca="1">'Total Distance Tables Sup #2'!G139*(1-'Other Assumptions'!K18)</f>
        <v>1284.5628223047361</v>
      </c>
      <c r="H139" s="4">
        <f ca="1">'Total Distance Tables Sup #2'!H139*(1-'Other Assumptions'!L18)</f>
        <v>1225.0085797935633</v>
      </c>
      <c r="I139" s="1">
        <f ca="1">'Total Distance Tables Sup #2'!I139*(1-'Other Assumptions'!M18)</f>
        <v>1160.7761221020037</v>
      </c>
      <c r="J139" s="1">
        <f ca="1">'Total Distance Tables Sup #2'!J139*(1-'Other Assumptions'!N18)</f>
        <v>1091.5461202686454</v>
      </c>
      <c r="K139" s="1">
        <f ca="1">'Total Distance Tables Sup #2'!K139*(1-'Other Assumptions'!O18)</f>
        <v>1019.0210811487226</v>
      </c>
    </row>
    <row r="140" spans="1:11" x14ac:dyDescent="0.2">
      <c r="A140" t="str">
        <f ca="1">OFFSET(Otago_Reference,21,2)</f>
        <v>Light Vehicle Passenger</v>
      </c>
      <c r="B140" s="4">
        <f ca="1">'Total Distance Tables Sup #2'!B140</f>
        <v>849.31688999999994</v>
      </c>
      <c r="C140" s="4">
        <f ca="1">'Total Distance Tables Sup #2'!C140*(1-'Other Assumptions'!G18)</f>
        <v>907.22390425171136</v>
      </c>
      <c r="D140" s="4">
        <f ca="1">'Total Distance Tables Sup #2'!D140*(1-'Other Assumptions'!H18)</f>
        <v>939.02668788620736</v>
      </c>
      <c r="E140" s="4">
        <f ca="1">'Total Distance Tables Sup #2'!E140*(1-'Other Assumptions'!I18)</f>
        <v>906.3346425510905</v>
      </c>
      <c r="F140" s="4">
        <f ca="1">'Total Distance Tables Sup #2'!F140*(1-'Other Assumptions'!J18)</f>
        <v>867.25674491482198</v>
      </c>
      <c r="G140" s="4">
        <f ca="1">'Total Distance Tables Sup #2'!G140*(1-'Other Assumptions'!K18)</f>
        <v>823.83045919940366</v>
      </c>
      <c r="H140" s="4">
        <f ca="1">'Total Distance Tables Sup #2'!H140*(1-'Other Assumptions'!L18)</f>
        <v>776.18391961077714</v>
      </c>
      <c r="I140" s="1">
        <f ca="1">'Total Distance Tables Sup #2'!I140*(1-'Other Assumptions'!M18)</f>
        <v>736.2959480432869</v>
      </c>
      <c r="J140" s="1">
        <f ca="1">'Total Distance Tables Sup #2'!J140*(1-'Other Assumptions'!N18)</f>
        <v>693.14809856433078</v>
      </c>
      <c r="K140" s="1">
        <f ca="1">'Total Distance Tables Sup #2'!K140*(1-'Other Assumptions'!O18)</f>
        <v>647.81115884131884</v>
      </c>
    </row>
    <row r="141" spans="1:11" x14ac:dyDescent="0.2">
      <c r="A141" t="str">
        <f ca="1">OFFSET(Otago_Reference,28,2)</f>
        <v>Taxi/Vehicle Share</v>
      </c>
      <c r="B141" s="4">
        <f ca="1">'Total Distance Tables Sup #2'!B141</f>
        <v>7.2892681777000004</v>
      </c>
      <c r="C141" s="4">
        <f ca="1">'Total Distance Tables Sup #2'!C141+((C139+C140)*'Other Assumptions'!G18/(1-'Other Assumptions'!G18))</f>
        <v>8.4546137548543605</v>
      </c>
      <c r="D141" s="4">
        <f ca="1">'Total Distance Tables Sup #2'!D141+((D139+D140)*'Other Assumptions'!H18/(1-'Other Assumptions'!H18))</f>
        <v>9.4168433445800002</v>
      </c>
      <c r="E141" s="4">
        <f ca="1">'Total Distance Tables Sup #2'!E141+((E139+E140)*'Other Assumptions'!I18/(1-'Other Assumptions'!I18))</f>
        <v>130.365836304986</v>
      </c>
      <c r="F141" s="4">
        <f ca="1">'Total Distance Tables Sup #2'!F141+((F139+F140)*'Other Assumptions'!J18/(1-'Other Assumptions'!J18))</f>
        <v>255.94108219905624</v>
      </c>
      <c r="G141" s="4">
        <f ca="1">'Total Distance Tables Sup #2'!G141+((G139+G140)*'Other Assumptions'!K18/(1-'Other Assumptions'!K18))</f>
        <v>383.64914958359424</v>
      </c>
      <c r="H141" s="4">
        <f ca="1">'Total Distance Tables Sup #2'!H141+((H139+H140)*'Other Assumptions'!L18/(1-'Other Assumptions'!L18))</f>
        <v>512.446318519177</v>
      </c>
      <c r="I141" s="1">
        <f ca="1">'Total Distance Tables Sup #2'!I141+((I139+I140)*'Other Assumptions'!M18/(1-'Other Assumptions'!M18))</f>
        <v>644.6015352262441</v>
      </c>
      <c r="J141" s="1">
        <f ca="1">'Total Distance Tables Sup #2'!J141+((J139+J140)*'Other Assumptions'!N18/(1-'Other Assumptions'!N18))</f>
        <v>777.17051524003955</v>
      </c>
      <c r="K141" s="1">
        <f ca="1">'Total Distance Tables Sup #2'!K141+((K139+K140)*'Other Assumptions'!O18/(1-'Other Assumptions'!O18))</f>
        <v>909.85765207057284</v>
      </c>
    </row>
    <row r="142" spans="1:11" x14ac:dyDescent="0.2">
      <c r="A142" t="str">
        <f ca="1">OFFSET(Otago_Reference,35,2)</f>
        <v>Motorcyclist</v>
      </c>
      <c r="B142" s="4">
        <f ca="1">'Total Distance Tables Sup #2'!B142</f>
        <v>18.503357486999999</v>
      </c>
      <c r="C142" s="4">
        <f ca="1">'Total Distance Tables Sup #2'!C142</f>
        <v>20.590645753018464</v>
      </c>
      <c r="D142" s="4">
        <f ca="1">'Total Distance Tables Sup #2'!D142</f>
        <v>21.785567446956744</v>
      </c>
      <c r="E142" s="4">
        <f ca="1">'Total Distance Tables Sup #2'!E142</f>
        <v>22.047545932302061</v>
      </c>
      <c r="F142" s="4">
        <f ca="1">'Total Distance Tables Sup #2'!F142</f>
        <v>22.114510639393984</v>
      </c>
      <c r="G142" s="4">
        <f ca="1">'Total Distance Tables Sup #2'!G142</f>
        <v>21.818844333276861</v>
      </c>
      <c r="H142" s="4">
        <f ca="1">'Total Distance Tables Sup #2'!H142</f>
        <v>21.422314220863498</v>
      </c>
      <c r="I142" s="1">
        <f ca="1">'Total Distance Tables Sup #2'!I142</f>
        <v>21.786121587151403</v>
      </c>
      <c r="J142" s="1">
        <f ca="1">'Total Distance Tables Sup #2'!J142</f>
        <v>22.086430339713825</v>
      </c>
      <c r="K142" s="1">
        <f ca="1">'Total Distance Tables Sup #2'!K142</f>
        <v>22.343549873447056</v>
      </c>
    </row>
    <row r="143" spans="1:11" x14ac:dyDescent="0.2">
      <c r="A143" t="str">
        <f ca="1">OFFSET(Canterbury_Reference,42,2)</f>
        <v>Local Train</v>
      </c>
      <c r="B143" s="4">
        <f ca="1">'Total Distance Tables Sup #2'!B143</f>
        <v>0</v>
      </c>
      <c r="C143" s="4">
        <f ca="1">'Total Distance Tables Sup #2'!C143</f>
        <v>0</v>
      </c>
      <c r="D143" s="4">
        <f ca="1">'Total Distance Tables Sup #2'!D143</f>
        <v>0</v>
      </c>
      <c r="E143" s="4">
        <f ca="1">'Total Distance Tables Sup #2'!E143</f>
        <v>0</v>
      </c>
      <c r="F143" s="4">
        <f ca="1">'Total Distance Tables Sup #2'!F143</f>
        <v>0</v>
      </c>
      <c r="G143" s="4">
        <f ca="1">'Total Distance Tables Sup #2'!G143</f>
        <v>0</v>
      </c>
      <c r="H143" s="4">
        <f ca="1">'Total Distance Tables Sup #2'!H143</f>
        <v>0</v>
      </c>
      <c r="I143" s="1">
        <f ca="1">'Total Distance Tables Sup #2'!I143</f>
        <v>0</v>
      </c>
      <c r="J143" s="1">
        <f ca="1">'Total Distance Tables Sup #2'!J143</f>
        <v>0</v>
      </c>
      <c r="K143" s="1">
        <f ca="1">'Total Distance Tables Sup #2'!K143</f>
        <v>0</v>
      </c>
    </row>
    <row r="144" spans="1:11" x14ac:dyDescent="0.2">
      <c r="A144" t="str">
        <f ca="1">OFFSET(Otago_Reference,42,2)</f>
        <v>Local Bus</v>
      </c>
      <c r="B144" s="4">
        <f ca="1">'Total Distance Tables Sup #2'!B144</f>
        <v>27.157477096000001</v>
      </c>
      <c r="C144" s="4">
        <f ca="1">'Total Distance Tables Sup #2'!C144</f>
        <v>26.878581943582802</v>
      </c>
      <c r="D144" s="4">
        <f ca="1">'Total Distance Tables Sup #2'!D144</f>
        <v>26.538288804301136</v>
      </c>
      <c r="E144" s="4">
        <f ca="1">'Total Distance Tables Sup #2'!E144</f>
        <v>26.130382158901256</v>
      </c>
      <c r="F144" s="4">
        <f ca="1">'Total Distance Tables Sup #2'!F144</f>
        <v>25.356784476800208</v>
      </c>
      <c r="G144" s="4">
        <f ca="1">'Total Distance Tables Sup #2'!G144</f>
        <v>24.908587745977144</v>
      </c>
      <c r="H144" s="4">
        <f ca="1">'Total Distance Tables Sup #2'!H144</f>
        <v>24.359585264764888</v>
      </c>
      <c r="I144" s="1">
        <f ca="1">'Total Distance Tables Sup #2'!I144</f>
        <v>24.650861682691598</v>
      </c>
      <c r="J144" s="1">
        <f ca="1">'Total Distance Tables Sup #2'!J144</f>
        <v>24.86618008790423</v>
      </c>
      <c r="K144" s="1">
        <f ca="1">'Total Distance Tables Sup #2'!K144</f>
        <v>25.029430072564445</v>
      </c>
    </row>
    <row r="145" spans="1:11" x14ac:dyDescent="0.2">
      <c r="A145" t="str">
        <f ca="1">OFFSET(Wellington_Reference,56,2)</f>
        <v>Local Ferry</v>
      </c>
      <c r="B145" s="4">
        <f>'Total Distance Tables Sup #2'!B145</f>
        <v>0</v>
      </c>
      <c r="C145" s="4">
        <f ca="1">'Total Distance Tables Sup #2'!C145</f>
        <v>0</v>
      </c>
      <c r="D145" s="4">
        <f ca="1">'Total Distance Tables Sup #2'!D145</f>
        <v>0</v>
      </c>
      <c r="E145" s="4">
        <f ca="1">'Total Distance Tables Sup #2'!E145</f>
        <v>0</v>
      </c>
      <c r="F145" s="4">
        <f ca="1">'Total Distance Tables Sup #2'!F145</f>
        <v>0</v>
      </c>
      <c r="G145" s="4">
        <f ca="1">'Total Distance Tables Sup #2'!G145</f>
        <v>0</v>
      </c>
      <c r="H145" s="4">
        <f ca="1">'Total Distance Tables Sup #2'!H145</f>
        <v>0</v>
      </c>
      <c r="I145" s="1">
        <f ca="1">'Total Distance Tables Sup #2'!I145</f>
        <v>0</v>
      </c>
      <c r="J145" s="1">
        <f ca="1">'Total Distance Tables Sup #2'!J145</f>
        <v>0</v>
      </c>
      <c r="K145" s="1">
        <f ca="1">'Total Distance Tables Sup #2'!K145</f>
        <v>0</v>
      </c>
    </row>
    <row r="146" spans="1:11" x14ac:dyDescent="0.2">
      <c r="A146" t="str">
        <f ca="1">OFFSET(Otago_Reference,49,2)</f>
        <v>Other Household Travel</v>
      </c>
      <c r="B146" s="4">
        <f ca="1">'Total Distance Tables Sup #2'!B146</f>
        <v>0</v>
      </c>
      <c r="C146" s="4">
        <f ca="1">'Total Distance Tables Sup #2'!C146</f>
        <v>0</v>
      </c>
      <c r="D146" s="4">
        <f ca="1">'Total Distance Tables Sup #2'!D146</f>
        <v>0</v>
      </c>
      <c r="E146" s="4">
        <f ca="1">'Total Distance Tables Sup #2'!E146</f>
        <v>0</v>
      </c>
      <c r="F146" s="4">
        <f ca="1">'Total Distance Tables Sup #2'!F146</f>
        <v>0</v>
      </c>
      <c r="G146" s="4">
        <f ca="1">'Total Distance Tables Sup #2'!G146</f>
        <v>0</v>
      </c>
      <c r="H146" s="4">
        <f ca="1">'Total Distance Tables Sup #2'!H146</f>
        <v>0</v>
      </c>
      <c r="I146" s="1">
        <f ca="1">'Total Distance Tables Sup #2'!I146</f>
        <v>0</v>
      </c>
      <c r="J146" s="1">
        <f ca="1">'Total Distance Tables Sup #2'!J146</f>
        <v>0</v>
      </c>
      <c r="K146" s="1">
        <f ca="1">'Total Distance Tables Sup #2'!K146</f>
        <v>0</v>
      </c>
    </row>
    <row r="147" spans="1:11" x14ac:dyDescent="0.2">
      <c r="A147" t="str">
        <f ca="1">OFFSET(Southland_Reference,0,0)</f>
        <v>15 SOUTHLAND</v>
      </c>
      <c r="I147" s="1"/>
      <c r="J147" s="1"/>
      <c r="K147" s="1"/>
    </row>
    <row r="148" spans="1:11" x14ac:dyDescent="0.2">
      <c r="A148" t="str">
        <f ca="1">OFFSET(Southland_Reference,0,2)</f>
        <v>Pedestrian</v>
      </c>
      <c r="B148" s="4">
        <f ca="1">'Total Distance Tables Sup #2'!B148</f>
        <v>8.8466785109000003</v>
      </c>
      <c r="C148" s="4">
        <f ca="1">'Total Distance Tables Sup #2'!C148</f>
        <v>9.0752665102100405</v>
      </c>
      <c r="D148" s="4">
        <f ca="1">'Total Distance Tables Sup #2'!D148</f>
        <v>9.0669126140857319</v>
      </c>
      <c r="E148" s="4">
        <f ca="1">'Total Distance Tables Sup #2'!E148</f>
        <v>9.015127366944597</v>
      </c>
      <c r="F148" s="4">
        <f ca="1">'Total Distance Tables Sup #2'!F148</f>
        <v>8.8825830157754844</v>
      </c>
      <c r="G148" s="4">
        <f ca="1">'Total Distance Tables Sup #2'!G148</f>
        <v>8.7347973027414607</v>
      </c>
      <c r="H148" s="4">
        <f ca="1">'Total Distance Tables Sup #2'!H148</f>
        <v>8.5551529980132663</v>
      </c>
      <c r="I148" s="1">
        <f ca="1">'Total Distance Tables Sup #2'!I148</f>
        <v>8.4305247012136775</v>
      </c>
      <c r="J148" s="1">
        <f ca="1">'Total Distance Tables Sup #2'!J148</f>
        <v>8.2813839550152402</v>
      </c>
      <c r="K148" s="1">
        <f ca="1">'Total Distance Tables Sup #2'!K148</f>
        <v>8.1175136677483479</v>
      </c>
    </row>
    <row r="149" spans="1:11" x14ac:dyDescent="0.2">
      <c r="A149" t="str">
        <f ca="1">OFFSET(Southland_Reference,7,2)</f>
        <v>Cyclist</v>
      </c>
      <c r="B149" s="4">
        <f ca="1">'Total Distance Tables Sup #2'!B149</f>
        <v>7.5402861329000004</v>
      </c>
      <c r="C149" s="4">
        <f ca="1">'Total Distance Tables Sup #2'!C149</f>
        <v>8.0128886686088627</v>
      </c>
      <c r="D149" s="4">
        <f ca="1">'Total Distance Tables Sup #2'!D149</f>
        <v>8.1287210726334074</v>
      </c>
      <c r="E149" s="4">
        <f ca="1">'Total Distance Tables Sup #2'!E149</f>
        <v>8.081492467587104</v>
      </c>
      <c r="F149" s="4">
        <f ca="1">'Total Distance Tables Sup #2'!F149</f>
        <v>8.1189135549570519</v>
      </c>
      <c r="G149" s="4">
        <f ca="1">'Total Distance Tables Sup #2'!G149</f>
        <v>8.2538106254946868</v>
      </c>
      <c r="H149" s="4">
        <f ca="1">'Total Distance Tables Sup #2'!H149</f>
        <v>8.3682702758314633</v>
      </c>
      <c r="I149" s="1">
        <f ca="1">'Total Distance Tables Sup #2'!I149</f>
        <v>8.2851075702501671</v>
      </c>
      <c r="J149" s="1">
        <f ca="1">'Total Distance Tables Sup #2'!J149</f>
        <v>8.1771481717551495</v>
      </c>
      <c r="K149" s="1">
        <f ca="1">'Total Distance Tables Sup #2'!K149</f>
        <v>8.053722036113502</v>
      </c>
    </row>
    <row r="150" spans="1:11" x14ac:dyDescent="0.2">
      <c r="A150" t="str">
        <f ca="1">OFFSET(Southland_Reference,14,2)</f>
        <v>Light Vehicle Driver</v>
      </c>
      <c r="B150" s="4">
        <f ca="1">'Total Distance Tables Sup #2'!B150</f>
        <v>657.74873722999996</v>
      </c>
      <c r="C150" s="4">
        <f ca="1">'Total Distance Tables Sup #2'!C150*(1-'Other Assumptions'!G19)</f>
        <v>699.53944046746972</v>
      </c>
      <c r="D150" s="4">
        <f ca="1">'Total Distance Tables Sup #2'!D150*(1-'Other Assumptions'!H19)</f>
        <v>715.60536958429316</v>
      </c>
      <c r="E150" s="4">
        <f ca="1">'Total Distance Tables Sup #2'!E150*(1-'Other Assumptions'!I19)</f>
        <v>684.378162443919</v>
      </c>
      <c r="F150" s="4">
        <f ca="1">'Total Distance Tables Sup #2'!F150*(1-'Other Assumptions'!J19)</f>
        <v>650.19767466821463</v>
      </c>
      <c r="G150" s="4">
        <f ca="1">'Total Distance Tables Sup #2'!G150*(1-'Other Assumptions'!K19)</f>
        <v>610.00192053134595</v>
      </c>
      <c r="H150" s="4">
        <f ca="1">'Total Distance Tables Sup #2'!H150*(1-'Other Assumptions'!L19)</f>
        <v>568.25837135413246</v>
      </c>
      <c r="I150" s="1">
        <f ca="1">'Total Distance Tables Sup #2'!I150*(1-'Other Assumptions'!M19)</f>
        <v>526.00035311421527</v>
      </c>
      <c r="J150" s="1">
        <f ca="1">'Total Distance Tables Sup #2'!J150*(1-'Other Assumptions'!N19)</f>
        <v>483.18174540859769</v>
      </c>
      <c r="K150" s="1">
        <f ca="1">'Total Distance Tables Sup #2'!K150*(1-'Other Assumptions'!O19)</f>
        <v>440.63851465856482</v>
      </c>
    </row>
    <row r="151" spans="1:11" x14ac:dyDescent="0.2">
      <c r="A151" t="str">
        <f ca="1">OFFSET(Southland_Reference,21,2)</f>
        <v>Light Vehicle Passenger</v>
      </c>
      <c r="B151" s="4">
        <f ca="1">'Total Distance Tables Sup #2'!B151</f>
        <v>380.70733008000002</v>
      </c>
      <c r="C151" s="4">
        <f ca="1">'Total Distance Tables Sup #2'!C151*(1-'Other Assumptions'!G19)</f>
        <v>388.5822499920219</v>
      </c>
      <c r="D151" s="4">
        <f ca="1">'Total Distance Tables Sup #2'!D151*(1-'Other Assumptions'!H19)</f>
        <v>388.31194404787141</v>
      </c>
      <c r="E151" s="4">
        <f ca="1">'Total Distance Tables Sup #2'!E151*(1-'Other Assumptions'!I19)</f>
        <v>366.26677444809883</v>
      </c>
      <c r="F151" s="4">
        <f ca="1">'Total Distance Tables Sup #2'!F151*(1-'Other Assumptions'!J19)</f>
        <v>342.57028308435463</v>
      </c>
      <c r="G151" s="4">
        <f ca="1">'Total Distance Tables Sup #2'!G151*(1-'Other Assumptions'!K19)</f>
        <v>317.84350574172629</v>
      </c>
      <c r="H151" s="4">
        <f ca="1">'Total Distance Tables Sup #2'!H151*(1-'Other Assumptions'!L19)</f>
        <v>292.53039425119812</v>
      </c>
      <c r="I151" s="1">
        <f ca="1">'Total Distance Tables Sup #2'!I151*(1-'Other Assumptions'!M19)</f>
        <v>271.07509827511927</v>
      </c>
      <c r="J151" s="1">
        <f ca="1">'Total Distance Tables Sup #2'!J151*(1-'Other Assumptions'!N19)</f>
        <v>249.28382949936938</v>
      </c>
      <c r="K151" s="1">
        <f ca="1">'Total Distance Tables Sup #2'!K151*(1-'Other Assumptions'!O19)</f>
        <v>227.58694920473772</v>
      </c>
    </row>
    <row r="152" spans="1:11" x14ac:dyDescent="0.2">
      <c r="A152" t="str">
        <f ca="1">OFFSET(Southland_Reference,28,2)</f>
        <v>Taxi/Vehicle Share</v>
      </c>
      <c r="B152" s="4">
        <f ca="1">'Total Distance Tables Sup #2'!B152</f>
        <v>1.2430116738999999</v>
      </c>
      <c r="C152" s="4">
        <f ca="1">'Total Distance Tables Sup #2'!C152+((C150+C151)*'Other Assumptions'!G19/(1-'Other Assumptions'!G19))</f>
        <v>1.3776282709032792</v>
      </c>
      <c r="D152" s="4">
        <f ca="1">'Total Distance Tables Sup #2'!D152+((D150+D151)*'Other Assumptions'!H19/(1-'Other Assumptions'!H19))</f>
        <v>1.4814191703395134</v>
      </c>
      <c r="E152" s="4">
        <f ca="1">'Total Distance Tables Sup #2'!E152+((E150+E151)*'Other Assumptions'!I19/(1-'Other Assumptions'!I19))</f>
        <v>56.872635028727352</v>
      </c>
      <c r="F152" s="4">
        <f ca="1">'Total Distance Tables Sup #2'!F152+((F150+F151)*'Other Assumptions'!J19/(1-'Other Assumptions'!J19))</f>
        <v>111.95833570387855</v>
      </c>
      <c r="G152" s="4">
        <f ca="1">'Total Distance Tables Sup #2'!G152+((G150+G151)*'Other Assumptions'!K19/(1-'Other Assumptions'!K19))</f>
        <v>165.43701895084766</v>
      </c>
      <c r="H152" s="4">
        <f ca="1">'Total Distance Tables Sup #2'!H152+((H150+H151)*'Other Assumptions'!L19/(1-'Other Assumptions'!L19))</f>
        <v>216.93894959863078</v>
      </c>
      <c r="I152" s="1">
        <f ca="1">'Total Distance Tables Sup #2'!I152+((I150+I151)*'Other Assumptions'!M19/(1-'Other Assumptions'!M19))</f>
        <v>267.40670870577242</v>
      </c>
      <c r="J152" s="1">
        <f ca="1">'Total Distance Tables Sup #2'!J152+((J150+J151)*'Other Assumptions'!N19/(1-'Other Assumptions'!N19))</f>
        <v>315.59687245111155</v>
      </c>
      <c r="K152" s="1">
        <f ca="1">'Total Distance Tables Sup #2'!K152+((K150+K151)*'Other Assumptions'!O19/(1-'Other Assumptions'!O19))</f>
        <v>361.46196238696069</v>
      </c>
    </row>
    <row r="153" spans="1:11" x14ac:dyDescent="0.2">
      <c r="A153" t="str">
        <f ca="1">OFFSET(Southland_Reference,35,2)</f>
        <v>Motorcyclist</v>
      </c>
      <c r="B153" s="4">
        <f ca="1">'Total Distance Tables Sup #2'!B153</f>
        <v>18.926640866</v>
      </c>
      <c r="C153" s="4">
        <f ca="1">'Total Distance Tables Sup #2'!C153</f>
        <v>20.125188865973378</v>
      </c>
      <c r="D153" s="4">
        <f ca="1">'Total Distance Tables Sup #2'!D153</f>
        <v>20.557637994451039</v>
      </c>
      <c r="E153" s="4">
        <f ca="1">'Total Distance Tables Sup #2'!E153</f>
        <v>20.331560991802242</v>
      </c>
      <c r="F153" s="4">
        <f ca="1">'Total Distance Tables Sup #2'!F153</f>
        <v>19.933375956174082</v>
      </c>
      <c r="G153" s="4">
        <f ca="1">'Total Distance Tables Sup #2'!G153</f>
        <v>19.209177301244821</v>
      </c>
      <c r="H153" s="4">
        <f ca="1">'Total Distance Tables Sup #2'!H153</f>
        <v>18.423590183087583</v>
      </c>
      <c r="I153" s="1">
        <f ca="1">'Total Distance Tables Sup #2'!I153</f>
        <v>18.302847470227114</v>
      </c>
      <c r="J153" s="1">
        <f ca="1">'Total Distance Tables Sup #2'!J153</f>
        <v>18.125714090962592</v>
      </c>
      <c r="K153" s="1">
        <f ca="1">'Total Distance Tables Sup #2'!K153</f>
        <v>17.912352495563635</v>
      </c>
    </row>
    <row r="154" spans="1:11" x14ac:dyDescent="0.2">
      <c r="A154" t="str">
        <f ca="1">OFFSET(Canterbury_Reference,42,2)</f>
        <v>Local Train</v>
      </c>
      <c r="B154" s="4">
        <f ca="1">'Total Distance Tables Sup #2'!B154</f>
        <v>0</v>
      </c>
      <c r="C154" s="4">
        <f ca="1">'Total Distance Tables Sup #2'!C154</f>
        <v>0</v>
      </c>
      <c r="D154" s="4">
        <f ca="1">'Total Distance Tables Sup #2'!D154</f>
        <v>0</v>
      </c>
      <c r="E154" s="4">
        <f ca="1">'Total Distance Tables Sup #2'!E154</f>
        <v>0</v>
      </c>
      <c r="F154" s="4">
        <f ca="1">'Total Distance Tables Sup #2'!F154</f>
        <v>0</v>
      </c>
      <c r="G154" s="4">
        <f ca="1">'Total Distance Tables Sup #2'!G154</f>
        <v>0</v>
      </c>
      <c r="H154" s="4">
        <f ca="1">'Total Distance Tables Sup #2'!H154</f>
        <v>0</v>
      </c>
      <c r="I154" s="1">
        <f ca="1">'Total Distance Tables Sup #2'!I154</f>
        <v>0</v>
      </c>
      <c r="J154" s="1">
        <f ca="1">'Total Distance Tables Sup #2'!J154</f>
        <v>0</v>
      </c>
      <c r="K154" s="1">
        <f ca="1">'Total Distance Tables Sup #2'!K154</f>
        <v>0</v>
      </c>
    </row>
    <row r="155" spans="1:11" x14ac:dyDescent="0.2">
      <c r="A155" t="str">
        <f ca="1">OFFSET(Southland_Reference,42,2)</f>
        <v>Local Bus</v>
      </c>
      <c r="B155" s="4">
        <f ca="1">'Total Distance Tables Sup #2'!B155</f>
        <v>30.182609224</v>
      </c>
      <c r="C155" s="4">
        <f ca="1">'Total Distance Tables Sup #2'!C155</f>
        <v>28.544386116197241</v>
      </c>
      <c r="D155" s="4">
        <f ca="1">'Total Distance Tables Sup #2'!D155</f>
        <v>27.209565754205244</v>
      </c>
      <c r="E155" s="4">
        <f ca="1">'Total Distance Tables Sup #2'!E155</f>
        <v>26.181865411486264</v>
      </c>
      <c r="F155" s="4">
        <f ca="1">'Total Distance Tables Sup #2'!F155</f>
        <v>24.833736045864828</v>
      </c>
      <c r="G155" s="4">
        <f ca="1">'Total Distance Tables Sup #2'!G155</f>
        <v>23.827061358023183</v>
      </c>
      <c r="H155" s="4">
        <f ca="1">'Total Distance Tables Sup #2'!H155</f>
        <v>22.762613605908872</v>
      </c>
      <c r="I155" s="1">
        <f ca="1">'Total Distance Tables Sup #2'!I155</f>
        <v>22.501693216349377</v>
      </c>
      <c r="J155" s="1">
        <f ca="1">'Total Distance Tables Sup #2'!J155</f>
        <v>22.172926996927956</v>
      </c>
      <c r="K155" s="1">
        <f ca="1">'Total Distance Tables Sup #2'!K155</f>
        <v>21.801971684335395</v>
      </c>
    </row>
    <row r="156" spans="1:11" x14ac:dyDescent="0.2">
      <c r="A156" t="str">
        <f ca="1">OFFSET(Wellington_Reference,56,2)</f>
        <v>Local Ferry</v>
      </c>
      <c r="B156" s="4">
        <f>'Total Distance Tables Sup #2'!B156</f>
        <v>0</v>
      </c>
      <c r="C156" s="4">
        <f ca="1">'Total Distance Tables Sup #2'!C156</f>
        <v>0</v>
      </c>
      <c r="D156" s="4">
        <f ca="1">'Total Distance Tables Sup #2'!D156</f>
        <v>0</v>
      </c>
      <c r="E156" s="4">
        <f ca="1">'Total Distance Tables Sup #2'!E156</f>
        <v>0</v>
      </c>
      <c r="F156" s="4">
        <f ca="1">'Total Distance Tables Sup #2'!F156</f>
        <v>0</v>
      </c>
      <c r="G156" s="4">
        <f ca="1">'Total Distance Tables Sup #2'!G156</f>
        <v>0</v>
      </c>
      <c r="H156" s="4">
        <f ca="1">'Total Distance Tables Sup #2'!H156</f>
        <v>0</v>
      </c>
      <c r="I156" s="1">
        <f ca="1">'Total Distance Tables Sup #2'!I156</f>
        <v>0</v>
      </c>
      <c r="J156" s="1">
        <f ca="1">'Total Distance Tables Sup #2'!J156</f>
        <v>0</v>
      </c>
      <c r="K156" s="1">
        <f ca="1">'Total Distance Tables Sup #2'!K156</f>
        <v>0</v>
      </c>
    </row>
    <row r="157" spans="1:11" x14ac:dyDescent="0.2">
      <c r="A157" t="str">
        <f ca="1">OFFSET(Southland_Reference,49,2)</f>
        <v>Other Household Travel</v>
      </c>
      <c r="B157" s="4">
        <f ca="1">'Total Distance Tables Sup #2'!B157</f>
        <v>0</v>
      </c>
      <c r="C157" s="4">
        <f ca="1">'Total Distance Tables Sup #2'!C157</f>
        <v>0</v>
      </c>
      <c r="D157" s="4">
        <f ca="1">'Total Distance Tables Sup #2'!D157</f>
        <v>0</v>
      </c>
      <c r="E157" s="4">
        <f ca="1">'Total Distance Tables Sup #2'!E157</f>
        <v>0</v>
      </c>
      <c r="F157" s="4">
        <f ca="1">'Total Distance Tables Sup #2'!F157</f>
        <v>0</v>
      </c>
      <c r="G157" s="4">
        <f ca="1">'Total Distance Tables Sup #2'!G157</f>
        <v>0</v>
      </c>
      <c r="H157" s="4">
        <f ca="1">'Total Distance Tables Sup #2'!H157</f>
        <v>0</v>
      </c>
      <c r="I157" s="1">
        <f ca="1">'Total Distance Tables Sup #2'!I157</f>
        <v>0</v>
      </c>
      <c r="J157" s="1">
        <f ca="1">'Total Distance Tables Sup #2'!J157</f>
        <v>0</v>
      </c>
      <c r="K157" s="1">
        <f ca="1">'Total Distance Tables Sup #2'!K157</f>
        <v>0</v>
      </c>
    </row>
    <row r="158" spans="1:11" x14ac:dyDescent="0.2">
      <c r="A158" t="s">
        <v>103</v>
      </c>
      <c r="B158" s="1">
        <f ca="1">SUM(B159:B168)</f>
        <v>50519.628342710188</v>
      </c>
      <c r="C158" s="1">
        <f t="shared" ref="C158:H158" ca="1" si="0">SUM(C159:C168)</f>
        <v>55991.164522852916</v>
      </c>
      <c r="D158" s="1">
        <f t="shared" ca="1" si="0"/>
        <v>59727.718609262534</v>
      </c>
      <c r="E158" s="1">
        <f t="shared" ca="1" si="0"/>
        <v>62310.68599396808</v>
      </c>
      <c r="F158" s="1">
        <f t="shared" ca="1" si="0"/>
        <v>64494.827647357175</v>
      </c>
      <c r="G158" s="1">
        <f t="shared" ca="1" si="0"/>
        <v>66218.764964600123</v>
      </c>
      <c r="H158" s="1">
        <f t="shared" ca="1" si="0"/>
        <v>67694.514380991051</v>
      </c>
      <c r="I158" s="1">
        <f t="shared" ref="I158:K158" ca="1" si="1">SUM(I159:I168)</f>
        <v>69364.986111964507</v>
      </c>
      <c r="J158" s="1">
        <f t="shared" ca="1" si="1"/>
        <v>70880.37163433629</v>
      </c>
      <c r="K158" s="1">
        <f t="shared" ca="1" si="1"/>
        <v>72307.503019734126</v>
      </c>
    </row>
    <row r="159" spans="1:11" x14ac:dyDescent="0.2">
      <c r="A159" t="str">
        <f t="shared" ref="A159:A165" ca="1" si="2">A5</f>
        <v>Pedestrian</v>
      </c>
      <c r="B159" s="4">
        <f t="shared" ref="B159:H168" ca="1" si="3">B5+B16+B27+B38+B49+B60+B71+B82+B93+B104+B115+B126+B137+B148</f>
        <v>807.42091028530001</v>
      </c>
      <c r="C159" s="4">
        <f t="shared" ca="1" si="3"/>
        <v>879.30599253128321</v>
      </c>
      <c r="D159" s="4">
        <f t="shared" ca="1" si="3"/>
        <v>916.50548571980914</v>
      </c>
      <c r="E159" s="4">
        <f t="shared" ca="1" si="3"/>
        <v>941.22781546052306</v>
      </c>
      <c r="F159" s="4">
        <f t="shared" ca="1" si="3"/>
        <v>959.79812286509275</v>
      </c>
      <c r="G159" s="4">
        <f t="shared" ca="1" si="3"/>
        <v>976.25169938584156</v>
      </c>
      <c r="H159" s="4">
        <f t="shared" ca="1" si="3"/>
        <v>988.2903584924012</v>
      </c>
      <c r="I159" s="1">
        <f t="shared" ref="I159:K159" ca="1" si="4">I5+I16+I27+I38+I49+I60+I71+I82+I93+I104+I115+I126+I137+I148</f>
        <v>1007.8512977137066</v>
      </c>
      <c r="J159" s="1">
        <f t="shared" ca="1" si="4"/>
        <v>1024.5562807847825</v>
      </c>
      <c r="K159" s="1">
        <f t="shared" ca="1" si="4"/>
        <v>1039.166977044775</v>
      </c>
    </row>
    <row r="160" spans="1:11" x14ac:dyDescent="0.2">
      <c r="A160" t="str">
        <f t="shared" ca="1" si="2"/>
        <v>Cyclist</v>
      </c>
      <c r="B160" s="4">
        <f t="shared" ca="1" si="3"/>
        <v>312.57850166600002</v>
      </c>
      <c r="C160" s="4">
        <f t="shared" ca="1" si="3"/>
        <v>350.07134362885967</v>
      </c>
      <c r="D160" s="4">
        <f t="shared" ca="1" si="3"/>
        <v>371.31985140269853</v>
      </c>
      <c r="E160" s="4">
        <f t="shared" ca="1" si="3"/>
        <v>382.08250337297648</v>
      </c>
      <c r="F160" s="4">
        <f t="shared" ca="1" si="3"/>
        <v>396.88022464013841</v>
      </c>
      <c r="G160" s="4">
        <f t="shared" ca="1" si="3"/>
        <v>417.08779401300029</v>
      </c>
      <c r="H160" s="4">
        <f t="shared" ca="1" si="3"/>
        <v>436.98843934259355</v>
      </c>
      <c r="I160" s="1">
        <f t="shared" ref="I160:K160" ca="1" si="5">I6+I17+I28+I39+I50+I61+I72+I83+I94+I105+I116+I127+I138+I149</f>
        <v>447.2075864677854</v>
      </c>
      <c r="J160" s="1">
        <f t="shared" ca="1" si="5"/>
        <v>456.3568589842028</v>
      </c>
      <c r="K160" s="1">
        <f t="shared" ca="1" si="5"/>
        <v>464.84207139862195</v>
      </c>
    </row>
    <row r="161" spans="1:11" x14ac:dyDescent="0.2">
      <c r="A161" t="str">
        <f t="shared" ca="1" si="2"/>
        <v>Light Vehicle Driver</v>
      </c>
      <c r="B161" s="4">
        <f t="shared" ca="1" si="3"/>
        <v>30373.708042980001</v>
      </c>
      <c r="C161" s="4">
        <f t="shared" ca="1" si="3"/>
        <v>34149.944548153297</v>
      </c>
      <c r="D161" s="4">
        <f t="shared" ca="1" si="3"/>
        <v>36512.325626095429</v>
      </c>
      <c r="E161" s="4">
        <f t="shared" ca="1" si="3"/>
        <v>36141.601568846076</v>
      </c>
      <c r="F161" s="4">
        <f t="shared" ca="1" si="3"/>
        <v>35553.870294072323</v>
      </c>
      <c r="G161" s="4">
        <f t="shared" ca="1" si="3"/>
        <v>34518.076944987806</v>
      </c>
      <c r="H161" s="4">
        <f t="shared" ca="1" si="3"/>
        <v>33261.256660992098</v>
      </c>
      <c r="I161" s="1">
        <f t="shared" ref="I161:K161" ca="1" si="6">I7+I18+I29+I40+I51+I62+I73+I84+I95+I106+I117+I128+I139+I150</f>
        <v>31861.009786142728</v>
      </c>
      <c r="J161" s="1">
        <f t="shared" ca="1" si="6"/>
        <v>30293.510256641224</v>
      </c>
      <c r="K161" s="1">
        <f t="shared" ca="1" si="6"/>
        <v>28598.30385407529</v>
      </c>
    </row>
    <row r="162" spans="1:11" x14ac:dyDescent="0.2">
      <c r="A162" t="str">
        <f t="shared" ca="1" si="2"/>
        <v>Light Vehicle Passenger</v>
      </c>
      <c r="B162" s="4">
        <f t="shared" ca="1" si="3"/>
        <v>17104.323927279998</v>
      </c>
      <c r="C162" s="4">
        <f t="shared" ca="1" si="3"/>
        <v>18400.459029878948</v>
      </c>
      <c r="D162" s="4">
        <f t="shared" ca="1" si="3"/>
        <v>19115.593199677016</v>
      </c>
      <c r="E162" s="4">
        <f t="shared" ca="1" si="3"/>
        <v>18570.603855562731</v>
      </c>
      <c r="F162" s="4">
        <f t="shared" ca="1" si="3"/>
        <v>17927.791696448912</v>
      </c>
      <c r="G162" s="4">
        <f t="shared" ca="1" si="3"/>
        <v>17159.315000182705</v>
      </c>
      <c r="H162" s="4">
        <f t="shared" ca="1" si="3"/>
        <v>16282.766458188489</v>
      </c>
      <c r="I162" s="1">
        <f t="shared" ref="I162:K162" ca="1" si="7">I8+I19+I30+I41+I52+I63+I74+I85+I96+I107+I118+I129+I140+I151</f>
        <v>15571.442069934514</v>
      </c>
      <c r="J162" s="1">
        <f t="shared" ca="1" si="7"/>
        <v>14778.868354353714</v>
      </c>
      <c r="K162" s="1">
        <f t="shared" ca="1" si="7"/>
        <v>13923.986129195418</v>
      </c>
    </row>
    <row r="163" spans="1:11" x14ac:dyDescent="0.2">
      <c r="A163" t="str">
        <f t="shared" ca="1" si="2"/>
        <v>Taxi/Vehicle Share</v>
      </c>
      <c r="B163" s="4">
        <f t="shared" ca="1" si="3"/>
        <v>102.6492410403</v>
      </c>
      <c r="C163" s="4">
        <f t="shared" ca="1" si="3"/>
        <v>120.89579861386088</v>
      </c>
      <c r="D163" s="4">
        <f t="shared" ca="1" si="3"/>
        <v>137.00051950314634</v>
      </c>
      <c r="E163" s="4">
        <f t="shared" ca="1" si="3"/>
        <v>3031.3928091238477</v>
      </c>
      <c r="F163" s="4">
        <f t="shared" ca="1" si="3"/>
        <v>6107.8705516393111</v>
      </c>
      <c r="G163" s="4">
        <f t="shared" ca="1" si="3"/>
        <v>9296.6504681773586</v>
      </c>
      <c r="H163" s="4">
        <f t="shared" ca="1" si="3"/>
        <v>12574.602297078505</v>
      </c>
      <c r="I163" s="1">
        <f t="shared" ref="I163:K163" ca="1" si="8">I9+I20+I31+I42+I53+I64+I75+I86+I97+I108+I119+I130+I141+I152</f>
        <v>16003.824206634625</v>
      </c>
      <c r="J163" s="1">
        <f t="shared" ca="1" si="8"/>
        <v>19513.68927664803</v>
      </c>
      <c r="K163" s="1">
        <f t="shared" ca="1" si="8"/>
        <v>23097.235337817998</v>
      </c>
    </row>
    <row r="164" spans="1:11" x14ac:dyDescent="0.2">
      <c r="A164" t="str">
        <f t="shared" ca="1" si="2"/>
        <v>Motorcyclist</v>
      </c>
      <c r="B164" s="4">
        <f t="shared" ca="1" si="3"/>
        <v>249.6655534436</v>
      </c>
      <c r="C164" s="4">
        <f t="shared" ca="1" si="3"/>
        <v>278.1823957680661</v>
      </c>
      <c r="D164" s="4">
        <f t="shared" ca="1" si="3"/>
        <v>295.74660483731503</v>
      </c>
      <c r="E164" s="4">
        <f t="shared" ca="1" si="3"/>
        <v>301.8943112648812</v>
      </c>
      <c r="F164" s="4">
        <f t="shared" ca="1" si="3"/>
        <v>305.08754893451697</v>
      </c>
      <c r="G164" s="4">
        <f t="shared" ca="1" si="3"/>
        <v>302.90944060589305</v>
      </c>
      <c r="H164" s="4">
        <f t="shared" ca="1" si="3"/>
        <v>299.19151364943349</v>
      </c>
      <c r="I164" s="1">
        <f t="shared" ref="I164:K164" ca="1" si="9">I10+I21+I32+I43+I54+I65+I76+I87+I98+I109+I120+I131+I142+I153</f>
        <v>306.18822528142101</v>
      </c>
      <c r="J164" s="1">
        <f t="shared" ca="1" si="9"/>
        <v>312.45242919742435</v>
      </c>
      <c r="K164" s="1">
        <f t="shared" ca="1" si="9"/>
        <v>318.26197315178234</v>
      </c>
    </row>
    <row r="165" spans="1:11" x14ac:dyDescent="0.2">
      <c r="A165" t="str">
        <f t="shared" ca="1" si="2"/>
        <v>Local Train</v>
      </c>
      <c r="B165" s="4">
        <f t="shared" ca="1" si="3"/>
        <v>456.51929399999995</v>
      </c>
      <c r="C165" s="4">
        <f t="shared" ca="1" si="3"/>
        <v>651.13360862840909</v>
      </c>
      <c r="D165" s="4">
        <f t="shared" ca="1" si="3"/>
        <v>1034.2623917704545</v>
      </c>
      <c r="E165" s="4">
        <f t="shared" ca="1" si="3"/>
        <v>1412.7861749125</v>
      </c>
      <c r="F165" s="4">
        <f t="shared" ca="1" si="3"/>
        <v>1614.8327346000001</v>
      </c>
      <c r="G165" s="4">
        <f t="shared" ca="1" si="3"/>
        <v>1816.8792942875</v>
      </c>
      <c r="H165" s="4">
        <f t="shared" ca="1" si="3"/>
        <v>2018.9258539749999</v>
      </c>
      <c r="I165" s="1">
        <f t="shared" ref="I165:K165" ca="1" si="10">I11+I22+I33+I44+I55+I66+I77+I88+I99+I110+I121+I132+I143+I154</f>
        <v>2221.1542809138214</v>
      </c>
      <c r="J165" s="1">
        <f t="shared" ca="1" si="10"/>
        <v>2435.9587132797142</v>
      </c>
      <c r="K165" s="1">
        <f t="shared" ca="1" si="10"/>
        <v>2672.5524501935352</v>
      </c>
    </row>
    <row r="166" spans="1:11" x14ac:dyDescent="0.2">
      <c r="A166" t="s">
        <v>20</v>
      </c>
      <c r="B166" s="4">
        <f t="shared" ca="1" si="3"/>
        <v>1110.9386781444002</v>
      </c>
      <c r="C166" s="4">
        <f t="shared" ca="1" si="3"/>
        <v>1159.2942355663365</v>
      </c>
      <c r="D166" s="4">
        <f t="shared" ca="1" si="3"/>
        <v>1343.1256572541677</v>
      </c>
      <c r="E166" s="4">
        <f t="shared" ca="1" si="3"/>
        <v>1527.2849593523933</v>
      </c>
      <c r="F166" s="4">
        <f t="shared" ca="1" si="3"/>
        <v>1626.9973334201638</v>
      </c>
      <c r="G166" s="4">
        <f t="shared" ca="1" si="3"/>
        <v>1730.0804715444219</v>
      </c>
      <c r="H166" s="4">
        <f t="shared" ca="1" si="3"/>
        <v>1831.1580710321828</v>
      </c>
      <c r="I166" s="1">
        <f t="shared" ref="I166:K166" ca="1" si="11">I12+I23+I34+I45+I56+I67+I78+I89+I100+I111+I122+I133+I144+I155</f>
        <v>1944.9427174888731</v>
      </c>
      <c r="J166" s="1">
        <f t="shared" ca="1" si="11"/>
        <v>2063.5855777158263</v>
      </c>
      <c r="K166" s="1">
        <f t="shared" ca="1" si="11"/>
        <v>2191.7344230721296</v>
      </c>
    </row>
    <row r="167" spans="1:11" x14ac:dyDescent="0.2">
      <c r="A167" t="str">
        <f ca="1">A13</f>
        <v>Local Ferry</v>
      </c>
      <c r="B167" s="4">
        <f t="shared" ca="1" si="3"/>
        <v>0</v>
      </c>
      <c r="C167" s="4">
        <f t="shared" ca="1" si="3"/>
        <v>0</v>
      </c>
      <c r="D167" s="4">
        <f t="shared" ca="1" si="3"/>
        <v>0</v>
      </c>
      <c r="E167" s="4">
        <f t="shared" ca="1" si="3"/>
        <v>0</v>
      </c>
      <c r="F167" s="4">
        <f t="shared" ca="1" si="3"/>
        <v>0</v>
      </c>
      <c r="G167" s="4">
        <f t="shared" ca="1" si="3"/>
        <v>0</v>
      </c>
      <c r="H167" s="4">
        <f t="shared" ca="1" si="3"/>
        <v>0</v>
      </c>
      <c r="I167" s="1">
        <f t="shared" ref="I167:K167" ca="1" si="12">I13+I24+I35+I46+I57+I68+I79+I90+I101+I112+I123+I134+I145+I156</f>
        <v>0</v>
      </c>
      <c r="J167" s="1">
        <f t="shared" ca="1" si="12"/>
        <v>0</v>
      </c>
      <c r="K167" s="1">
        <f t="shared" ca="1" si="12"/>
        <v>0</v>
      </c>
    </row>
    <row r="168" spans="1:11" x14ac:dyDescent="0.2">
      <c r="A168" t="str">
        <f ca="1">A14</f>
        <v>Other Household Travel</v>
      </c>
      <c r="B168" s="4">
        <f t="shared" ca="1" si="3"/>
        <v>1.8241938706</v>
      </c>
      <c r="C168" s="4">
        <f t="shared" ca="1" si="3"/>
        <v>1.8775700838495539</v>
      </c>
      <c r="D168" s="4">
        <f t="shared" ca="1" si="3"/>
        <v>1.8392730024946664</v>
      </c>
      <c r="E168" s="4">
        <f t="shared" ca="1" si="3"/>
        <v>1.8119960721498671</v>
      </c>
      <c r="F168" s="4">
        <f t="shared" ca="1" si="3"/>
        <v>1.6991407367202827</v>
      </c>
      <c r="G168" s="4">
        <f t="shared" ca="1" si="3"/>
        <v>1.5138514155961369</v>
      </c>
      <c r="H168" s="4">
        <f t="shared" ca="1" si="3"/>
        <v>1.3347282403419616</v>
      </c>
      <c r="I168" s="1">
        <f t="shared" ref="I168:K168" ca="1" si="13">I14+I25+I36+I47+I58+I69+I80+I91+I102+I113+I124+I135+I146+I157</f>
        <v>1.3659413870346355</v>
      </c>
      <c r="J168" s="1">
        <f t="shared" ca="1" si="13"/>
        <v>1.3938867313659824</v>
      </c>
      <c r="K168" s="1">
        <f t="shared" ca="1" si="13"/>
        <v>1.4198037845765059</v>
      </c>
    </row>
    <row r="169" spans="1:11" x14ac:dyDescent="0.2">
      <c r="A169" t="s">
        <v>108</v>
      </c>
      <c r="I169" s="1"/>
      <c r="J169" s="1"/>
      <c r="K169" s="1"/>
    </row>
    <row r="170" spans="1:11" x14ac:dyDescent="0.2">
      <c r="A170" t="s">
        <v>103</v>
      </c>
      <c r="B170" s="1">
        <f ca="1">SUM(B171:B177)</f>
        <v>50519.628342710203</v>
      </c>
      <c r="C170" s="1">
        <f t="shared" ref="C170:H170" ca="1" si="14">SUM(C171:C177)</f>
        <v>55991.164522852909</v>
      </c>
      <c r="D170" s="1">
        <f t="shared" ca="1" si="14"/>
        <v>59727.718609262534</v>
      </c>
      <c r="E170" s="1">
        <f t="shared" ca="1" si="14"/>
        <v>62310.685993968073</v>
      </c>
      <c r="F170" s="1">
        <f t="shared" ca="1" si="14"/>
        <v>64494.827647357182</v>
      </c>
      <c r="G170" s="1">
        <f t="shared" ca="1" si="14"/>
        <v>66218.764964600123</v>
      </c>
      <c r="H170" s="1">
        <f t="shared" ca="1" si="14"/>
        <v>67694.514380991051</v>
      </c>
      <c r="I170" s="1">
        <f t="shared" ref="I170:K170" ca="1" si="15">SUM(I171:I177)</f>
        <v>69364.986111964507</v>
      </c>
      <c r="J170" s="1">
        <f t="shared" ca="1" si="15"/>
        <v>70880.37163433629</v>
      </c>
      <c r="K170" s="1">
        <f t="shared" ca="1" si="15"/>
        <v>72307.50301973414</v>
      </c>
    </row>
    <row r="171" spans="1:11" x14ac:dyDescent="0.2">
      <c r="A171" t="s">
        <v>62</v>
      </c>
      <c r="B171" s="1">
        <f ca="1">B159</f>
        <v>807.42091028530001</v>
      </c>
      <c r="C171" s="1">
        <f t="shared" ref="C171:H172" ca="1" si="16">C159</f>
        <v>879.30599253128321</v>
      </c>
      <c r="D171" s="1">
        <f t="shared" ca="1" si="16"/>
        <v>916.50548571980914</v>
      </c>
      <c r="E171" s="1">
        <f t="shared" ca="1" si="16"/>
        <v>941.22781546052306</v>
      </c>
      <c r="F171" s="1">
        <f t="shared" ca="1" si="16"/>
        <v>959.79812286509275</v>
      </c>
      <c r="G171" s="1">
        <f t="shared" ca="1" si="16"/>
        <v>976.25169938584156</v>
      </c>
      <c r="H171" s="1">
        <f t="shared" ca="1" si="16"/>
        <v>988.2903584924012</v>
      </c>
      <c r="I171" s="1">
        <f t="shared" ref="I171:K171" ca="1" si="17">I159</f>
        <v>1007.8512977137066</v>
      </c>
      <c r="J171" s="1">
        <f t="shared" ca="1" si="17"/>
        <v>1024.5562807847825</v>
      </c>
      <c r="K171" s="1">
        <f t="shared" ca="1" si="17"/>
        <v>1039.166977044775</v>
      </c>
    </row>
    <row r="172" spans="1:11" x14ac:dyDescent="0.2">
      <c r="A172" t="s">
        <v>63</v>
      </c>
      <c r="B172" s="1">
        <f ca="1">B160</f>
        <v>312.57850166600002</v>
      </c>
      <c r="C172" s="1">
        <f t="shared" ca="1" si="16"/>
        <v>350.07134362885967</v>
      </c>
      <c r="D172" s="1">
        <f t="shared" ca="1" si="16"/>
        <v>371.31985140269853</v>
      </c>
      <c r="E172" s="1">
        <f t="shared" ca="1" si="16"/>
        <v>382.08250337297648</v>
      </c>
      <c r="F172" s="1">
        <f t="shared" ca="1" si="16"/>
        <v>396.88022464013841</v>
      </c>
      <c r="G172" s="1">
        <f t="shared" ca="1" si="16"/>
        <v>417.08779401300029</v>
      </c>
      <c r="H172" s="1">
        <f t="shared" ca="1" si="16"/>
        <v>436.98843934259355</v>
      </c>
      <c r="I172" s="1">
        <f t="shared" ref="I172:K172" ca="1" si="18">I160</f>
        <v>447.2075864677854</v>
      </c>
      <c r="J172" s="1">
        <f t="shared" ca="1" si="18"/>
        <v>456.3568589842028</v>
      </c>
      <c r="K172" s="1">
        <f t="shared" ca="1" si="18"/>
        <v>464.84207139862195</v>
      </c>
    </row>
    <row r="173" spans="1:11" x14ac:dyDescent="0.2">
      <c r="A173" t="s">
        <v>104</v>
      </c>
      <c r="B173" s="1">
        <f ca="1">B165</f>
        <v>456.51929399999995</v>
      </c>
      <c r="C173" s="1">
        <f t="shared" ref="C173:H174" ca="1" si="19">C165</f>
        <v>651.13360862840909</v>
      </c>
      <c r="D173" s="1">
        <f t="shared" ca="1" si="19"/>
        <v>1034.2623917704545</v>
      </c>
      <c r="E173" s="1">
        <f t="shared" ca="1" si="19"/>
        <v>1412.7861749125</v>
      </c>
      <c r="F173" s="1">
        <f t="shared" ca="1" si="19"/>
        <v>1614.8327346000001</v>
      </c>
      <c r="G173" s="1">
        <f t="shared" ca="1" si="19"/>
        <v>1816.8792942875</v>
      </c>
      <c r="H173" s="1">
        <f t="shared" ca="1" si="19"/>
        <v>2018.9258539749999</v>
      </c>
      <c r="I173" s="1">
        <f t="shared" ref="I173:K173" ca="1" si="20">I165</f>
        <v>2221.1542809138214</v>
      </c>
      <c r="J173" s="1">
        <f t="shared" ca="1" si="20"/>
        <v>2435.9587132797142</v>
      </c>
      <c r="K173" s="1">
        <f t="shared" ca="1" si="20"/>
        <v>2672.5524501935352</v>
      </c>
    </row>
    <row r="174" spans="1:11" x14ac:dyDescent="0.2">
      <c r="A174" t="s">
        <v>20</v>
      </c>
      <c r="B174" s="1">
        <f ca="1">B166</f>
        <v>1110.9386781444002</v>
      </c>
      <c r="C174" s="1">
        <f t="shared" ca="1" si="19"/>
        <v>1159.2942355663365</v>
      </c>
      <c r="D174" s="1">
        <f t="shared" ca="1" si="19"/>
        <v>1343.1256572541677</v>
      </c>
      <c r="E174" s="1">
        <f t="shared" ca="1" si="19"/>
        <v>1527.2849593523933</v>
      </c>
      <c r="F174" s="1">
        <f t="shared" ca="1" si="19"/>
        <v>1626.9973334201638</v>
      </c>
      <c r="G174" s="1">
        <f t="shared" ca="1" si="19"/>
        <v>1730.0804715444219</v>
      </c>
      <c r="H174" s="1">
        <f t="shared" ca="1" si="19"/>
        <v>1831.1580710321828</v>
      </c>
      <c r="I174" s="1">
        <f t="shared" ref="I174:K174" ca="1" si="21">I166</f>
        <v>1944.9427174888731</v>
      </c>
      <c r="J174" s="1">
        <f t="shared" ca="1" si="21"/>
        <v>2063.5855777158263</v>
      </c>
      <c r="K174" s="1">
        <f t="shared" ca="1" si="21"/>
        <v>2191.7344230721296</v>
      </c>
    </row>
    <row r="175" spans="1:11" x14ac:dyDescent="0.2">
      <c r="A175" t="s">
        <v>105</v>
      </c>
      <c r="B175" s="1">
        <f ca="1">'Total Distance Tables Sup #2'!B9+'Total Distance Tables Sup #2'!B20+'Total Distance Tables Sup #2'!B31+'Total Distance Tables Sup #2'!B42+'Total Distance Tables Sup #2'!B53+'Total Distance Tables Sup #2'!B64+'Total Distance Tables Sup #2'!B75+'Total Distance Tables Sup #2'!B86+'Total Distance Tables Sup #2'!B97+'Total Distance Tables Sup #2'!B108+'Total Distance Tables Sup #2'!B119+'Total Distance Tables Sup #2'!B130+'Total Distance Tables Sup #2'!B141+'Total Distance Tables Sup #2'!B152+B164+B167+B168</f>
        <v>354.13898835450004</v>
      </c>
      <c r="C175" s="1">
        <f ca="1">'Total Distance Tables Sup #2'!C9+'Total Distance Tables Sup #2'!C20+'Total Distance Tables Sup #2'!C31+'Total Distance Tables Sup #2'!C42+'Total Distance Tables Sup #2'!C53+'Total Distance Tables Sup #2'!C64+'Total Distance Tables Sup #2'!C75+'Total Distance Tables Sup #2'!C86+'Total Distance Tables Sup #2'!C97+'Total Distance Tables Sup #2'!C108+'Total Distance Tables Sup #2'!C119+'Total Distance Tables Sup #2'!C130+'Total Distance Tables Sup #2'!C141+'Total Distance Tables Sup #2'!C152+C164+C167+C168</f>
        <v>400.95576446577655</v>
      </c>
      <c r="D175" s="1">
        <f ca="1">'Total Distance Tables Sup #2'!D9+'Total Distance Tables Sup #2'!D20+'Total Distance Tables Sup #2'!D31+'Total Distance Tables Sup #2'!D42+'Total Distance Tables Sup #2'!D53+'Total Distance Tables Sup #2'!D64+'Total Distance Tables Sup #2'!D75+'Total Distance Tables Sup #2'!D86+'Total Distance Tables Sup #2'!D97+'Total Distance Tables Sup #2'!D108+'Total Distance Tables Sup #2'!D119+'Total Distance Tables Sup #2'!D130+'Total Distance Tables Sup #2'!D141+'Total Distance Tables Sup #2'!D152+D164+D167+D168</f>
        <v>434.58639734295605</v>
      </c>
      <c r="E175" s="1">
        <f ca="1">'Total Distance Tables Sup #2'!E9+'Total Distance Tables Sup #2'!E20+'Total Distance Tables Sup #2'!E31+'Total Distance Tables Sup #2'!E42+'Total Distance Tables Sup #2'!E53+'Total Distance Tables Sup #2'!E64+'Total Distance Tables Sup #2'!E75+'Total Distance Tables Sup #2'!E86+'Total Distance Tables Sup #2'!E97+'Total Distance Tables Sup #2'!E108+'Total Distance Tables Sup #2'!E119+'Total Distance Tables Sup #2'!E130+'Total Distance Tables Sup #2'!E141+'Total Distance Tables Sup #2'!E152+E164+E167+E168</f>
        <v>455.50935728146771</v>
      </c>
      <c r="F175" s="1">
        <f ca="1">'Total Distance Tables Sup #2'!F9+'Total Distance Tables Sup #2'!F20+'Total Distance Tables Sup #2'!F31+'Total Distance Tables Sup #2'!F42+'Total Distance Tables Sup #2'!F53+'Total Distance Tables Sup #2'!F64+'Total Distance Tables Sup #2'!F75+'Total Distance Tables Sup #2'!F86+'Total Distance Tables Sup #2'!F97+'Total Distance Tables Sup #2'!F108+'Total Distance Tables Sup #2'!F119+'Total Distance Tables Sup #2'!F130+'Total Distance Tables Sup #2'!F141+'Total Distance Tables Sup #2'!F152+F164+F167+F168</f>
        <v>472.25035347485647</v>
      </c>
      <c r="G175" s="1">
        <f ca="1">'Total Distance Tables Sup #2'!G9+'Total Distance Tables Sup #2'!G20+'Total Distance Tables Sup #2'!G31+'Total Distance Tables Sup #2'!G42+'Total Distance Tables Sup #2'!G53+'Total Distance Tables Sup #2'!G64+'Total Distance Tables Sup #2'!G75+'Total Distance Tables Sup #2'!G86+'Total Distance Tables Sup #2'!G97+'Total Distance Tables Sup #2'!G108+'Total Distance Tables Sup #2'!G119+'Total Distance Tables Sup #2'!G130+'Total Distance Tables Sup #2'!G141+'Total Distance Tables Sup #2'!G152+G164+G167+G168</f>
        <v>481.53400516875627</v>
      </c>
      <c r="H175" s="1">
        <f ca="1">'Total Distance Tables Sup #2'!H9+'Total Distance Tables Sup #2'!H20+'Total Distance Tables Sup #2'!H31+'Total Distance Tables Sup #2'!H42+'Total Distance Tables Sup #2'!H53+'Total Distance Tables Sup #2'!H64+'Total Distance Tables Sup #2'!H75+'Total Distance Tables Sup #2'!H86+'Total Distance Tables Sup #2'!H97+'Total Distance Tables Sup #2'!H108+'Total Distance Tables Sup #2'!H119+'Total Distance Tables Sup #2'!H130+'Total Distance Tables Sup #2'!H141+'Total Distance Tables Sup #2'!H152+H164+H167+H168</f>
        <v>489.12275917313201</v>
      </c>
      <c r="I175" s="1">
        <f ca="1">'Total Distance Tables Sup #2'!I9+'Total Distance Tables Sup #2'!I20+'Total Distance Tables Sup #2'!I31+'Total Distance Tables Sup #2'!I42+'Total Distance Tables Sup #2'!I53+'Total Distance Tables Sup #2'!I64+'Total Distance Tables Sup #2'!I75+'Total Distance Tables Sup #2'!I86+'Total Distance Tables Sup #2'!I97+'Total Distance Tables Sup #2'!I108+'Total Distance Tables Sup #2'!I119+'Total Distance Tables Sup #2'!I130+'Total Distance Tables Sup #2'!I141+'Total Distance Tables Sup #2'!I152+I164+I167+I168</f>
        <v>500.56108794400217</v>
      </c>
      <c r="J175" s="1">
        <f ca="1">'Total Distance Tables Sup #2'!J9+'Total Distance Tables Sup #2'!J20+'Total Distance Tables Sup #2'!J31+'Total Distance Tables Sup #2'!J42+'Total Distance Tables Sup #2'!J53+'Total Distance Tables Sup #2'!J64+'Total Distance Tables Sup #2'!J75+'Total Distance Tables Sup #2'!J86+'Total Distance Tables Sup #2'!J97+'Total Distance Tables Sup #2'!J108+'Total Distance Tables Sup #2'!J119+'Total Distance Tables Sup #2'!J130+'Total Distance Tables Sup #2'!J141+'Total Distance Tables Sup #2'!J152+J164+J167+J168</f>
        <v>510.80190215041296</v>
      </c>
      <c r="K175" s="1">
        <f ca="1">'Total Distance Tables Sup #2'!K9+'Total Distance Tables Sup #2'!K20+'Total Distance Tables Sup #2'!K31+'Total Distance Tables Sup #2'!K42+'Total Distance Tables Sup #2'!K53+'Total Distance Tables Sup #2'!K64+'Total Distance Tables Sup #2'!K75+'Total Distance Tables Sup #2'!K86+'Total Distance Tables Sup #2'!K97+'Total Distance Tables Sup #2'!K108+'Total Distance Tables Sup #2'!K119+'Total Distance Tables Sup #2'!K130+'Total Distance Tables Sup #2'!K141+'Total Distance Tables Sup #2'!K152+K164+K167+K168</f>
        <v>520.2994314547459</v>
      </c>
    </row>
    <row r="176" spans="1:11" x14ac:dyDescent="0.2">
      <c r="A176" t="s">
        <v>106</v>
      </c>
      <c r="B176" s="1">
        <f ca="1">B7+B18+B29+B40+B51+B62+B73+B84+B95+B106+B117+B128+B139+B150</f>
        <v>30373.708042980001</v>
      </c>
      <c r="C176" s="1">
        <f ca="1">C7/(1-'Other Assumptions'!G$6)+C18/(1-'Other Assumptions'!G$7)+C29/(1-'Other Assumptions'!G$8)+C40/(1-'Other Assumptions'!G$9)+C51/(1-'Other Assumptions'!G$10)+C62/(1-'Other Assumptions'!G$11)+C73/(1-'Other Assumptions'!G$12)+C84/(1-'Other Assumptions'!G$13)+C95/(1-'Other Assumptions'!G$14)+C106/(1-'Other Assumptions'!G$15)+C117/(1-'Other Assumptions'!G$16)+C128/(1-'Other Assumptions'!G$17)+C139/(1-'Other Assumptions'!G$18)+C150/(1-'Other Assumptions'!G$19)</f>
        <v>34149.944548153297</v>
      </c>
      <c r="D176" s="1">
        <f ca="1">D7/(1-'Other Assumptions'!H$6)+D18/(1-'Other Assumptions'!H$7)+D29/(1-'Other Assumptions'!H$8)+D40/(1-'Other Assumptions'!H$9)+D51/(1-'Other Assumptions'!H$10)+D62/(1-'Other Assumptions'!H$11)+D73/(1-'Other Assumptions'!H$12)+D84/(1-'Other Assumptions'!H$13)+D95/(1-'Other Assumptions'!H$14)+D106/(1-'Other Assumptions'!H$15)+D117/(1-'Other Assumptions'!H$16)+D128/(1-'Other Assumptions'!H$17)+D139/(1-'Other Assumptions'!H$18)+D150/(1-'Other Assumptions'!H$19)</f>
        <v>36512.325626095429</v>
      </c>
      <c r="E176" s="1">
        <f ca="1">E7/(1-'Other Assumptions'!I$6)+E18/(1-'Other Assumptions'!I$7)+E29/(1-'Other Assumptions'!I$8)+E40/(1-'Other Assumptions'!I$9)+E51/(1-'Other Assumptions'!I$10)+E62/(1-'Other Assumptions'!I$11)+E73/(1-'Other Assumptions'!I$12)+E84/(1-'Other Assumptions'!I$13)+E95/(1-'Other Assumptions'!I$14)+E106/(1-'Other Assumptions'!I$15)+E117/(1-'Other Assumptions'!I$16)+E128/(1-'Other Assumptions'!I$17)+E139/(1-'Other Assumptions'!I$18)+E150/(1-'Other Assumptions'!I$19)</f>
        <v>38043.791125101125</v>
      </c>
      <c r="F176" s="1">
        <f ca="1">F7/(1-'Other Assumptions'!J$6)+F18/(1-'Other Assumptions'!J$7)+F29/(1-'Other Assumptions'!J$8)+F40/(1-'Other Assumptions'!J$9)+F51/(1-'Other Assumptions'!J$10)+F62/(1-'Other Assumptions'!J$11)+F73/(1-'Other Assumptions'!J$12)+F84/(1-'Other Assumptions'!J$13)+F95/(1-'Other Assumptions'!J$14)+F106/(1-'Other Assumptions'!J$15)+F117/(1-'Other Assumptions'!J$16)+F128/(1-'Other Assumptions'!J$17)+F139/(1-'Other Assumptions'!J$18)+F150/(1-'Other Assumptions'!J$19)</f>
        <v>39504.300326747027</v>
      </c>
      <c r="G176" s="1">
        <f ca="1">G7/(1-'Other Assumptions'!K$6)+G18/(1-'Other Assumptions'!K$7)+G29/(1-'Other Assumptions'!K$8)+G40/(1-'Other Assumptions'!K$9)+G51/(1-'Other Assumptions'!K$10)+G62/(1-'Other Assumptions'!K$11)+G73/(1-'Other Assumptions'!K$12)+G84/(1-'Other Assumptions'!K$13)+G95/(1-'Other Assumptions'!K$14)+G106/(1-'Other Assumptions'!K$15)+G117/(1-'Other Assumptions'!K$16)+G128/(1-'Other Assumptions'!K$17)+G139/(1-'Other Assumptions'!K$18)+G150/(1-'Other Assumptions'!K$19)</f>
        <v>40609.502288220952</v>
      </c>
      <c r="H176" s="1">
        <f ca="1">H7/(1-'Other Assumptions'!L$6)+H18/(1-'Other Assumptions'!L$7)+H29/(1-'Other Assumptions'!L$8)+H40/(1-'Other Assumptions'!L$9)+H51/(1-'Other Assumptions'!L$10)+H62/(1-'Other Assumptions'!L$11)+H73/(1-'Other Assumptions'!L$12)+H84/(1-'Other Assumptions'!L$13)+H95/(1-'Other Assumptions'!L$14)+H106/(1-'Other Assumptions'!L$15)+H117/(1-'Other Assumptions'!L$16)+H128/(1-'Other Assumptions'!L$17)+H139/(1-'Other Assumptions'!L$18)+H150/(1-'Other Assumptions'!L$19)</f>
        <v>41576.570826240131</v>
      </c>
      <c r="I176" s="1">
        <f ca="1">I7/(1-'Other Assumptions'!M$6)+I18/(1-'Other Assumptions'!M$7)+I29/(1-'Other Assumptions'!M$8)+I40/(1-'Other Assumptions'!M$9)+I51/(1-'Other Assumptions'!M$10)+I62/(1-'Other Assumptions'!M$11)+I73/(1-'Other Assumptions'!M$12)+I84/(1-'Other Assumptions'!M$13)+I95/(1-'Other Assumptions'!M$14)+I106/(1-'Other Assumptions'!M$15)+I117/(1-'Other Assumptions'!M$16)+I128/(1-'Other Assumptions'!M$17)+I139/(1-'Other Assumptions'!M$18)+I150/(1-'Other Assumptions'!M$19)</f>
        <v>42481.346381523639</v>
      </c>
      <c r="J176" s="1">
        <f ca="1">J7/(1-'Other Assumptions'!N$6)+J18/(1-'Other Assumptions'!N$7)+J29/(1-'Other Assumptions'!N$8)+J40/(1-'Other Assumptions'!N$9)+J51/(1-'Other Assumptions'!N$10)+J62/(1-'Other Assumptions'!N$11)+J73/(1-'Other Assumptions'!N$12)+J84/(1-'Other Assumptions'!N$13)+J95/(1-'Other Assumptions'!N$14)+J106/(1-'Other Assumptions'!N$15)+J117/(1-'Other Assumptions'!N$16)+J128/(1-'Other Assumptions'!N$17)+J139/(1-'Other Assumptions'!N$18)+J150/(1-'Other Assumptions'!N$19)</f>
        <v>43276.443223773182</v>
      </c>
      <c r="K176" s="1">
        <f ca="1">K7/(1-'Other Assumptions'!O$6)+K18/(1-'Other Assumptions'!O$7)+K29/(1-'Other Assumptions'!O$8)+K40/(1-'Other Assumptions'!O$9)+K51/(1-'Other Assumptions'!O$10)+K62/(1-'Other Assumptions'!O$11)+K73/(1-'Other Assumptions'!O$12)+K84/(1-'Other Assumptions'!O$13)+K95/(1-'Other Assumptions'!O$14)+K106/(1-'Other Assumptions'!O$15)+K117/(1-'Other Assumptions'!O$16)+K128/(1-'Other Assumptions'!O$17)+K139/(1-'Other Assumptions'!O$18)+K150/(1-'Other Assumptions'!O$19)</f>
        <v>43997.390544731214</v>
      </c>
    </row>
    <row r="177" spans="1:11" x14ac:dyDescent="0.2">
      <c r="A177" t="s">
        <v>107</v>
      </c>
      <c r="B177" s="1">
        <f ca="1">B8+B19+B30+B41+B52+B63+B74+B85+B96+B107+B118+B129+B140+B151</f>
        <v>17104.323927279998</v>
      </c>
      <c r="C177" s="1">
        <f ca="1">C8/(1-'Other Assumptions'!G$6)+C19/(1-'Other Assumptions'!G$7)+C30/(1-'Other Assumptions'!G$8)+C41/(1-'Other Assumptions'!G$9)+C52/(1-'Other Assumptions'!G$10)+C63/(1-'Other Assumptions'!G$11)+C74/(1-'Other Assumptions'!G$12)+C85/(1-'Other Assumptions'!G$13)+C96/(1-'Other Assumptions'!G$14)+C107/(1-'Other Assumptions'!G$15)+C118/(1-'Other Assumptions'!G$16)+C129/(1-'Other Assumptions'!G$17)+C140/(1-'Other Assumptions'!G$18)+C151/(1-'Other Assumptions'!G$19)</f>
        <v>18400.459029878948</v>
      </c>
      <c r="D177" s="1">
        <f ca="1">D8/(1-'Other Assumptions'!H$6)+D19/(1-'Other Assumptions'!H$7)+D30/(1-'Other Assumptions'!H$8)+D41/(1-'Other Assumptions'!H$9)+D52/(1-'Other Assumptions'!H$10)+D63/(1-'Other Assumptions'!H$11)+D74/(1-'Other Assumptions'!H$12)+D85/(1-'Other Assumptions'!H$13)+D96/(1-'Other Assumptions'!H$14)+D107/(1-'Other Assumptions'!H$15)+D118/(1-'Other Assumptions'!H$16)+D129/(1-'Other Assumptions'!H$17)+D140/(1-'Other Assumptions'!H$18)+D151/(1-'Other Assumptions'!H$19)</f>
        <v>19115.593199677016</v>
      </c>
      <c r="E177" s="1">
        <f ca="1">E8/(1-'Other Assumptions'!I$6)+E19/(1-'Other Assumptions'!I$7)+E30/(1-'Other Assumptions'!I$8)+E41/(1-'Other Assumptions'!I$9)+E52/(1-'Other Assumptions'!I$10)+E63/(1-'Other Assumptions'!I$11)+E74/(1-'Other Assumptions'!I$12)+E85/(1-'Other Assumptions'!I$13)+E96/(1-'Other Assumptions'!I$14)+E107/(1-'Other Assumptions'!I$15)+E118/(1-'Other Assumptions'!I$16)+E129/(1-'Other Assumptions'!I$17)+E140/(1-'Other Assumptions'!I$18)+E151/(1-'Other Assumptions'!I$19)</f>
        <v>19548.004058487088</v>
      </c>
      <c r="F177" s="1">
        <f ca="1">F8/(1-'Other Assumptions'!J$6)+F19/(1-'Other Assumptions'!J$7)+F30/(1-'Other Assumptions'!J$8)+F41/(1-'Other Assumptions'!J$9)+F52/(1-'Other Assumptions'!J$10)+F63/(1-'Other Assumptions'!J$11)+F74/(1-'Other Assumptions'!J$12)+F85/(1-'Other Assumptions'!J$13)+F96/(1-'Other Assumptions'!J$14)+F107/(1-'Other Assumptions'!J$15)+F118/(1-'Other Assumptions'!J$16)+F129/(1-'Other Assumptions'!J$17)+F140/(1-'Other Assumptions'!J$18)+F151/(1-'Other Assumptions'!J$19)</f>
        <v>19919.768551609901</v>
      </c>
      <c r="G177" s="1">
        <f ca="1">G8/(1-'Other Assumptions'!K$6)+G19/(1-'Other Assumptions'!K$7)+G30/(1-'Other Assumptions'!K$8)+G41/(1-'Other Assumptions'!K$9)+G52/(1-'Other Assumptions'!K$10)+G63/(1-'Other Assumptions'!K$11)+G74/(1-'Other Assumptions'!K$12)+G85/(1-'Other Assumptions'!K$13)+G96/(1-'Other Assumptions'!K$14)+G107/(1-'Other Assumptions'!K$15)+G118/(1-'Other Assumptions'!K$16)+G129/(1-'Other Assumptions'!K$17)+G140/(1-'Other Assumptions'!K$18)+G151/(1-'Other Assumptions'!K$19)</f>
        <v>20187.429411979654</v>
      </c>
      <c r="H177" s="1">
        <f ca="1">H8/(1-'Other Assumptions'!L$6)+H19/(1-'Other Assumptions'!L$7)+H30/(1-'Other Assumptions'!L$8)+H41/(1-'Other Assumptions'!L$9)+H52/(1-'Other Assumptions'!L$10)+H63/(1-'Other Assumptions'!L$11)+H74/(1-'Other Assumptions'!L$12)+H85/(1-'Other Assumptions'!L$13)+H96/(1-'Other Assumptions'!L$14)+H107/(1-'Other Assumptions'!L$15)+H118/(1-'Other Assumptions'!L$16)+H129/(1-'Other Assumptions'!L$17)+H140/(1-'Other Assumptions'!L$18)+H151/(1-'Other Assumptions'!L$19)</f>
        <v>20353.458072735611</v>
      </c>
      <c r="I177" s="1">
        <f ca="1">I8/(1-'Other Assumptions'!M$6)+I19/(1-'Other Assumptions'!M$7)+I30/(1-'Other Assumptions'!M$8)+I41/(1-'Other Assumptions'!M$9)+I52/(1-'Other Assumptions'!M$10)+I63/(1-'Other Assumptions'!M$11)+I74/(1-'Other Assumptions'!M$12)+I85/(1-'Other Assumptions'!M$13)+I96/(1-'Other Assumptions'!M$14)+I107/(1-'Other Assumptions'!M$15)+I118/(1-'Other Assumptions'!M$16)+I129/(1-'Other Assumptions'!M$17)+I140/(1-'Other Assumptions'!M$18)+I151/(1-'Other Assumptions'!M$19)</f>
        <v>20761.922759912683</v>
      </c>
      <c r="J177" s="1">
        <f ca="1">J8/(1-'Other Assumptions'!N$6)+J19/(1-'Other Assumptions'!N$7)+J30/(1-'Other Assumptions'!N$8)+J41/(1-'Other Assumptions'!N$9)+J52/(1-'Other Assumptions'!N$10)+J63/(1-'Other Assumptions'!N$11)+J74/(1-'Other Assumptions'!N$12)+J85/(1-'Other Assumptions'!N$13)+J96/(1-'Other Assumptions'!N$14)+J107/(1-'Other Assumptions'!N$15)+J118/(1-'Other Assumptions'!N$16)+J129/(1-'Other Assumptions'!N$17)+J140/(1-'Other Assumptions'!N$18)+J151/(1-'Other Assumptions'!N$19)</f>
        <v>21112.669077648166</v>
      </c>
      <c r="K177" s="1">
        <f ca="1">K8/(1-'Other Assumptions'!O$6)+K19/(1-'Other Assumptions'!O$7)+K30/(1-'Other Assumptions'!O$8)+K41/(1-'Other Assumptions'!O$9)+K52/(1-'Other Assumptions'!O$10)+K63/(1-'Other Assumptions'!O$11)+K74/(1-'Other Assumptions'!O$12)+K85/(1-'Other Assumptions'!O$13)+K96/(1-'Other Assumptions'!O$14)+K107/(1-'Other Assumptions'!O$15)+K118/(1-'Other Assumptions'!O$16)+K129/(1-'Other Assumptions'!O$17)+K140/(1-'Other Assumptions'!O$18)+K151/(1-'Other Assumptions'!O$19)</f>
        <v>21421.517121839115</v>
      </c>
    </row>
  </sheetData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K177"/>
  <sheetViews>
    <sheetView workbookViewId="0">
      <selection activeCell="H24" sqref="H24"/>
    </sheetView>
  </sheetViews>
  <sheetFormatPr defaultRowHeight="12.75" x14ac:dyDescent="0.2"/>
  <cols>
    <col min="1" max="1" width="26.140625" customWidth="1"/>
    <col min="9" max="11" width="10.28515625" bestFit="1" customWidth="1"/>
  </cols>
  <sheetData>
    <row r="2" spans="1:11" x14ac:dyDescent="0.2">
      <c r="A2" s="3" t="s">
        <v>14</v>
      </c>
    </row>
    <row r="3" spans="1:11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">
      <c r="A4" t="str">
        <f ca="1">OFFSET(Northland_Reference,0,0)</f>
        <v>01 NORTHLAND</v>
      </c>
    </row>
    <row r="5" spans="1:11" x14ac:dyDescent="0.2">
      <c r="A5" t="str">
        <f ca="1">OFFSET(Northland_Reference,0,2)</f>
        <v>Pedestrian</v>
      </c>
      <c r="B5" s="4">
        <f ca="1">'Total Duration Tables Sup #2'!B5</f>
        <v>5.0772161771000004</v>
      </c>
      <c r="C5" s="4">
        <f ca="1">'Total Duration Tables Sup #2'!C5</f>
        <v>5.3850019109505149</v>
      </c>
      <c r="D5" s="4">
        <f ca="1">'Total Duration Tables Sup #2'!D5</f>
        <v>5.5542349485422395</v>
      </c>
      <c r="E5" s="4">
        <f ca="1">'Total Duration Tables Sup #2'!E5</f>
        <v>5.6607615329769114</v>
      </c>
      <c r="F5" s="4">
        <f ca="1">'Total Duration Tables Sup #2'!F5</f>
        <v>5.7009440004456664</v>
      </c>
      <c r="G5" s="4">
        <f ca="1">'Total Duration Tables Sup #2'!G5</f>
        <v>5.7151762992741162</v>
      </c>
      <c r="H5" s="4">
        <f ca="1">'Total Duration Tables Sup #2'!H5</f>
        <v>5.697832928193681</v>
      </c>
      <c r="I5" s="1">
        <f ca="1">'Total Duration Tables Sup #2'!I5</f>
        <v>5.7203287963967284</v>
      </c>
      <c r="J5" s="1">
        <f ca="1">'Total Duration Tables Sup #2'!J5</f>
        <v>5.7246909624118052</v>
      </c>
      <c r="K5" s="1">
        <f ca="1">'Total Duration Tables Sup #2'!K5</f>
        <v>5.7168013153304376</v>
      </c>
    </row>
    <row r="6" spans="1:11" x14ac:dyDescent="0.2">
      <c r="A6" t="str">
        <f ca="1">OFFSET(Northland_Reference,7,2)</f>
        <v>Cyclist</v>
      </c>
      <c r="B6" s="4">
        <f ca="1">'Total Duration Tables Sup #2'!B6</f>
        <v>0.15772883609999999</v>
      </c>
      <c r="C6" s="4">
        <f ca="1">'Total Duration Tables Sup #2'!C6</f>
        <v>0.17172590423029432</v>
      </c>
      <c r="D6" s="4">
        <f ca="1">'Total Duration Tables Sup #2'!D6</f>
        <v>0.17902212676362153</v>
      </c>
      <c r="E6" s="4">
        <f ca="1">'Total Duration Tables Sup #2'!E6</f>
        <v>0.18214306750341852</v>
      </c>
      <c r="F6" s="4">
        <f ca="1">'Total Duration Tables Sup #2'!F6</f>
        <v>0.18593243499213619</v>
      </c>
      <c r="G6" s="4">
        <f ca="1">'Total Duration Tables Sup #2'!G6</f>
        <v>0.19109647006018071</v>
      </c>
      <c r="H6" s="4">
        <f ca="1">'Total Duration Tables Sup #2'!H6</f>
        <v>0.19573257464466881</v>
      </c>
      <c r="I6" s="1">
        <f ca="1">'Total Duration Tables Sup #2'!I6</f>
        <v>0.19744145908004829</v>
      </c>
      <c r="J6" s="1">
        <f ca="1">'Total Duration Tables Sup #2'!J6</f>
        <v>0.19854246852739191</v>
      </c>
      <c r="K6" s="1">
        <f ca="1">'Total Duration Tables Sup #2'!K6</f>
        <v>0.19923150698298278</v>
      </c>
    </row>
    <row r="7" spans="1:11" x14ac:dyDescent="0.2">
      <c r="A7" t="str">
        <f ca="1">OFFSET(Northland_Reference,14,2)</f>
        <v>Light Vehicle Driver</v>
      </c>
      <c r="B7" s="4">
        <f ca="1">'Total Duration Tables Sup #2'!B7</f>
        <v>23.421840091</v>
      </c>
      <c r="C7" s="4">
        <f ca="1">'Total Duration Tables Sup #2'!C7*(1-'Other Assumptions'!G6)</f>
        <v>25.737746291025644</v>
      </c>
      <c r="D7" s="4">
        <f ca="1">'Total Duration Tables Sup #2'!D7*(1-'Other Assumptions'!H6)</f>
        <v>27.111124362655957</v>
      </c>
      <c r="E7" s="4">
        <f ca="1">'Total Duration Tables Sup #2'!E7*(1-'Other Assumptions'!I6)</f>
        <v>26.509076418568359</v>
      </c>
      <c r="F7" s="4">
        <f ca="1">'Total Duration Tables Sup #2'!F7*(1-'Other Assumptions'!J6)</f>
        <v>25.68583483500889</v>
      </c>
      <c r="G7" s="4">
        <f ca="1">'Total Duration Tables Sup #2'!G7*(1-'Other Assumptions'!K6)</f>
        <v>24.568609286381328</v>
      </c>
      <c r="H7" s="4">
        <f ca="1">'Total Duration Tables Sup #2'!H7*(1-'Other Assumptions'!L6)</f>
        <v>23.29910529218273</v>
      </c>
      <c r="I7" s="1">
        <f ca="1">'Total Duration Tables Sup #2'!I7*(1-'Other Assumptions'!M6)</f>
        <v>21.920168088526445</v>
      </c>
      <c r="J7" s="1">
        <f ca="1">'Total Duration Tables Sup #2'!J7*(1-'Other Assumptions'!N6)</f>
        <v>20.466083643444307</v>
      </c>
      <c r="K7" s="1">
        <f ca="1">'Total Duration Tables Sup #2'!K7*(1-'Other Assumptions'!O6)</f>
        <v>18.970349798251377</v>
      </c>
    </row>
    <row r="8" spans="1:11" x14ac:dyDescent="0.2">
      <c r="A8" t="str">
        <f ca="1">OFFSET(Northland_Reference,21,2)</f>
        <v>Light Vehicle Passenger</v>
      </c>
      <c r="B8" s="4">
        <f ca="1">'Total Duration Tables Sup #2'!B8</f>
        <v>15.174949781</v>
      </c>
      <c r="C8" s="4">
        <f ca="1">'Total Duration Tables Sup #2'!C8*(1-'Other Assumptions'!G6)</f>
        <v>15.942196525490608</v>
      </c>
      <c r="D8" s="4">
        <f ca="1">'Total Duration Tables Sup #2'!D8*(1-'Other Assumptions'!H6)</f>
        <v>16.369187283624328</v>
      </c>
      <c r="E8" s="4">
        <f ca="1">'Total Duration Tables Sup #2'!E8*(1-'Other Assumptions'!I6)</f>
        <v>15.764152162890854</v>
      </c>
      <c r="F8" s="4">
        <f ca="1">'Total Duration Tables Sup #2'!F8*(1-'Other Assumptions'!J6)</f>
        <v>15.025811373540325</v>
      </c>
      <c r="G8" s="4">
        <f ca="1">'Total Duration Tables Sup #2'!G8*(1-'Other Assumptions'!K6)</f>
        <v>14.196817252647657</v>
      </c>
      <c r="H8" s="4">
        <f ca="1">'Total Duration Tables Sup #2'!H8*(1-'Other Assumptions'!L6)</f>
        <v>13.285377609177278</v>
      </c>
      <c r="I8" s="1">
        <f ca="1">'Total Duration Tables Sup #2'!I8*(1-'Other Assumptions'!M6)</f>
        <v>12.511468093446236</v>
      </c>
      <c r="J8" s="1">
        <f ca="1">'Total Duration Tables Sup #2'!J8*(1-'Other Assumptions'!N6)</f>
        <v>11.693019169037264</v>
      </c>
      <c r="K8" s="1">
        <f ca="1">'Total Duration Tables Sup #2'!K8*(1-'Other Assumptions'!O6)</f>
        <v>10.849066664417689</v>
      </c>
    </row>
    <row r="9" spans="1:11" x14ac:dyDescent="0.2">
      <c r="A9" t="str">
        <f ca="1">OFFSET(Northland_Reference,28,2)</f>
        <v>Taxi/Vehicle Share</v>
      </c>
      <c r="B9" s="4">
        <f ca="1">'Total Duration Tables Sup #2'!B9</f>
        <v>2.5131369800000001E-2</v>
      </c>
      <c r="C9" s="4">
        <f ca="1">'Total Duration Tables Sup #2'!C9+((C7+C8)*'Other Assumptions'!G6/(1-'Other Assumptions'!G6))</f>
        <v>2.8697741354471708E-2</v>
      </c>
      <c r="D9" s="4">
        <f ca="1">'Total Duration Tables Sup #2'!D9+((D7+D8)*'Other Assumptions'!H6/(1-'Other Assumptions'!H6))</f>
        <v>3.1500186499762717E-2</v>
      </c>
      <c r="E9" s="4">
        <f ca="1">'Total Duration Tables Sup #2'!E9+((E7+E8)*'Other Assumptions'!I6/(1-'Other Assumptions'!I6))</f>
        <v>2.2589131149081285</v>
      </c>
      <c r="F9" s="4">
        <f ca="1">'Total Duration Tables Sup #2'!F9+((F7+F8)*'Other Assumptions'!J6/(1-'Other Assumptions'!J6))</f>
        <v>4.5596468202021496</v>
      </c>
      <c r="G9" s="4">
        <f ca="1">'Total Duration Tables Sup #2'!G9+((G7+G8)*'Other Assumptions'!K6/(1-'Other Assumptions'!K6))</f>
        <v>6.8786041485527543</v>
      </c>
      <c r="H9" s="4">
        <f ca="1">'Total Duration Tables Sup #2'!H9+((H7+H8)*'Other Assumptions'!L6/(1-'Other Assumptions'!L6))</f>
        <v>9.1850997452160215</v>
      </c>
      <c r="I9" s="1">
        <f ca="1">'Total Duration Tables Sup #2'!I9+((I7+I8)*'Other Assumptions'!M6/(1-'Other Assumptions'!M6))</f>
        <v>11.516259466181843</v>
      </c>
      <c r="J9" s="1">
        <f ca="1">'Total Duration Tables Sup #2'!J9+((J7+J8)*'Other Assumptions'!N6/(1-'Other Assumptions'!N6))</f>
        <v>13.821464558293437</v>
      </c>
      <c r="K9" s="1">
        <f ca="1">'Total Duration Tables Sup #2'!K9+((K7+K8)*'Other Assumptions'!O6/(1-'Other Assumptions'!O6))</f>
        <v>16.095462291819043</v>
      </c>
    </row>
    <row r="10" spans="1:11" x14ac:dyDescent="0.2">
      <c r="A10" t="str">
        <f ca="1">OFFSET(Northland_Reference,35,2)</f>
        <v>Motorcyclist</v>
      </c>
      <c r="B10" s="4">
        <f ca="1">'Total Duration Tables Sup #2'!B10</f>
        <v>0.28382488960000002</v>
      </c>
      <c r="C10" s="4">
        <f ca="1">'Total Duration Tables Sup #2'!C10</f>
        <v>0.30911236184425955</v>
      </c>
      <c r="D10" s="4">
        <f ca="1">'Total Duration Tables Sup #2'!D10</f>
        <v>0.32356150083966789</v>
      </c>
      <c r="E10" s="4">
        <f ca="1">'Total Duration Tables Sup #2'!E10</f>
        <v>0.3290216837279431</v>
      </c>
      <c r="F10" s="4">
        <f ca="1">'Total Duration Tables Sup #2'!F10</f>
        <v>0.33269800557786555</v>
      </c>
      <c r="G10" s="4">
        <f ca="1">'Total Duration Tables Sup #2'!G10</f>
        <v>0.3313691361637886</v>
      </c>
      <c r="H10" s="4">
        <f ca="1">'Total Duration Tables Sup #2'!H10</f>
        <v>0.32807366444596403</v>
      </c>
      <c r="I10" s="1">
        <f ca="1">'Total Duration Tables Sup #2'!I10</f>
        <v>0.33093266152384793</v>
      </c>
      <c r="J10" s="1">
        <f ca="1">'Total Duration Tables Sup #2'!J10</f>
        <v>0.33275602744433874</v>
      </c>
      <c r="K10" s="1">
        <f ca="1">'Total Duration Tables Sup #2'!K10</f>
        <v>0.33387162728181835</v>
      </c>
    </row>
    <row r="11" spans="1:11" x14ac:dyDescent="0.2">
      <c r="A11" t="str">
        <f ca="1">OFFSET(Auckland_Reference,42,2)</f>
        <v>Local Train</v>
      </c>
      <c r="B11" s="4">
        <f ca="1">'Total Duration Tables Sup #2'!B11</f>
        <v>0</v>
      </c>
      <c r="C11" s="4">
        <f ca="1">'Total Duration Tables Sup #2'!C11</f>
        <v>0</v>
      </c>
      <c r="D11" s="4">
        <f ca="1">'Total Duration Tables Sup #2'!D11</f>
        <v>0</v>
      </c>
      <c r="E11" s="4">
        <f ca="1">'Total Duration Tables Sup #2'!E11</f>
        <v>0</v>
      </c>
      <c r="F11" s="4">
        <f ca="1">'Total Duration Tables Sup #2'!F11</f>
        <v>0</v>
      </c>
      <c r="G11" s="4">
        <f ca="1">'Total Duration Tables Sup #2'!G11</f>
        <v>0</v>
      </c>
      <c r="H11" s="4">
        <f ca="1">'Total Duration Tables Sup #2'!H11</f>
        <v>0</v>
      </c>
      <c r="I11" s="1">
        <f ca="1">'Total Duration Tables Sup #2'!I11</f>
        <v>0</v>
      </c>
      <c r="J11" s="1">
        <f ca="1">'Total Duration Tables Sup #2'!J11</f>
        <v>0</v>
      </c>
      <c r="K11" s="1">
        <f ca="1">'Total Duration Tables Sup #2'!K11</f>
        <v>0</v>
      </c>
    </row>
    <row r="12" spans="1:11" x14ac:dyDescent="0.2">
      <c r="A12" t="str">
        <f ca="1">OFFSET(Northland_Reference,42,2)</f>
        <v>Local Bus</v>
      </c>
      <c r="B12" s="4">
        <f ca="1">'Total Duration Tables Sup #2'!B12</f>
        <v>1.5691203781</v>
      </c>
      <c r="C12" s="4">
        <f ca="1">'Total Duration Tables Sup #2'!C12</f>
        <v>1.5488381822923896</v>
      </c>
      <c r="D12" s="4">
        <f ca="1">'Total Duration Tables Sup #2'!D12</f>
        <v>1.5276040827993029</v>
      </c>
      <c r="E12" s="4">
        <f ca="1">'Total Duration Tables Sup #2'!E12</f>
        <v>1.5115340343945509</v>
      </c>
      <c r="F12" s="4">
        <f ca="1">'Total Duration Tables Sup #2'!F12</f>
        <v>1.4755944237363356</v>
      </c>
      <c r="G12" s="4">
        <f ca="1">'Total Duration Tables Sup #2'!G12</f>
        <v>1.4489476480113623</v>
      </c>
      <c r="H12" s="4">
        <f ca="1">'Total Duration Tables Sup #2'!H12</f>
        <v>1.4145525048002141</v>
      </c>
      <c r="I12" s="1">
        <f ca="1">'Total Duration Tables Sup #2'!I12</f>
        <v>1.4228778329422733</v>
      </c>
      <c r="J12" s="1">
        <f ca="1">'Total Duration Tables Sup #2'!J12</f>
        <v>1.4267027779220671</v>
      </c>
      <c r="K12" s="1">
        <f ca="1">'Total Duration Tables Sup #2'!K12</f>
        <v>1.4274699799243107</v>
      </c>
    </row>
    <row r="13" spans="1:11" x14ac:dyDescent="0.2">
      <c r="A13" t="str">
        <f ca="1">OFFSET(Northland_Reference,49,2)</f>
        <v>Local Ferry</v>
      </c>
      <c r="B13" s="4">
        <f ca="1">'Total Duration Tables Sup #2'!B13</f>
        <v>1.4305812299999996E-2</v>
      </c>
      <c r="C13" s="4">
        <f ca="1">'Total Duration Tables Sup #2'!C13</f>
        <v>1.6001639241535262E-2</v>
      </c>
      <c r="D13" s="4">
        <f ca="1">'Total Duration Tables Sup #2'!D13</f>
        <v>1.7092732902743043E-2</v>
      </c>
      <c r="E13" s="4">
        <f ca="1">'Total Duration Tables Sup #2'!E13</f>
        <v>1.7826802869913248E-2</v>
      </c>
      <c r="F13" s="4">
        <f ca="1">'Total Duration Tables Sup #2'!F13</f>
        <v>1.8376858798314424E-2</v>
      </c>
      <c r="G13" s="4">
        <f ca="1">'Total Duration Tables Sup #2'!G13</f>
        <v>1.9239316251078581E-2</v>
      </c>
      <c r="H13" s="4">
        <f ca="1">'Total Duration Tables Sup #2'!H13</f>
        <v>1.9967836645441866E-2</v>
      </c>
      <c r="I13" s="1">
        <f ca="1">'Total Duration Tables Sup #2'!I13</f>
        <v>1.9746906075949932E-2</v>
      </c>
      <c r="J13" s="1">
        <f ca="1">'Total Duration Tables Sup #2'!J13</f>
        <v>1.947082531803862E-2</v>
      </c>
      <c r="K13" s="1">
        <f ca="1">'Total Duration Tables Sup #2'!K13</f>
        <v>1.9161843472760568E-2</v>
      </c>
    </row>
    <row r="14" spans="1:11" x14ac:dyDescent="0.2">
      <c r="A14" t="str">
        <f ca="1">OFFSET(Northland_Reference,56,2)</f>
        <v>Other Household Travel</v>
      </c>
      <c r="B14" s="4">
        <f ca="1">'Total Duration Tables Sup #2'!B14</f>
        <v>0</v>
      </c>
      <c r="C14" s="4">
        <f ca="1">'Total Duration Tables Sup #2'!C14</f>
        <v>0</v>
      </c>
      <c r="D14" s="4">
        <f ca="1">'Total Duration Tables Sup #2'!D14</f>
        <v>0</v>
      </c>
      <c r="E14" s="4">
        <f ca="1">'Total Duration Tables Sup #2'!E14</f>
        <v>0</v>
      </c>
      <c r="F14" s="4">
        <f ca="1">'Total Duration Tables Sup #2'!F14</f>
        <v>0</v>
      </c>
      <c r="G14" s="4">
        <f ca="1">'Total Duration Tables Sup #2'!G14</f>
        <v>0</v>
      </c>
      <c r="H14" s="4">
        <f ca="1">'Total Duration Tables Sup #2'!H14</f>
        <v>0</v>
      </c>
      <c r="I14" s="1">
        <f ca="1">'Total Duration Tables Sup #2'!I14</f>
        <v>0</v>
      </c>
      <c r="J14" s="1">
        <f ca="1">'Total Duration Tables Sup #2'!J14</f>
        <v>0</v>
      </c>
      <c r="K14" s="1">
        <f ca="1">'Total Duration Tables Sup #2'!K14</f>
        <v>0</v>
      </c>
    </row>
    <row r="15" spans="1:11" x14ac:dyDescent="0.2">
      <c r="A15" t="str">
        <f ca="1">OFFSET(Auckland_Reference,0,0)</f>
        <v>02 AUCKLAND</v>
      </c>
      <c r="I15" s="1"/>
      <c r="J15" s="1"/>
      <c r="K15" s="1"/>
    </row>
    <row r="16" spans="1:11" x14ac:dyDescent="0.2">
      <c r="A16" t="str">
        <f ca="1">OFFSET(Auckland_Reference,0,2)</f>
        <v>Pedestrian</v>
      </c>
      <c r="B16" s="4">
        <f ca="1">'Total Duration Tables Sup #2'!B16</f>
        <v>73.381071999</v>
      </c>
      <c r="C16" s="4">
        <f ca="1">'Total Duration Tables Sup #2'!C16+'Total Duration Tables Sup #2'!C18*'Other Assumptions'!G66*'Other Assumptions'!G73+'Total Duration Tables Sup #2'!C19*'Other Assumptions'!G66*'Other Assumptions'!G73</f>
        <v>82.858358676146608</v>
      </c>
      <c r="D16" s="4">
        <f ca="1">'Total Duration Tables Sup #2'!D16+'Total Duration Tables Sup #2'!D18*'Other Assumptions'!H66*'Other Assumptions'!H73+'Total Duration Tables Sup #2'!D19*'Other Assumptions'!H66*'Other Assumptions'!H73</f>
        <v>89.423732895607827</v>
      </c>
      <c r="E16" s="4">
        <f ca="1">'Total Duration Tables Sup #2'!E16+'Total Duration Tables Sup #2'!E18*'Other Assumptions'!I66*'Other Assumptions'!I73+'Total Duration Tables Sup #2'!E19*'Other Assumptions'!I66*'Other Assumptions'!I73</f>
        <v>94.463779399280185</v>
      </c>
      <c r="F16" s="4">
        <f ca="1">'Total Duration Tables Sup #2'!F16+'Total Duration Tables Sup #2'!F18*'Other Assumptions'!J66*'Other Assumptions'!J73+'Total Duration Tables Sup #2'!F19*'Other Assumptions'!J66*'Other Assumptions'!J73</f>
        <v>98.731544643010167</v>
      </c>
      <c r="G16" s="4">
        <f ca="1">'Total Duration Tables Sup #2'!G16+'Total Duration Tables Sup #2'!G18*'Other Assumptions'!K66*'Other Assumptions'!K73+'Total Duration Tables Sup #2'!G19*'Other Assumptions'!K66*'Other Assumptions'!K73</f>
        <v>102.59726414853806</v>
      </c>
      <c r="H16" s="4">
        <f ca="1">'Total Duration Tables Sup #2'!H16+'Total Duration Tables Sup #2'!H18*'Other Assumptions'!L66*'Other Assumptions'!L73+'Total Duration Tables Sup #2'!H19*'Other Assumptions'!L66*'Other Assumptions'!L73</f>
        <v>105.99048437997109</v>
      </c>
      <c r="I16" s="1">
        <f ca="1">'Total Duration Tables Sup #2'!I16+'Total Duration Tables Sup #2'!I18*'Other Assumptions'!M66*'Other Assumptions'!M73+'Total Duration Tables Sup #2'!I19*'Other Assumptions'!M66*'Other Assumptions'!M73</f>
        <v>110.31085957464593</v>
      </c>
      <c r="J16" s="1">
        <f ca="1">'Total Duration Tables Sup #2'!J16+'Total Duration Tables Sup #2'!J18*'Other Assumptions'!N66*'Other Assumptions'!N73+'Total Duration Tables Sup #2'!J19*'Other Assumptions'!N66*'Other Assumptions'!N73</f>
        <v>114.43500445011051</v>
      </c>
      <c r="K16" s="1">
        <f ca="1">'Total Duration Tables Sup #2'!K16+'Total Duration Tables Sup #2'!K18*'Other Assumptions'!O66*'Other Assumptions'!O73+'Total Duration Tables Sup #2'!K19*'Other Assumptions'!O66*'Other Assumptions'!O73</f>
        <v>118.44284212858682</v>
      </c>
    </row>
    <row r="17" spans="1:11" x14ac:dyDescent="0.2">
      <c r="A17" t="str">
        <f ca="1">OFFSET(Auckland_Reference,7,2)</f>
        <v>Cyclist</v>
      </c>
      <c r="B17" s="4">
        <f ca="1">'Total Duration Tables Sup #2'!B17</f>
        <v>4.3659429593999999</v>
      </c>
      <c r="C17" s="4">
        <f ca="1">'Total Duration Tables Sup #2'!C17+'Total Duration Tables Sup #2'!C18*'Other Assumptions'!G66*'Other Assumptions'!G72+'Total Duration Tables Sup #2'!C19*'Other Assumptions'!G66*'Other Assumptions'!G72</f>
        <v>5.0610707267537416</v>
      </c>
      <c r="D17" s="4">
        <f ca="1">'Total Duration Tables Sup #2'!D17+'Total Duration Tables Sup #2'!D18*'Other Assumptions'!H66*'Other Assumptions'!H72+'Total Duration Tables Sup #2'!D19*'Other Assumptions'!H66*'Other Assumptions'!H72</f>
        <v>5.544166868651156</v>
      </c>
      <c r="E17" s="4">
        <f ca="1">'Total Duration Tables Sup #2'!E17+'Total Duration Tables Sup #2'!E18*'Other Assumptions'!I66*'Other Assumptions'!I72+'Total Duration Tables Sup #2'!E19*'Other Assumptions'!I66*'Other Assumptions'!I72</f>
        <v>5.867977424327143</v>
      </c>
      <c r="F17" s="4">
        <f ca="1">'Total Duration Tables Sup #2'!F17+'Total Duration Tables Sup #2'!F18*'Other Assumptions'!J66*'Other Assumptions'!J72+'Total Duration Tables Sup #2'!F19*'Other Assumptions'!J66*'Other Assumptions'!J72</f>
        <v>6.228176529983366</v>
      </c>
      <c r="G17" s="4">
        <f ca="1">'Total Duration Tables Sup #2'!G17+'Total Duration Tables Sup #2'!G18*'Other Assumptions'!K66*'Other Assumptions'!K72+'Total Duration Tables Sup #2'!G19*'Other Assumptions'!K66*'Other Assumptions'!K72</f>
        <v>6.6468950502822421</v>
      </c>
      <c r="H17" s="4">
        <f ca="1">'Total Duration Tables Sup #2'!H17+'Total Duration Tables Sup #2'!H18*'Other Assumptions'!L66*'Other Assumptions'!L72+'Total Duration Tables Sup #2'!H19*'Other Assumptions'!L66*'Other Assumptions'!L72</f>
        <v>7.0672161923290098</v>
      </c>
      <c r="I17" s="1">
        <f ca="1">'Total Duration Tables Sup #2'!I17+'Total Duration Tables Sup #2'!I18*'Other Assumptions'!M66*'Other Assumptions'!M72+'Total Duration Tables Sup #2'!I19*'Other Assumptions'!M66*'Other Assumptions'!M72</f>
        <v>7.4001876299810201</v>
      </c>
      <c r="J17" s="1">
        <f ca="1">'Total Duration Tables Sup #2'!J17+'Total Duration Tables Sup #2'!J18*'Other Assumptions'!N66*'Other Assumptions'!N72+'Total Duration Tables Sup #2'!J19*'Other Assumptions'!N66*'Other Assumptions'!N72</f>
        <v>7.7246161570613383</v>
      </c>
      <c r="K17" s="1">
        <f ca="1">'Total Duration Tables Sup #2'!K17+'Total Duration Tables Sup #2'!K18*'Other Assumptions'!O66*'Other Assumptions'!O72+'Total Duration Tables Sup #2'!K19*'Other Assumptions'!O66*'Other Assumptions'!O72</f>
        <v>8.0463815455964749</v>
      </c>
    </row>
    <row r="18" spans="1:11" x14ac:dyDescent="0.2">
      <c r="A18" t="str">
        <f ca="1">OFFSET(Auckland_Reference,14,2)</f>
        <v>Light Vehicle Driver</v>
      </c>
      <c r="B18" s="4">
        <f ca="1">'Total Duration Tables Sup #2'!B18</f>
        <v>295.36669345000001</v>
      </c>
      <c r="C18" s="4">
        <f ca="1">'Total Duration Tables Sup #2'!C18*(1-'Other Assumptions'!G7)*(1-'Other Assumptions'!G66)</f>
        <v>344.24030246115564</v>
      </c>
      <c r="D18" s="4">
        <f ca="1">'Total Duration Tables Sup #2'!D18*(1-'Other Assumptions'!H7)*(1-'Other Assumptions'!H66)</f>
        <v>375.33430939292577</v>
      </c>
      <c r="E18" s="4">
        <f ca="1">'Total Duration Tables Sup #2'!E18*(1-'Other Assumptions'!I7)*(1-'Other Assumptions'!I66)</f>
        <v>376.79745332253231</v>
      </c>
      <c r="F18" s="4">
        <f ca="1">'Total Duration Tables Sup #2'!F18*(1-'Other Assumptions'!J7)*(1-'Other Assumptions'!J66)</f>
        <v>377.52310014969447</v>
      </c>
      <c r="G18" s="4">
        <f ca="1">'Total Duration Tables Sup #2'!G18*(1-'Other Assumptions'!K7)*(1-'Other Assumptions'!K66)</f>
        <v>372.98499263721459</v>
      </c>
      <c r="H18" s="4">
        <f ca="1">'Total Duration Tables Sup #2'!H18*(1-'Other Assumptions'!L7)*(1-'Other Assumptions'!L66)</f>
        <v>365.28397081435662</v>
      </c>
      <c r="I18" s="1">
        <f ca="1">'Total Duration Tables Sup #2'!I18*(1-'Other Assumptions'!M7)*(1-'Other Assumptions'!M66)</f>
        <v>355.15428607058226</v>
      </c>
      <c r="J18" s="1">
        <f ca="1">'Total Duration Tables Sup #2'!J18*(1-'Other Assumptions'!N7)*(1-'Other Assumptions'!N66)</f>
        <v>342.59756284493278</v>
      </c>
      <c r="K18" s="1">
        <f ca="1">'Total Duration Tables Sup #2'!K18*(1-'Other Assumptions'!O7)*(1-'Other Assumptions'!O66)</f>
        <v>327.93232937585248</v>
      </c>
    </row>
    <row r="19" spans="1:11" x14ac:dyDescent="0.2">
      <c r="A19" t="str">
        <f ca="1">OFFSET(Auckland_Reference,21,2)</f>
        <v>Light Vehicle Passenger</v>
      </c>
      <c r="B19" s="4">
        <f ca="1">'Total Duration Tables Sup #2'!B19</f>
        <v>145.42645436999999</v>
      </c>
      <c r="C19" s="4">
        <f ca="1">'Total Duration Tables Sup #2'!C19*(1-'Other Assumptions'!G7)*(1-'Other Assumptions'!G66+'Other Assumptions'!G66*'Other Assumptions'!G69)+'Total Duration Tables Sup #2'!C18*(1-'Other Assumptions'!G7)*'Other Assumptions'!G66*'Other Assumptions'!G69</f>
        <v>161.3273445947018</v>
      </c>
      <c r="D19" s="4">
        <f ca="1">'Total Duration Tables Sup #2'!D19*(1-'Other Assumptions'!H7)*(1-'Other Assumptions'!H66+'Other Assumptions'!H66*'Other Assumptions'!H69)+'Total Duration Tables Sup #2'!D18*(1-'Other Assumptions'!H7)*'Other Assumptions'!H66*'Other Assumptions'!H69</f>
        <v>168.32900718989572</v>
      </c>
      <c r="E19" s="4">
        <f ca="1">'Total Duration Tables Sup #2'!E19*(1-'Other Assumptions'!I7)*(1-'Other Assumptions'!I66+'Other Assumptions'!I66*'Other Assumptions'!I69)+'Total Duration Tables Sup #2'!E18*(1-'Other Assumptions'!I7)*'Other Assumptions'!I66*'Other Assumptions'!I69</f>
        <v>163.54401068407213</v>
      </c>
      <c r="F19" s="4">
        <f ca="1">'Total Duration Tables Sup #2'!F19*(1-'Other Assumptions'!J7)*(1-'Other Assumptions'!J66+'Other Assumptions'!J66*'Other Assumptions'!J69)+'Total Duration Tables Sup #2'!F18*(1-'Other Assumptions'!J7)*'Other Assumptions'!J66*'Other Assumptions'!J69</f>
        <v>159.79296419168216</v>
      </c>
      <c r="G19" s="4">
        <f ca="1">'Total Duration Tables Sup #2'!G19*(1-'Other Assumptions'!K7)*(1-'Other Assumptions'!K66+'Other Assumptions'!K66*'Other Assumptions'!K69)+'Total Duration Tables Sup #2'!G18*(1-'Other Assumptions'!K7)*'Other Assumptions'!K66*'Other Assumptions'!K69</f>
        <v>154.61748915390245</v>
      </c>
      <c r="H19" s="4">
        <f ca="1">'Total Duration Tables Sup #2'!H19*(1-'Other Assumptions'!L7)*(1-'Other Assumptions'!L66+'Other Assumptions'!L66*'Other Assumptions'!L69)+'Total Duration Tables Sup #2'!H18*(1-'Other Assumptions'!L7)*'Other Assumptions'!L66*'Other Assumptions'!L69</f>
        <v>148.09650927992286</v>
      </c>
      <c r="I19" s="1">
        <f ca="1">'Total Duration Tables Sup #2'!I19*(1-'Other Assumptions'!M7)*(1-'Other Assumptions'!M66+'Other Assumptions'!M66*'Other Assumptions'!M69)+'Total Duration Tables Sup #2'!I18*(1-'Other Assumptions'!M7)*'Other Assumptions'!M66*'Other Assumptions'!M69</f>
        <v>143.20614814620598</v>
      </c>
      <c r="J19" s="1">
        <f ca="1">'Total Duration Tables Sup #2'!J19*(1-'Other Assumptions'!N7)*(1-'Other Assumptions'!N66+'Other Assumptions'!N66*'Other Assumptions'!N69)+'Total Duration Tables Sup #2'!J18*(1-'Other Assumptions'!N7)*'Other Assumptions'!N66*'Other Assumptions'!N69</f>
        <v>137.33402484561299</v>
      </c>
      <c r="K19" s="1">
        <f ca="1">'Total Duration Tables Sup #2'!K19*(1-'Other Assumptions'!O7)*(1-'Other Assumptions'!O66+'Other Assumptions'!O66*'Other Assumptions'!O69)+'Total Duration Tables Sup #2'!K18*(1-'Other Assumptions'!O7)*'Other Assumptions'!O66*'Other Assumptions'!O69</f>
        <v>130.57874400980236</v>
      </c>
    </row>
    <row r="20" spans="1:11" x14ac:dyDescent="0.2">
      <c r="A20" t="str">
        <f ca="1">OFFSET(Auckland_Reference,28,2)</f>
        <v>Taxi/Vehicle Share</v>
      </c>
      <c r="B20" s="4">
        <f ca="1">'Total Duration Tables Sup #2'!B20</f>
        <v>1.9131795197999999</v>
      </c>
      <c r="C20" s="4">
        <f ca="1">'Total Duration Tables Sup #2'!C20+((C18+C19)*'Other Assumptions'!G7/(1-'Other Assumptions'!G7))</f>
        <v>2.3260921486539798</v>
      </c>
      <c r="D20" s="4">
        <f ca="1">'Total Duration Tables Sup #2'!D20+((D18+D19)*'Other Assumptions'!H7/(1-'Other Assumptions'!H7))</f>
        <v>2.682966869284944</v>
      </c>
      <c r="E20" s="4">
        <f ca="1">'Total Duration Tables Sup #2'!E20+((E18+E19)*'Other Assumptions'!I7/(1-'Other Assumptions'!I7))</f>
        <v>31.452088581637888</v>
      </c>
      <c r="F20" s="4">
        <f ca="1">'Total Duration Tables Sup #2'!F20+((F18+F19)*'Other Assumptions'!J7/(1-'Other Assumptions'!J7))</f>
        <v>63.030320718726131</v>
      </c>
      <c r="G20" s="4">
        <f ca="1">'Total Duration Tables Sup #2'!G20+((G18+G19)*'Other Assumptions'!K7/(1-'Other Assumptions'!K7))</f>
        <v>96.707656326037409</v>
      </c>
      <c r="H20" s="4">
        <f ca="1">'Total Duration Tables Sup #2'!H20+((H18+H19)*'Other Assumptions'!L7/(1-'Other Assumptions'!L7))</f>
        <v>132.21581355314933</v>
      </c>
      <c r="I20" s="1">
        <f ca="1">'Total Duration Tables Sup #2'!I20+((I18+I19)*'Other Assumptions'!M7/(1-'Other Assumptions'!M7))</f>
        <v>170.14517515004533</v>
      </c>
      <c r="J20" s="1">
        <f ca="1">'Total Duration Tables Sup #2'!J20+((J18+J19)*'Other Assumptions'!N7/(1-'Other Assumptions'!N7))</f>
        <v>209.85722038746576</v>
      </c>
      <c r="K20" s="1">
        <f ca="1">'Total Duration Tables Sup #2'!K20+((K18+K19)*'Other Assumptions'!O7/(1-'Other Assumptions'!O7))</f>
        <v>251.20621132538994</v>
      </c>
    </row>
    <row r="21" spans="1:11" x14ac:dyDescent="0.2">
      <c r="A21" t="str">
        <f ca="1">OFFSET(Auckland_Reference,35,2)</f>
        <v>Motorcyclist</v>
      </c>
      <c r="B21" s="4">
        <f ca="1">'Total Duration Tables Sup #2'!B21</f>
        <v>1.5334409518000001</v>
      </c>
      <c r="C21" s="4">
        <f ca="1">'Total Duration Tables Sup #2'!C21</f>
        <v>1.7781671753125243</v>
      </c>
      <c r="D21" s="4">
        <f ca="1">'Total Duration Tables Sup #2'!D21</f>
        <v>1.9558522461572925</v>
      </c>
      <c r="E21" s="4">
        <f ca="1">'Total Duration Tables Sup #2'!E21</f>
        <v>2.0689496860821261</v>
      </c>
      <c r="F21" s="4">
        <f ca="1">'Total Duration Tables Sup #2'!F21</f>
        <v>2.1752319571804732</v>
      </c>
      <c r="G21" s="4">
        <f ca="1">'Total Duration Tables Sup #2'!G21</f>
        <v>2.2497167059668715</v>
      </c>
      <c r="H21" s="4">
        <f ca="1">'Total Duration Tables Sup #2'!H21</f>
        <v>2.3120981094407402</v>
      </c>
      <c r="I21" s="1">
        <f ca="1">'Total Duration Tables Sup #2'!I21</f>
        <v>2.4209935508591802</v>
      </c>
      <c r="J21" s="1">
        <f ca="1">'Total Duration Tables Sup #2'!J21</f>
        <v>2.5269639291756585</v>
      </c>
      <c r="K21" s="1">
        <f ca="1">'Total Duration Tables Sup #2'!K21</f>
        <v>2.6319142593032314</v>
      </c>
    </row>
    <row r="22" spans="1:11" x14ac:dyDescent="0.2">
      <c r="A22" t="str">
        <f ca="1">OFFSET(Auckland_Reference,42,2)</f>
        <v>Local Train</v>
      </c>
      <c r="B22" s="4">
        <f ca="1">'Total Duration Tables Sup #2'!B22</f>
        <v>5.3839181294388831</v>
      </c>
      <c r="C22" s="4">
        <f ca="1">'Total Duration Tables Sup #2'!C22+'Total Duration Tables Sup #2'!C18*'Other Assumptions'!G66*'Other Assumptions'!G71+'Total Duration Tables Sup #2'!C19*'Other Assumptions'!G66*'Other Assumptions'!G71</f>
        <v>11.231115861843003</v>
      </c>
      <c r="D22" s="4">
        <f ca="1">'Total Duration Tables Sup #2'!D22+'Total Duration Tables Sup #2'!D18*'Other Assumptions'!H66*'Other Assumptions'!H71+'Total Duration Tables Sup #2'!D19*'Other Assumptions'!H66*'Other Assumptions'!H71</f>
        <v>22.921360438782326</v>
      </c>
      <c r="E22" s="4">
        <f ca="1">'Total Duration Tables Sup #2'!E22+'Total Duration Tables Sup #2'!E18*'Other Assumptions'!I66*'Other Assumptions'!I71+'Total Duration Tables Sup #2'!E19*'Other Assumptions'!I66*'Other Assumptions'!I71</f>
        <v>34.611605015721651</v>
      </c>
      <c r="F22" s="4">
        <f ca="1">'Total Duration Tables Sup #2'!F22+'Total Duration Tables Sup #2'!F18*'Other Assumptions'!J66*'Other Assumptions'!J71+'Total Duration Tables Sup #2'!F19*'Other Assumptions'!J66*'Other Assumptions'!J71</f>
        <v>40.548786576885853</v>
      </c>
      <c r="G22" s="4">
        <f ca="1">'Total Duration Tables Sup #2'!G22+'Total Duration Tables Sup #2'!G18*'Other Assumptions'!K66*'Other Assumptions'!K71+'Total Duration Tables Sup #2'!G19*'Other Assumptions'!K66*'Other Assumptions'!K71</f>
        <v>46.485968138050055</v>
      </c>
      <c r="H22" s="4">
        <f ca="1">'Total Duration Tables Sup #2'!H22+'Total Duration Tables Sup #2'!H18*'Other Assumptions'!L66*'Other Assumptions'!L71+'Total Duration Tables Sup #2'!H19*'Other Assumptions'!L66*'Other Assumptions'!L71</f>
        <v>52.42314969921425</v>
      </c>
      <c r="I22" s="1">
        <f ca="1">'Total Duration Tables Sup #2'!I22+'Total Duration Tables Sup #2'!I18*'Other Assumptions'!M66*'Other Assumptions'!M71+'Total Duration Tables Sup #2'!I19*'Other Assumptions'!M66*'Other Assumptions'!M71</f>
        <v>58.360331260378452</v>
      </c>
      <c r="J22" s="1">
        <f ca="1">'Total Duration Tables Sup #2'!J22+'Total Duration Tables Sup #2'!J18*'Other Assumptions'!N66*'Other Assumptions'!N71+'Total Duration Tables Sup #2'!J19*'Other Assumptions'!N66*'Other Assumptions'!N71</f>
        <v>64.677849838484633</v>
      </c>
      <c r="K22" s="1">
        <f ca="1">'Total Duration Tables Sup #2'!K22+'Total Duration Tables Sup #2'!K18*'Other Assumptions'!O66*'Other Assumptions'!O71+'Total Duration Tables Sup #2'!K19*'Other Assumptions'!O66*'Other Assumptions'!O71</f>
        <v>71.679241179523743</v>
      </c>
    </row>
    <row r="23" spans="1:11" x14ac:dyDescent="0.2">
      <c r="A23" t="str">
        <f ca="1">OFFSET(Auckland_Reference,49,2)</f>
        <v>Local Bus</v>
      </c>
      <c r="B23" s="4">
        <f ca="1">'Total Duration Tables Sup #2'!B23</f>
        <v>22.597670440041398</v>
      </c>
      <c r="C23" s="4">
        <f ca="1">'Total Duration Tables Sup #2'!C23+'Total Duration Tables Sup #2'!C18*'Other Assumptions'!G66*'Other Assumptions'!G70+'Total Duration Tables Sup #2'!C19*'Other Assumptions'!G66*'Other Assumptions'!G70</f>
        <v>25.051866515674377</v>
      </c>
      <c r="D23" s="4">
        <f ca="1">'Total Duration Tables Sup #2'!D23+'Total Duration Tables Sup #2'!D18*'Other Assumptions'!H66*'Other Assumptions'!H70+'Total Duration Tables Sup #2'!D19*'Other Assumptions'!H66*'Other Assumptions'!H70</f>
        <v>33.945906125518299</v>
      </c>
      <c r="E23" s="4">
        <f ca="1">'Total Duration Tables Sup #2'!E23+'Total Duration Tables Sup #2'!E18*'Other Assumptions'!I66*'Other Assumptions'!I70+'Total Duration Tables Sup #2'!E19*'Other Assumptions'!I66*'Other Assumptions'!I70</f>
        <v>42.839945735362214</v>
      </c>
      <c r="F23" s="4">
        <f ca="1">'Total Duration Tables Sup #2'!F23+'Total Duration Tables Sup #2'!F18*'Other Assumptions'!J66*'Other Assumptions'!J70+'Total Duration Tables Sup #2'!F19*'Other Assumptions'!J66*'Other Assumptions'!J70</f>
        <v>48.305336165204189</v>
      </c>
      <c r="G23" s="4">
        <f ca="1">'Total Duration Tables Sup #2'!G23+'Total Duration Tables Sup #2'!G18*'Other Assumptions'!K66*'Other Assumptions'!K70+'Total Duration Tables Sup #2'!G19*'Other Assumptions'!K66*'Other Assumptions'!K70</f>
        <v>53.770726595046149</v>
      </c>
      <c r="H23" s="4">
        <f ca="1">'Total Duration Tables Sup #2'!H23+'Total Duration Tables Sup #2'!H18*'Other Assumptions'!L66*'Other Assumptions'!L70+'Total Duration Tables Sup #2'!H19*'Other Assumptions'!L66*'Other Assumptions'!L70</f>
        <v>59.236117024888109</v>
      </c>
      <c r="I23" s="1">
        <f ca="1">'Total Duration Tables Sup #2'!I23+'Total Duration Tables Sup #2'!I18*'Other Assumptions'!M66*'Other Assumptions'!M70+'Total Duration Tables Sup #2'!I19*'Other Assumptions'!M66*'Other Assumptions'!M70</f>
        <v>64.701507454730077</v>
      </c>
      <c r="J23" s="1">
        <f ca="1">'Total Duration Tables Sup #2'!J23+'Total Duration Tables Sup #2'!J18*'Other Assumptions'!N66*'Other Assumptions'!N70+'Total Duration Tables Sup #2'!J19*'Other Assumptions'!N66*'Other Assumptions'!N70</f>
        <v>70.455197281158135</v>
      </c>
      <c r="K23" s="1">
        <f ca="1">'Total Duration Tables Sup #2'!K23+'Total Duration Tables Sup #2'!K18*'Other Assumptions'!O66*'Other Assumptions'!O70+'Total Duration Tables Sup #2'!K19*'Other Assumptions'!O66*'Other Assumptions'!O70</f>
        <v>76.720543604027242</v>
      </c>
    </row>
    <row r="24" spans="1:11" x14ac:dyDescent="0.2">
      <c r="A24" t="str">
        <f ca="1">OFFSET(Auckland_Reference,56,2)</f>
        <v>Local Ferry</v>
      </c>
      <c r="B24" s="4">
        <f ca="1">'Total Duration Tables Sup #2'!B24</f>
        <v>1.3948644118033415</v>
      </c>
      <c r="C24" s="4">
        <f ca="1">'Total Duration Tables Sup #2'!C24</f>
        <v>1.6612063486495077</v>
      </c>
      <c r="D24" s="4">
        <f ca="1">'Total Duration Tables Sup #2'!D24</f>
        <v>1.8646340039283227</v>
      </c>
      <c r="E24" s="4">
        <f ca="1">'Total Duration Tables Sup #2'!E24</f>
        <v>2.0230273893941488</v>
      </c>
      <c r="F24" s="4">
        <f ca="1">'Total Duration Tables Sup #2'!F24</f>
        <v>2.1683508155876039</v>
      </c>
      <c r="G24" s="4">
        <f ca="1">'Total Duration Tables Sup #2'!G24</f>
        <v>2.3572644298088012</v>
      </c>
      <c r="H24" s="4">
        <f ca="1">'Total Duration Tables Sup #2'!H24</f>
        <v>2.5396203350493005</v>
      </c>
      <c r="I24" s="1">
        <f ca="1">'Total Duration Tables Sup #2'!I24</f>
        <v>2.6070895726409695</v>
      </c>
      <c r="J24" s="1">
        <f ca="1">'Total Duration Tables Sup #2'!J24</f>
        <v>2.6684579531455599</v>
      </c>
      <c r="K24" s="1">
        <f ca="1">'Total Duration Tables Sup #2'!K24</f>
        <v>2.7260411235739519</v>
      </c>
    </row>
    <row r="25" spans="1:11" x14ac:dyDescent="0.2">
      <c r="A25" t="str">
        <f ca="1">OFFSET(Auckland_Reference,63,2)</f>
        <v>Other Household Travel</v>
      </c>
      <c r="B25" s="4">
        <f ca="1">'Total Duration Tables Sup #2'!B25</f>
        <v>2.4325058500000001</v>
      </c>
      <c r="C25" s="4">
        <f ca="1">'Total Duration Tables Sup #2'!C25</f>
        <v>2.8239882643276148</v>
      </c>
      <c r="D25" s="4">
        <f ca="1">'Total Duration Tables Sup #2'!D25</f>
        <v>3.1356630194166648</v>
      </c>
      <c r="E25" s="4">
        <f ca="1">'Total Duration Tables Sup #2'!E25</f>
        <v>3.3514793513518062</v>
      </c>
      <c r="F25" s="4">
        <f ca="1">'Total Duration Tables Sup #2'!F25</f>
        <v>3.5543191279608091</v>
      </c>
      <c r="G25" s="4">
        <f ca="1">'Total Duration Tables Sup #2'!G25</f>
        <v>3.7861112875260363</v>
      </c>
      <c r="H25" s="4">
        <f ca="1">'Total Duration Tables Sup #2'!H25</f>
        <v>4.0061492052915062</v>
      </c>
      <c r="I25" s="1">
        <f ca="1">'Total Duration Tables Sup #2'!I25</f>
        <v>4.1599370285550057</v>
      </c>
      <c r="J25" s="1">
        <f ca="1">'Total Duration Tables Sup #2'!J25</f>
        <v>4.3061112342499985</v>
      </c>
      <c r="K25" s="1">
        <f ca="1">'Total Duration Tables Sup #2'!K25</f>
        <v>4.4480874987756174</v>
      </c>
    </row>
    <row r="26" spans="1:11" x14ac:dyDescent="0.2">
      <c r="A26" t="str">
        <f ca="1">OFFSET(Waikato_Reference,0,0)</f>
        <v>03 WAIKATO</v>
      </c>
      <c r="I26" s="1"/>
      <c r="J26" s="1"/>
      <c r="K26" s="1"/>
    </row>
    <row r="27" spans="1:11" x14ac:dyDescent="0.2">
      <c r="A27" t="str">
        <f ca="1">OFFSET(Waikato_Reference,0,2)</f>
        <v>Pedestrian</v>
      </c>
      <c r="B27" s="4">
        <f ca="1">'Total Duration Tables Sup #2'!B27</f>
        <v>13.69170819</v>
      </c>
      <c r="C27" s="4">
        <f ca="1">'Total Duration Tables Sup #2'!C27</f>
        <v>14.944277679399901</v>
      </c>
      <c r="D27" s="4">
        <f ca="1">'Total Duration Tables Sup #2'!D27</f>
        <v>15.642080894051073</v>
      </c>
      <c r="E27" s="4">
        <f ca="1">'Total Duration Tables Sup #2'!E27</f>
        <v>16.156546772439022</v>
      </c>
      <c r="F27" s="4">
        <f ca="1">'Total Duration Tables Sup #2'!F27</f>
        <v>16.511587824983</v>
      </c>
      <c r="G27" s="4">
        <f ca="1">'Total Duration Tables Sup #2'!G27</f>
        <v>16.807169621103437</v>
      </c>
      <c r="H27" s="4">
        <f ca="1">'Total Duration Tables Sup #2'!H27</f>
        <v>17.031955933076414</v>
      </c>
      <c r="I27" s="1">
        <f ca="1">'Total Duration Tables Sup #2'!I27</f>
        <v>17.380636190698763</v>
      </c>
      <c r="J27" s="1">
        <f ca="1">'Total Duration Tables Sup #2'!J27</f>
        <v>17.680176115498057</v>
      </c>
      <c r="K27" s="1">
        <f ca="1">'Total Duration Tables Sup #2'!K27</f>
        <v>17.946406532554686</v>
      </c>
    </row>
    <row r="28" spans="1:11" x14ac:dyDescent="0.2">
      <c r="A28" t="str">
        <f ca="1">OFFSET(Waikato_Reference,7,2)</f>
        <v>Cyclist</v>
      </c>
      <c r="B28" s="4">
        <f ca="1">'Total Duration Tables Sup #2'!B28</f>
        <v>1.7805943500000001</v>
      </c>
      <c r="C28" s="4">
        <f ca="1">'Total Duration Tables Sup #2'!C28</f>
        <v>1.9950178770760518</v>
      </c>
      <c r="D28" s="4">
        <f ca="1">'Total Duration Tables Sup #2'!D28</f>
        <v>2.1105658460223147</v>
      </c>
      <c r="E28" s="4">
        <f ca="1">'Total Duration Tables Sup #2'!E28</f>
        <v>2.1762472809465279</v>
      </c>
      <c r="F28" s="4">
        <f ca="1">'Total Duration Tables Sup #2'!F28</f>
        <v>2.2543385297495671</v>
      </c>
      <c r="G28" s="4">
        <f ca="1">'Total Duration Tables Sup #2'!G28</f>
        <v>2.3525536107161935</v>
      </c>
      <c r="H28" s="4">
        <f ca="1">'Total Duration Tables Sup #2'!H28</f>
        <v>2.4492878937012663</v>
      </c>
      <c r="I28" s="1">
        <f ca="1">'Total Duration Tables Sup #2'!I28</f>
        <v>2.5113366904668433</v>
      </c>
      <c r="J28" s="1">
        <f ca="1">'Total Duration Tables Sup #2'!J28</f>
        <v>2.5669054381725118</v>
      </c>
      <c r="K28" s="1">
        <f ca="1">'Total Duration Tables Sup #2'!K28</f>
        <v>2.6182091459922603</v>
      </c>
    </row>
    <row r="29" spans="1:11" x14ac:dyDescent="0.2">
      <c r="A29" t="str">
        <f ca="1">OFFSET(Waikato_Reference,14,2)</f>
        <v>Light Vehicle Driver</v>
      </c>
      <c r="B29" s="4">
        <f ca="1">'Total Duration Tables Sup #2'!B29</f>
        <v>82.274552721999996</v>
      </c>
      <c r="C29" s="4">
        <f ca="1">'Total Duration Tables Sup #2'!C29*(1-'Other Assumptions'!G8)</f>
        <v>93.040518374590633</v>
      </c>
      <c r="D29" s="4">
        <f ca="1">'Total Duration Tables Sup #2'!D29*(1-'Other Assumptions'!H8)</f>
        <v>99.45585355310196</v>
      </c>
      <c r="E29" s="4">
        <f ca="1">'Total Duration Tables Sup #2'!E29*(1-'Other Assumptions'!I8)</f>
        <v>98.555489271034205</v>
      </c>
      <c r="F29" s="4">
        <f ca="1">'Total Duration Tables Sup #2'!F29*(1-'Other Assumptions'!J8)</f>
        <v>96.90546917181679</v>
      </c>
      <c r="G29" s="4">
        <f ca="1">'Total Duration Tables Sup #2'!G29*(1-'Other Assumptions'!K8)</f>
        <v>94.114830423168854</v>
      </c>
      <c r="H29" s="4">
        <f ca="1">'Total Duration Tables Sup #2'!H29*(1-'Other Assumptions'!L8)</f>
        <v>90.720742731704718</v>
      </c>
      <c r="I29" s="1">
        <f ca="1">'Total Duration Tables Sup #2'!I29*(1-'Other Assumptions'!M8)</f>
        <v>86.756314822097707</v>
      </c>
      <c r="J29" s="1">
        <f ca="1">'Total Duration Tables Sup #2'!J29*(1-'Other Assumptions'!N8)</f>
        <v>82.334494518397491</v>
      </c>
      <c r="K29" s="1">
        <f ca="1">'Total Duration Tables Sup #2'!K29*(1-'Other Assumptions'!O8)</f>
        <v>77.573302463372201</v>
      </c>
    </row>
    <row r="30" spans="1:11" x14ac:dyDescent="0.2">
      <c r="A30" t="str">
        <f ca="1">OFFSET(Waikato_Reference,21,2)</f>
        <v>Light Vehicle Passenger</v>
      </c>
      <c r="B30" s="4">
        <f ca="1">'Total Duration Tables Sup #2'!B30</f>
        <v>42.037273755000001</v>
      </c>
      <c r="C30" s="4">
        <f ca="1">'Total Duration Tables Sup #2'!C30*(1-'Other Assumptions'!G8)</f>
        <v>45.447764561230272</v>
      </c>
      <c r="D30" s="4">
        <f ca="1">'Total Duration Tables Sup #2'!D30*(1-'Other Assumptions'!H8)</f>
        <v>47.355747844454456</v>
      </c>
      <c r="E30" s="4">
        <f ca="1">'Total Duration Tables Sup #2'!E30*(1-'Other Assumptions'!I8)</f>
        <v>46.218899608010751</v>
      </c>
      <c r="F30" s="4">
        <f ca="1">'Total Duration Tables Sup #2'!F30*(1-'Other Assumptions'!J8)</f>
        <v>44.704917481402759</v>
      </c>
      <c r="G30" s="4">
        <f ca="1">'Total Duration Tables Sup #2'!G30*(1-'Other Assumptions'!K8)</f>
        <v>42.887550676728758</v>
      </c>
      <c r="H30" s="4">
        <f ca="1">'Total Duration Tables Sup #2'!H30*(1-'Other Assumptions'!L8)</f>
        <v>40.794725762033814</v>
      </c>
      <c r="I30" s="1">
        <f ca="1">'Total Duration Tables Sup #2'!I30*(1-'Other Assumptions'!M8)</f>
        <v>39.050648524776804</v>
      </c>
      <c r="J30" s="1">
        <f ca="1">'Total Duration Tables Sup #2'!J30*(1-'Other Assumptions'!N8)</f>
        <v>37.096804601111288</v>
      </c>
      <c r="K30" s="1">
        <f ca="1">'Total Duration Tables Sup #2'!K30*(1-'Other Assumptions'!O8)</f>
        <v>34.98582194513606</v>
      </c>
    </row>
    <row r="31" spans="1:11" x14ac:dyDescent="0.2">
      <c r="A31" t="str">
        <f ca="1">OFFSET(Waikato_Reference,28,2)</f>
        <v>Taxi/Vehicle Share</v>
      </c>
      <c r="B31" s="4">
        <f ca="1">'Total Duration Tables Sup #2'!B31</f>
        <v>0.1633822556</v>
      </c>
      <c r="C31" s="4">
        <f ca="1">'Total Duration Tables Sup #2'!C31+((C29+C30)*'Other Assumptions'!G8/(1-'Other Assumptions'!G8))</f>
        <v>0.19199659705308389</v>
      </c>
      <c r="D31" s="4">
        <f ca="1">'Total Duration Tables Sup #2'!D31+((D29+D30)*'Other Assumptions'!H8/(1-'Other Assumptions'!H8))</f>
        <v>0.2138652152748485</v>
      </c>
      <c r="E31" s="4">
        <f ca="1">'Total Duration Tables Sup #2'!E31+((E29+E30)*'Other Assumptions'!I8/(1-'Other Assumptions'!I8))</f>
        <v>7.8536909711171514</v>
      </c>
      <c r="F31" s="4">
        <f ca="1">'Total Duration Tables Sup #2'!F31+((F29+F30)*'Other Assumptions'!J8/(1-'Other Assumptions'!J8))</f>
        <v>15.986762096501106</v>
      </c>
      <c r="G31" s="4">
        <f ca="1">'Total Duration Tables Sup #2'!G31+((G29+G30)*'Other Assumptions'!K8/(1-'Other Assumptions'!K8))</f>
        <v>24.443789558084795</v>
      </c>
      <c r="H31" s="4">
        <f ca="1">'Total Duration Tables Sup #2'!H31+((H29+H30)*'Other Assumptions'!L8/(1-'Other Assumptions'!L8))</f>
        <v>33.15976113216734</v>
      </c>
      <c r="I31" s="1">
        <f ca="1">'Total Duration Tables Sup #2'!I31+((I29+I30)*'Other Assumptions'!M8/(1-'Other Assumptions'!M8))</f>
        <v>42.221672608108825</v>
      </c>
      <c r="J31" s="1">
        <f ca="1">'Total Duration Tables Sup #2'!J31+((J29+J30)*'Other Assumptions'!N8/(1-'Other Assumptions'!N8))</f>
        <v>51.475155127541285</v>
      </c>
      <c r="K31" s="1">
        <f ca="1">'Total Duration Tables Sup #2'!K31+((K29+K30)*'Other Assumptions'!O8/(1-'Other Assumptions'!O8))</f>
        <v>60.90280205278777</v>
      </c>
    </row>
    <row r="32" spans="1:11" x14ac:dyDescent="0.2">
      <c r="A32" t="str">
        <f ca="1">OFFSET(Waikato_Reference,35,2)</f>
        <v>Motorcyclist</v>
      </c>
      <c r="B32" s="4">
        <f ca="1">'Total Duration Tables Sup #2'!B32</f>
        <v>0.60639269429999998</v>
      </c>
      <c r="C32" s="4">
        <f ca="1">'Total Duration Tables Sup #2'!C32</f>
        <v>0.67963688969697489</v>
      </c>
      <c r="D32" s="4">
        <f ca="1">'Total Duration Tables Sup #2'!D32</f>
        <v>0.72193587785999846</v>
      </c>
      <c r="E32" s="4">
        <f ca="1">'Total Duration Tables Sup #2'!E32</f>
        <v>0.74399446750984599</v>
      </c>
      <c r="F32" s="4">
        <f ca="1">'Total Duration Tables Sup #2'!F32</f>
        <v>0.76342040664971267</v>
      </c>
      <c r="G32" s="4">
        <f ca="1">'Total Duration Tables Sup #2'!G32</f>
        <v>0.7720554805983677</v>
      </c>
      <c r="H32" s="4">
        <f ca="1">'Total Duration Tables Sup #2'!H32</f>
        <v>0.77695825801807339</v>
      </c>
      <c r="I32" s="1">
        <f ca="1">'Total Duration Tables Sup #2'!I32</f>
        <v>0.79662845028122198</v>
      </c>
      <c r="J32" s="1">
        <f ca="1">'Total Duration Tables Sup #2'!J32</f>
        <v>0.81420164238532955</v>
      </c>
      <c r="K32" s="1">
        <f ca="1">'Total Duration Tables Sup #2'!K32</f>
        <v>0.83037720737314846</v>
      </c>
    </row>
    <row r="33" spans="1:11" x14ac:dyDescent="0.2">
      <c r="A33" t="str">
        <f ca="1">OFFSET(Waikato_Reference,42,2)</f>
        <v>Local Train</v>
      </c>
      <c r="B33" s="4">
        <f ca="1">'Total Duration Tables Sup #2'!B33</f>
        <v>0</v>
      </c>
      <c r="C33" s="4">
        <f ca="1">'Total Duration Tables Sup #2'!C33</f>
        <v>0</v>
      </c>
      <c r="D33" s="4">
        <f ca="1">'Total Duration Tables Sup #2'!D33</f>
        <v>0</v>
      </c>
      <c r="E33" s="4">
        <f ca="1">'Total Duration Tables Sup #2'!E33</f>
        <v>0</v>
      </c>
      <c r="F33" s="4">
        <f ca="1">'Total Duration Tables Sup #2'!F33</f>
        <v>0</v>
      </c>
      <c r="G33" s="4">
        <f ca="1">'Total Duration Tables Sup #2'!G33</f>
        <v>0</v>
      </c>
      <c r="H33" s="4">
        <f ca="1">'Total Duration Tables Sup #2'!H33</f>
        <v>0</v>
      </c>
      <c r="I33" s="1">
        <f ca="1">'Total Duration Tables Sup #2'!I33</f>
        <v>0</v>
      </c>
      <c r="J33" s="1">
        <f ca="1">'Total Duration Tables Sup #2'!J33</f>
        <v>0</v>
      </c>
      <c r="K33" s="1">
        <f ca="1">'Total Duration Tables Sup #2'!K33</f>
        <v>0</v>
      </c>
    </row>
    <row r="34" spans="1:11" x14ac:dyDescent="0.2">
      <c r="A34" t="str">
        <f ca="1">OFFSET(Waikato_Reference,49,2)</f>
        <v>Local Bus</v>
      </c>
      <c r="B34" s="4">
        <f ca="1">'Total Duration Tables Sup #2'!B34</f>
        <v>2.2088814398999999</v>
      </c>
      <c r="C34" s="4">
        <f ca="1">'Total Duration Tables Sup #2'!C34</f>
        <v>2.2437748580025585</v>
      </c>
      <c r="D34" s="4">
        <f ca="1">'Total Duration Tables Sup #2'!D34</f>
        <v>2.2457698926102139</v>
      </c>
      <c r="E34" s="4">
        <f ca="1">'Total Duration Tables Sup #2'!E34</f>
        <v>2.2520383231018339</v>
      </c>
      <c r="F34" s="4">
        <f ca="1">'Total Duration Tables Sup #2'!F34</f>
        <v>2.2309674469081728</v>
      </c>
      <c r="G34" s="4">
        <f ca="1">'Total Duration Tables Sup #2'!G34</f>
        <v>2.2243432665147411</v>
      </c>
      <c r="H34" s="4">
        <f ca="1">'Total Duration Tables Sup #2'!H34</f>
        <v>2.207283161451167</v>
      </c>
      <c r="I34" s="1">
        <f ca="1">'Total Duration Tables Sup #2'!I34</f>
        <v>2.2568175714939809</v>
      </c>
      <c r="J34" s="1">
        <f ca="1">'Total Duration Tables Sup #2'!J34</f>
        <v>2.3001290908045742</v>
      </c>
      <c r="K34" s="1">
        <f ca="1">'Total Duration Tables Sup #2'!K34</f>
        <v>2.3392441411648872</v>
      </c>
    </row>
    <row r="35" spans="1:11" x14ac:dyDescent="0.2">
      <c r="A35" t="str">
        <f ca="1">OFFSET(Waikato_Reference,56,2)</f>
        <v>Local Ferry</v>
      </c>
      <c r="B35" s="4">
        <f ca="1">'Total Duration Tables Sup #2'!B35</f>
        <v>9.334266179999999E-2</v>
      </c>
      <c r="C35" s="4">
        <f ca="1">'Total Duration Tables Sup #2'!C35</f>
        <v>0.10744574490935321</v>
      </c>
      <c r="D35" s="4">
        <f ca="1">'Total Duration Tables Sup #2'!D35</f>
        <v>0.11647090936558825</v>
      </c>
      <c r="E35" s="4">
        <f ca="1">'Total Duration Tables Sup #2'!E35</f>
        <v>0.1231070213888321</v>
      </c>
      <c r="F35" s="4">
        <f ca="1">'Total Duration Tables Sup #2'!F35</f>
        <v>0.12878017816078829</v>
      </c>
      <c r="G35" s="4">
        <f ca="1">'Total Duration Tables Sup #2'!G35</f>
        <v>0.1368958441294611</v>
      </c>
      <c r="H35" s="4">
        <f ca="1">'Total Duration Tables Sup #2'!H35</f>
        <v>0.14441806059302145</v>
      </c>
      <c r="I35" s="1">
        <f ca="1">'Total Duration Tables Sup #2'!I35</f>
        <v>0.14517084901572247</v>
      </c>
      <c r="J35" s="1">
        <f ca="1">'Total Duration Tables Sup #2'!J35</f>
        <v>0.14549718122730915</v>
      </c>
      <c r="K35" s="1">
        <f ca="1">'Total Duration Tables Sup #2'!K35</f>
        <v>0.14554502673125025</v>
      </c>
    </row>
    <row r="36" spans="1:11" x14ac:dyDescent="0.2">
      <c r="A36" t="str">
        <f ca="1">OFFSET(Waikato_Reference,63,2)</f>
        <v>Other Household Travel</v>
      </c>
      <c r="B36" s="4">
        <f ca="1">'Total Duration Tables Sup #2'!B36</f>
        <v>0.63404452519999999</v>
      </c>
      <c r="C36" s="4">
        <f ca="1">'Total Duration Tables Sup #2'!C36</f>
        <v>0.71145297986114286</v>
      </c>
      <c r="D36" s="4">
        <f ca="1">'Total Duration Tables Sup #2'!D36</f>
        <v>0.76290581783570588</v>
      </c>
      <c r="E36" s="4">
        <f ca="1">'Total Duration Tables Sup #2'!E36</f>
        <v>0.79439277412335962</v>
      </c>
      <c r="F36" s="4">
        <f ca="1">'Total Duration Tables Sup #2'!F36</f>
        <v>0.82223047405710881</v>
      </c>
      <c r="G36" s="4">
        <f ca="1">'Total Duration Tables Sup #2'!G36</f>
        <v>0.85643224963980213</v>
      </c>
      <c r="H36" s="4">
        <f ca="1">'Total Duration Tables Sup #2'!H36</f>
        <v>0.8873552210794321</v>
      </c>
      <c r="I36" s="1">
        <f ca="1">'Total Duration Tables Sup #2'!I36</f>
        <v>0.90225209016112917</v>
      </c>
      <c r="J36" s="1">
        <f ca="1">'Total Duration Tables Sup #2'!J36</f>
        <v>0.914528272185402</v>
      </c>
      <c r="K36" s="1">
        <f ca="1">'Total Duration Tables Sup #2'!K36</f>
        <v>0.92503031369453326</v>
      </c>
    </row>
    <row r="37" spans="1:11" x14ac:dyDescent="0.2">
      <c r="A37" t="str">
        <f ca="1">OFFSET(BOP_Reference,0,0)</f>
        <v>04 BAY OF PLENTY</v>
      </c>
      <c r="I37" s="1"/>
      <c r="J37" s="1"/>
      <c r="K37" s="1"/>
    </row>
    <row r="38" spans="1:11" x14ac:dyDescent="0.2">
      <c r="A38" t="str">
        <f ca="1">OFFSET(BOP_Reference,0,2)</f>
        <v>Pedestrian</v>
      </c>
      <c r="B38" s="4">
        <f ca="1">'Total Duration Tables Sup #2'!B38</f>
        <v>9.1706746114000008</v>
      </c>
      <c r="C38" s="4">
        <f ca="1">'Total Duration Tables Sup #2'!C38</f>
        <v>9.8710184394519587</v>
      </c>
      <c r="D38" s="4">
        <f ca="1">'Total Duration Tables Sup #2'!D38</f>
        <v>10.261517801825317</v>
      </c>
      <c r="E38" s="4">
        <f ca="1">'Total Duration Tables Sup #2'!E38</f>
        <v>10.528356568088068</v>
      </c>
      <c r="F38" s="4">
        <f ca="1">'Total Duration Tables Sup #2'!F38</f>
        <v>10.69066303876046</v>
      </c>
      <c r="G38" s="4">
        <f ca="1">'Total Duration Tables Sup #2'!G38</f>
        <v>10.808201289876473</v>
      </c>
      <c r="H38" s="4">
        <f ca="1">'Total Duration Tables Sup #2'!H38</f>
        <v>10.878770886546294</v>
      </c>
      <c r="I38" s="1">
        <f ca="1">'Total Duration Tables Sup #2'!I38</f>
        <v>11.02649383469898</v>
      </c>
      <c r="J38" s="1">
        <f ca="1">'Total Duration Tables Sup #2'!J38</f>
        <v>11.140760064124125</v>
      </c>
      <c r="K38" s="1">
        <f ca="1">'Total Duration Tables Sup #2'!K38</f>
        <v>11.232132035275935</v>
      </c>
    </row>
    <row r="39" spans="1:11" x14ac:dyDescent="0.2">
      <c r="A39" t="str">
        <f ca="1">OFFSET(BOP_Reference,7,2)</f>
        <v>Cyclist</v>
      </c>
      <c r="B39" s="4">
        <f ca="1">'Total Duration Tables Sup #2'!B39</f>
        <v>0.91801276549999999</v>
      </c>
      <c r="C39" s="4">
        <f ca="1">'Total Duration Tables Sup #2'!C39</f>
        <v>1.0143174705950837</v>
      </c>
      <c r="D39" s="4">
        <f ca="1">'Total Duration Tables Sup #2'!D39</f>
        <v>1.065751765684217</v>
      </c>
      <c r="E39" s="4">
        <f ca="1">'Total Duration Tables Sup #2'!E39</f>
        <v>1.0915920492680877</v>
      </c>
      <c r="F39" s="4">
        <f ca="1">'Total Duration Tables Sup #2'!F39</f>
        <v>1.123505015656336</v>
      </c>
      <c r="G39" s="4">
        <f ca="1">'Total Duration Tables Sup #2'!G39</f>
        <v>1.1644972031944085</v>
      </c>
      <c r="H39" s="4">
        <f ca="1">'Total Duration Tables Sup #2'!H39</f>
        <v>1.2041905673766438</v>
      </c>
      <c r="I39" s="1">
        <f ca="1">'Total Duration Tables Sup #2'!I39</f>
        <v>1.2263566520913862</v>
      </c>
      <c r="J39" s="1">
        <f ca="1">'Total Duration Tables Sup #2'!J39</f>
        <v>1.2450253202920945</v>
      </c>
      <c r="K39" s="1">
        <f ca="1">'Total Duration Tables Sup #2'!K39</f>
        <v>1.2613311281569854</v>
      </c>
    </row>
    <row r="40" spans="1:11" x14ac:dyDescent="0.2">
      <c r="A40" t="str">
        <f ca="1">OFFSET(BOP_Reference,14,2)</f>
        <v>Light Vehicle Driver</v>
      </c>
      <c r="B40" s="4">
        <f ca="1">'Total Duration Tables Sup #2'!B40</f>
        <v>45.59682093</v>
      </c>
      <c r="C40" s="4">
        <f ca="1">'Total Duration Tables Sup #2'!C40*(1-'Other Assumptions'!G9)</f>
        <v>50.849248670211857</v>
      </c>
      <c r="D40" s="4">
        <f ca="1">'Total Duration Tables Sup #2'!D40*(1-'Other Assumptions'!H9)</f>
        <v>53.984963073713743</v>
      </c>
      <c r="E40" s="4">
        <f ca="1">'Total Duration Tables Sup #2'!E40*(1-'Other Assumptions'!I9)</f>
        <v>53.1395956394379</v>
      </c>
      <c r="F40" s="4">
        <f ca="1">'Total Duration Tables Sup #2'!F40*(1-'Other Assumptions'!J9)</f>
        <v>51.914595576027828</v>
      </c>
      <c r="G40" s="4">
        <f ca="1">'Total Duration Tables Sup #2'!G40*(1-'Other Assumptions'!K9)</f>
        <v>50.077459641543307</v>
      </c>
      <c r="H40" s="4">
        <f ca="1">'Total Duration Tables Sup #2'!H40*(1-'Other Assumptions'!L9)</f>
        <v>47.945437625342677</v>
      </c>
      <c r="I40" s="1">
        <f ca="1">'Total Duration Tables Sup #2'!I40*(1-'Other Assumptions'!M9)</f>
        <v>45.540547792107731</v>
      </c>
      <c r="J40" s="1">
        <f ca="1">'Total Duration Tables Sup #2'!J40*(1-'Other Assumptions'!N9)</f>
        <v>42.927484702457171</v>
      </c>
      <c r="K40" s="1">
        <f ca="1">'Total Duration Tables Sup #2'!K40*(1-'Other Assumptions'!O9)</f>
        <v>40.171899137611071</v>
      </c>
    </row>
    <row r="41" spans="1:11" x14ac:dyDescent="0.2">
      <c r="A41" t="str">
        <f ca="1">OFFSET(BOP_Reference,21,2)</f>
        <v>Light Vehicle Passenger</v>
      </c>
      <c r="B41" s="4">
        <f ca="1">'Total Duration Tables Sup #2'!B41</f>
        <v>28.895615969000001</v>
      </c>
      <c r="C41" s="4">
        <f ca="1">'Total Duration Tables Sup #2'!C41*(1-'Other Assumptions'!G9)</f>
        <v>30.807277817866115</v>
      </c>
      <c r="D41" s="4">
        <f ca="1">'Total Duration Tables Sup #2'!D41*(1-'Other Assumptions'!H9)</f>
        <v>31.881851805382336</v>
      </c>
      <c r="E41" s="4">
        <f ca="1">'Total Duration Tables Sup #2'!E41*(1-'Other Assumptions'!I9)</f>
        <v>30.909032285524276</v>
      </c>
      <c r="F41" s="4">
        <f ca="1">'Total Duration Tables Sup #2'!F41*(1-'Other Assumptions'!J9)</f>
        <v>29.704679015196021</v>
      </c>
      <c r="G41" s="4">
        <f ca="1">'Total Duration Tables Sup #2'!G41*(1-'Other Assumptions'!K9)</f>
        <v>28.303741519810931</v>
      </c>
      <c r="H41" s="4">
        <f ca="1">'Total Duration Tables Sup #2'!H41*(1-'Other Assumptions'!L9)</f>
        <v>26.740719443888516</v>
      </c>
      <c r="I41" s="1">
        <f ca="1">'Total Duration Tables Sup #2'!I41*(1-'Other Assumptions'!M9)</f>
        <v>25.424579839600682</v>
      </c>
      <c r="J41" s="1">
        <f ca="1">'Total Duration Tables Sup #2'!J41*(1-'Other Assumptions'!N9)</f>
        <v>23.989351102955403</v>
      </c>
      <c r="K41" s="1">
        <f ca="1">'Total Duration Tables Sup #2'!K41*(1-'Other Assumptions'!O9)</f>
        <v>22.471421404824927</v>
      </c>
    </row>
    <row r="42" spans="1:11" x14ac:dyDescent="0.2">
      <c r="A42" t="str">
        <f ca="1">OFFSET(BOP_Reference,28,2)</f>
        <v>Taxi/Vehicle Share</v>
      </c>
      <c r="B42" s="4">
        <f ca="1">'Total Duration Tables Sup #2'!B42</f>
        <v>7.3048454499999999E-2</v>
      </c>
      <c r="C42" s="4">
        <f ca="1">'Total Duration Tables Sup #2'!C42+((C40+C41)*'Other Assumptions'!G9/(1-'Other Assumptions'!G9))</f>
        <v>8.4653137798126291E-2</v>
      </c>
      <c r="D42" s="4">
        <f ca="1">'Total Duration Tables Sup #2'!D42+((D40+D41)*'Other Assumptions'!H9/(1-'Other Assumptions'!H9))</f>
        <v>9.3652575059876619E-2</v>
      </c>
      <c r="E42" s="4">
        <f ca="1">'Total Duration Tables Sup #2'!E42+((E40+E41)*'Other Assumptions'!I9/(1-'Other Assumptions'!I9))</f>
        <v>4.5253925838953331</v>
      </c>
      <c r="F42" s="4">
        <f ca="1">'Total Duration Tables Sup #2'!F42+((F40+F41)*'Other Assumptions'!J9/(1-'Other Assumptions'!J9))</f>
        <v>9.1778397859308924</v>
      </c>
      <c r="G42" s="4">
        <f ca="1">'Total Duration Tables Sup #2'!G42+((G40+G41)*'Other Assumptions'!K9/(1-'Other Assumptions'!K9))</f>
        <v>13.946545885283866</v>
      </c>
      <c r="H42" s="4">
        <f ca="1">'Total Duration Tables Sup #2'!H42+((H40+H41)*'Other Assumptions'!L9/(1-'Other Assumptions'!L9))</f>
        <v>18.791301608218777</v>
      </c>
      <c r="I42" s="1">
        <f ca="1">'Total Duration Tables Sup #2'!I42+((I40+I41)*'Other Assumptions'!M9/(1-'Other Assumptions'!M9))</f>
        <v>23.776165893263933</v>
      </c>
      <c r="J42" s="1">
        <f ca="1">'Total Duration Tables Sup #2'!J42+((J40+J41)*'Other Assumptions'!N9/(1-'Other Assumptions'!N9))</f>
        <v>28.800755450192575</v>
      </c>
      <c r="K42" s="1">
        <f ca="1">'Total Duration Tables Sup #2'!K42+((K40+K41)*'Other Assumptions'!O9/(1-'Other Assumptions'!O9))</f>
        <v>33.853863808216637</v>
      </c>
    </row>
    <row r="43" spans="1:11" x14ac:dyDescent="0.2">
      <c r="A43" t="str">
        <f ca="1">OFFSET(BOP_Reference,35,2)</f>
        <v>Motorcyclist</v>
      </c>
      <c r="B43" s="4">
        <f ca="1">'Total Duration Tables Sup #2'!B43</f>
        <v>0.60409197079999999</v>
      </c>
      <c r="C43" s="4">
        <f ca="1">'Total Duration Tables Sup #2'!C43</f>
        <v>0.66768163601491515</v>
      </c>
      <c r="D43" s="4">
        <f ca="1">'Total Duration Tables Sup #2'!D43</f>
        <v>0.70440293026683087</v>
      </c>
      <c r="E43" s="4">
        <f ca="1">'Total Duration Tables Sup #2'!E43</f>
        <v>0.72108622954530321</v>
      </c>
      <c r="F43" s="4">
        <f ca="1">'Total Duration Tables Sup #2'!F43</f>
        <v>0.73516533404762385</v>
      </c>
      <c r="G43" s="4">
        <f ca="1">'Total Duration Tables Sup #2'!G43</f>
        <v>0.7384359040353371</v>
      </c>
      <c r="H43" s="4">
        <f ca="1">'Total Duration Tables Sup #2'!H43</f>
        <v>0.73810550730482472</v>
      </c>
      <c r="I43" s="1">
        <f ca="1">'Total Duration Tables Sup #2'!I43</f>
        <v>0.75168007006677462</v>
      </c>
      <c r="J43" s="1">
        <f ca="1">'Total Duration Tables Sup #2'!J43</f>
        <v>0.76307225231851417</v>
      </c>
      <c r="K43" s="1">
        <f ca="1">'Total Duration Tables Sup #2'!K43</f>
        <v>0.77297522029482979</v>
      </c>
    </row>
    <row r="44" spans="1:11" x14ac:dyDescent="0.2">
      <c r="A44" t="str">
        <f ca="1">OFFSET(Auckland_Reference,42,2)</f>
        <v>Local Train</v>
      </c>
      <c r="B44" s="4">
        <f ca="1">'Total Duration Tables Sup #2'!B44</f>
        <v>0</v>
      </c>
      <c r="C44" s="4">
        <f ca="1">'Total Duration Tables Sup #2'!C44</f>
        <v>0</v>
      </c>
      <c r="D44" s="4">
        <f ca="1">'Total Duration Tables Sup #2'!D44</f>
        <v>0</v>
      </c>
      <c r="E44" s="4">
        <f ca="1">'Total Duration Tables Sup #2'!E44</f>
        <v>0</v>
      </c>
      <c r="F44" s="4">
        <f ca="1">'Total Duration Tables Sup #2'!F44</f>
        <v>0</v>
      </c>
      <c r="G44" s="4">
        <f ca="1">'Total Duration Tables Sup #2'!G44</f>
        <v>0</v>
      </c>
      <c r="H44" s="4">
        <f ca="1">'Total Duration Tables Sup #2'!H44</f>
        <v>0</v>
      </c>
      <c r="I44" s="1">
        <f ca="1">'Total Duration Tables Sup #2'!I44</f>
        <v>0</v>
      </c>
      <c r="J44" s="1">
        <f ca="1">'Total Duration Tables Sup #2'!J44</f>
        <v>0</v>
      </c>
      <c r="K44" s="1">
        <f ca="1">'Total Duration Tables Sup #2'!K44</f>
        <v>0</v>
      </c>
    </row>
    <row r="45" spans="1:11" x14ac:dyDescent="0.2">
      <c r="A45" t="str">
        <f ca="1">OFFSET(BOP_Reference,42,2)</f>
        <v>Local Bus</v>
      </c>
      <c r="B45" s="4">
        <f ca="1">'Total Duration Tables Sup #2'!B45</f>
        <v>2.9412276716000001</v>
      </c>
      <c r="C45" s="4">
        <f ca="1">'Total Duration Tables Sup #2'!C45</f>
        <v>2.9463131173169219</v>
      </c>
      <c r="D45" s="4">
        <f ca="1">'Total Duration Tables Sup #2'!D45</f>
        <v>2.9288350821679217</v>
      </c>
      <c r="E45" s="4">
        <f ca="1">'Total Duration Tables Sup #2'!E45</f>
        <v>2.9174297463164716</v>
      </c>
      <c r="F45" s="4">
        <f ca="1">'Total Duration Tables Sup #2'!F45</f>
        <v>2.8715846485247765</v>
      </c>
      <c r="G45" s="4">
        <f ca="1">'Total Duration Tables Sup #2'!G45</f>
        <v>2.8436309872694392</v>
      </c>
      <c r="H45" s="4">
        <f ca="1">'Total Duration Tables Sup #2'!H45</f>
        <v>2.8027602089111183</v>
      </c>
      <c r="I45" s="1">
        <f ca="1">'Total Duration Tables Sup #2'!I45</f>
        <v>2.8463009110766637</v>
      </c>
      <c r="J45" s="1">
        <f ca="1">'Total Duration Tables Sup #2'!J45</f>
        <v>2.8813302073655747</v>
      </c>
      <c r="K45" s="1">
        <f ca="1">'Total Duration Tables Sup #2'!K45</f>
        <v>2.9105350682565962</v>
      </c>
    </row>
    <row r="46" spans="1:11" x14ac:dyDescent="0.2">
      <c r="A46" t="str">
        <f ca="1">OFFSET(Waikato_Reference,56,2)</f>
        <v>Local Ferry</v>
      </c>
      <c r="B46" s="4">
        <f ca="1">'Total Duration Tables Sup #2'!B46</f>
        <v>0</v>
      </c>
      <c r="C46" s="4">
        <f ca="1">'Total Duration Tables Sup #2'!C46</f>
        <v>0</v>
      </c>
      <c r="D46" s="4">
        <f ca="1">'Total Duration Tables Sup #2'!D46</f>
        <v>0</v>
      </c>
      <c r="E46" s="4">
        <f ca="1">'Total Duration Tables Sup #2'!E46</f>
        <v>0</v>
      </c>
      <c r="F46" s="4">
        <f ca="1">'Total Duration Tables Sup #2'!F46</f>
        <v>0</v>
      </c>
      <c r="G46" s="4">
        <f ca="1">'Total Duration Tables Sup #2'!G46</f>
        <v>0</v>
      </c>
      <c r="H46" s="4">
        <f ca="1">'Total Duration Tables Sup #2'!H46</f>
        <v>0</v>
      </c>
      <c r="I46" s="1">
        <f ca="1">'Total Duration Tables Sup #2'!I46</f>
        <v>0</v>
      </c>
      <c r="J46" s="1">
        <f ca="1">'Total Duration Tables Sup #2'!J46</f>
        <v>0</v>
      </c>
      <c r="K46" s="1">
        <f ca="1">'Total Duration Tables Sup #2'!K46</f>
        <v>0</v>
      </c>
    </row>
    <row r="47" spans="1:11" x14ac:dyDescent="0.2">
      <c r="A47" t="str">
        <f ca="1">OFFSET(BOP_Reference,49,2)</f>
        <v>Other Household Travel</v>
      </c>
      <c r="B47" s="4">
        <f ca="1">'Total Duration Tables Sup #2'!B47</f>
        <v>0.21279540499999999</v>
      </c>
      <c r="C47" s="4">
        <f ca="1">'Total Duration Tables Sup #2'!C47</f>
        <v>0.23546809831721172</v>
      </c>
      <c r="D47" s="4">
        <f ca="1">'Total Duration Tables Sup #2'!D47</f>
        <v>0.2507765025478253</v>
      </c>
      <c r="E47" s="4">
        <f ca="1">'Total Duration Tables Sup #2'!E47</f>
        <v>0.2593857819815904</v>
      </c>
      <c r="F47" s="4">
        <f ca="1">'Total Duration Tables Sup #2'!F47</f>
        <v>0.26675232301065843</v>
      </c>
      <c r="G47" s="4">
        <f ca="1">'Total Duration Tables Sup #2'!G47</f>
        <v>0.27596289540466473</v>
      </c>
      <c r="H47" s="4">
        <f ca="1">'Total Duration Tables Sup #2'!H47</f>
        <v>0.28399562753738378</v>
      </c>
      <c r="I47" s="1">
        <f ca="1">'Total Duration Tables Sup #2'!I47</f>
        <v>0.28681278446772396</v>
      </c>
      <c r="J47" s="1">
        <f ca="1">'Total Duration Tables Sup #2'!J47</f>
        <v>0.28875147363627635</v>
      </c>
      <c r="K47" s="1">
        <f ca="1">'Total Duration Tables Sup #2'!K47</f>
        <v>0.29009450514924762</v>
      </c>
    </row>
    <row r="48" spans="1:11" x14ac:dyDescent="0.2">
      <c r="A48" t="str">
        <f ca="1">OFFSET(Gisborne_Reference,0,0)</f>
        <v>05 GISBORNE</v>
      </c>
      <c r="I48" s="1"/>
      <c r="J48" s="1"/>
      <c r="K48" s="1"/>
    </row>
    <row r="49" spans="1:11" x14ac:dyDescent="0.2">
      <c r="A49" t="str">
        <f ca="1">OFFSET(Gisborne_Reference,0,2)</f>
        <v>Pedestrian</v>
      </c>
      <c r="B49" s="4">
        <f ca="1">'Total Duration Tables Sup #2'!B49</f>
        <v>2.2694063563000002</v>
      </c>
      <c r="C49" s="4">
        <f ca="1">'Total Duration Tables Sup #2'!C49</f>
        <v>2.3230074222108041</v>
      </c>
      <c r="D49" s="4">
        <f ca="1">'Total Duration Tables Sup #2'!D49</f>
        <v>2.3446125418386128</v>
      </c>
      <c r="E49" s="4">
        <f ca="1">'Total Duration Tables Sup #2'!E49</f>
        <v>2.3506367897738918</v>
      </c>
      <c r="F49" s="4">
        <f ca="1">'Total Duration Tables Sup #2'!F49</f>
        <v>2.3332774254634314</v>
      </c>
      <c r="G49" s="4">
        <f ca="1">'Total Duration Tables Sup #2'!G49</f>
        <v>2.303342031220966</v>
      </c>
      <c r="H49" s="4">
        <f ca="1">'Total Duration Tables Sup #2'!H49</f>
        <v>2.2640616552226329</v>
      </c>
      <c r="I49" s="1">
        <f ca="1">'Total Duration Tables Sup #2'!I49</f>
        <v>2.2410382484372113</v>
      </c>
      <c r="J49" s="1">
        <f ca="1">'Total Duration Tables Sup #2'!J49</f>
        <v>2.2112103660034905</v>
      </c>
      <c r="K49" s="1">
        <f ca="1">'Total Duration Tables Sup #2'!K49</f>
        <v>2.1771123999431325</v>
      </c>
    </row>
    <row r="50" spans="1:11" x14ac:dyDescent="0.2">
      <c r="A50" t="str">
        <f ca="1">OFFSET(Gisborne_Reference,7,2)</f>
        <v>Cyclist</v>
      </c>
      <c r="B50" s="4">
        <f ca="1">'Total Duration Tables Sup #2'!B50</f>
        <v>0.28046850410000002</v>
      </c>
      <c r="C50" s="4">
        <f ca="1">'Total Duration Tables Sup #2'!C50</f>
        <v>0.29470461392771735</v>
      </c>
      <c r="D50" s="4">
        <f ca="1">'Total Duration Tables Sup #2'!D50</f>
        <v>0.30063527486792441</v>
      </c>
      <c r="E50" s="4">
        <f ca="1">'Total Duration Tables Sup #2'!E50</f>
        <v>0.30089135012999979</v>
      </c>
      <c r="F50" s="4">
        <f ca="1">'Total Duration Tables Sup #2'!F50</f>
        <v>0.30273396491120613</v>
      </c>
      <c r="G50" s="4">
        <f ca="1">'Total Duration Tables Sup #2'!G50</f>
        <v>0.30638524978880671</v>
      </c>
      <c r="H50" s="4">
        <f ca="1">'Total Duration Tables Sup #2'!H50</f>
        <v>0.30940550414832491</v>
      </c>
      <c r="I50" s="1">
        <f ca="1">'Total Duration Tables Sup #2'!I50</f>
        <v>0.30771808156384256</v>
      </c>
      <c r="J50" s="1">
        <f ca="1">'Total Duration Tables Sup #2'!J50</f>
        <v>0.30508286746524438</v>
      </c>
      <c r="K50" s="1">
        <f ca="1">'Total Duration Tables Sup #2'!K50</f>
        <v>0.30183678080097137</v>
      </c>
    </row>
    <row r="51" spans="1:11" x14ac:dyDescent="0.2">
      <c r="A51" t="str">
        <f ca="1">OFFSET(Gisborne_Reference,14,2)</f>
        <v>Light Vehicle Driver</v>
      </c>
      <c r="B51" s="4">
        <f ca="1">'Total Duration Tables Sup #2'!B51</f>
        <v>6.0182660548999998</v>
      </c>
      <c r="C51" s="4">
        <f ca="1">'Total Duration Tables Sup #2'!C51*(1-'Other Assumptions'!G10)</f>
        <v>6.3826203254388867</v>
      </c>
      <c r="D51" s="4">
        <f ca="1">'Total Duration Tables Sup #2'!D51*(1-'Other Assumptions'!H10)</f>
        <v>6.5789733304204745</v>
      </c>
      <c r="E51" s="4">
        <f ca="1">'Total Duration Tables Sup #2'!E51*(1-'Other Assumptions'!I10)</f>
        <v>6.3280372323857828</v>
      </c>
      <c r="F51" s="4">
        <f ca="1">'Total Duration Tables Sup #2'!F51*(1-'Other Assumptions'!J10)</f>
        <v>6.0433402937685754</v>
      </c>
      <c r="G51" s="4">
        <f ca="1">'Total Duration Tables Sup #2'!G51*(1-'Other Assumptions'!K10)</f>
        <v>5.6921080347963331</v>
      </c>
      <c r="H51" s="4">
        <f ca="1">'Total Duration Tables Sup #2'!H51*(1-'Other Assumptions'!L10)</f>
        <v>5.3220817647739089</v>
      </c>
      <c r="I51" s="1">
        <f ca="1">'Total Duration Tables Sup #2'!I51*(1-'Other Assumptions'!M10)</f>
        <v>4.9366906817706147</v>
      </c>
      <c r="J51" s="1">
        <f ca="1">'Total Duration Tables Sup #2'!J51*(1-'Other Assumptions'!N10)</f>
        <v>4.5443996641666882</v>
      </c>
      <c r="K51" s="1">
        <f ca="1">'Total Duration Tables Sup #2'!K51*(1-'Other Assumptions'!O10)</f>
        <v>4.1530470503596204</v>
      </c>
    </row>
    <row r="52" spans="1:11" x14ac:dyDescent="0.2">
      <c r="A52" t="str">
        <f ca="1">OFFSET(Gisborne_Reference,21,2)</f>
        <v>Light Vehicle Passenger</v>
      </c>
      <c r="B52" s="4">
        <f ca="1">'Total Duration Tables Sup #2'!B52</f>
        <v>4.5909579553000004</v>
      </c>
      <c r="C52" s="4">
        <f ca="1">'Total Duration Tables Sup #2'!C52*(1-'Other Assumptions'!G10)</f>
        <v>4.6548140373279514</v>
      </c>
      <c r="D52" s="4">
        <f ca="1">'Total Duration Tables Sup #2'!D52*(1-'Other Assumptions'!H10)</f>
        <v>4.676957201316772</v>
      </c>
      <c r="E52" s="4">
        <f ca="1">'Total Duration Tables Sup #2'!E52*(1-'Other Assumptions'!I10)</f>
        <v>4.4306835043822357</v>
      </c>
      <c r="F52" s="4">
        <f ca="1">'Total Duration Tables Sup #2'!F52*(1-'Other Assumptions'!J10)</f>
        <v>4.1624303353774286</v>
      </c>
      <c r="G52" s="4">
        <f ca="1">'Total Duration Tables Sup #2'!G52*(1-'Other Assumptions'!K10)</f>
        <v>3.8726587878375165</v>
      </c>
      <c r="H52" s="4">
        <f ca="1">'Total Duration Tables Sup #2'!H52*(1-'Other Assumptions'!L10)</f>
        <v>3.5730729466350035</v>
      </c>
      <c r="I52" s="1">
        <f ca="1">'Total Duration Tables Sup #2'!I52*(1-'Other Assumptions'!M10)</f>
        <v>3.3176150350838429</v>
      </c>
      <c r="J52" s="1">
        <f ca="1">'Total Duration Tables Sup #2'!J52*(1-'Other Assumptions'!N10)</f>
        <v>3.0569906993097939</v>
      </c>
      <c r="K52" s="1">
        <f ca="1">'Total Duration Tables Sup #2'!K52*(1-'Other Assumptions'!O10)</f>
        <v>2.7964661808749867</v>
      </c>
    </row>
    <row r="53" spans="1:11" x14ac:dyDescent="0.2">
      <c r="A53" t="str">
        <f ca="1">OFFSET(Gisborne_Reference,28,2)</f>
        <v>Taxi/Vehicle Share</v>
      </c>
      <c r="B53" s="4">
        <f ca="1">'Total Duration Tables Sup #2'!B53</f>
        <v>5.0534828E-3</v>
      </c>
      <c r="C53" s="4">
        <f ca="1">'Total Duration Tables Sup #2'!C53+((C51+C52)*'Other Assumptions'!G10/(1-'Other Assumptions'!G10))</f>
        <v>5.5692981992260596E-3</v>
      </c>
      <c r="D53" s="4">
        <f ca="1">'Total Duration Tables Sup #2'!D53+((D51+D52)*'Other Assumptions'!H10/(1-'Other Assumptions'!H10))</f>
        <v>5.9820216631049717E-3</v>
      </c>
      <c r="E53" s="4">
        <f ca="1">'Total Duration Tables Sup #2'!E53+((E51+E52)*'Other Assumptions'!I10/(1-'Other Assumptions'!I10))</f>
        <v>0.57260116465105548</v>
      </c>
      <c r="F53" s="4">
        <f ca="1">'Total Duration Tables Sup #2'!F53+((F51+F52)*'Other Assumptions'!J10/(1-'Other Assumptions'!J10))</f>
        <v>1.1406269777593547</v>
      </c>
      <c r="G53" s="4">
        <f ca="1">'Total Duration Tables Sup #2'!G53+((G51+G52)*'Other Assumptions'!K10/(1-'Other Assumptions'!K10))</f>
        <v>1.6947256411884692</v>
      </c>
      <c r="H53" s="4">
        <f ca="1">'Total Duration Tables Sup #2'!H53+((H51+H52)*'Other Assumptions'!L10/(1-'Other Assumptions'!L10))</f>
        <v>2.2307565066721029</v>
      </c>
      <c r="I53" s="1">
        <f ca="1">'Total Duration Tables Sup #2'!I53+((I51+I52)*'Other Assumptions'!M10/(1-'Other Assumptions'!M10))</f>
        <v>2.7583171408720784</v>
      </c>
      <c r="J53" s="1">
        <f ca="1">'Total Duration Tables Sup #2'!J53+((J51+J52)*'Other Assumptions'!N10/(1-'Other Assumptions'!N10))</f>
        <v>3.2645142171242072</v>
      </c>
      <c r="K53" s="1">
        <f ca="1">'Total Duration Tables Sup #2'!K53+((K51+K52)*'Other Assumptions'!O10/(1-'Other Assumptions'!O10))</f>
        <v>3.7487020733287584</v>
      </c>
    </row>
    <row r="54" spans="1:11" x14ac:dyDescent="0.2">
      <c r="A54" t="str">
        <f ca="1">OFFSET(Gisborne_Reference,35,2)</f>
        <v>Motorcyclist</v>
      </c>
      <c r="B54" s="4">
        <f ca="1">'Total Duration Tables Sup #2'!B54</f>
        <v>4.6418087199999999E-2</v>
      </c>
      <c r="C54" s="4">
        <f ca="1">'Total Duration Tables Sup #2'!C54</f>
        <v>4.879004961913655E-2</v>
      </c>
      <c r="D54" s="4">
        <f ca="1">'Total Duration Tables Sup #2'!D54</f>
        <v>4.9975118072922826E-2</v>
      </c>
      <c r="E54" s="4">
        <f ca="1">'Total Duration Tables Sup #2'!E54</f>
        <v>4.9990253619925859E-2</v>
      </c>
      <c r="F54" s="4">
        <f ca="1">'Total Duration Tables Sup #2'!F54</f>
        <v>4.9821861753874291E-2</v>
      </c>
      <c r="G54" s="4">
        <f ca="1">'Total Duration Tables Sup #2'!G54</f>
        <v>4.8864224092348099E-2</v>
      </c>
      <c r="H54" s="4">
        <f ca="1">'Total Duration Tables Sup #2'!H54</f>
        <v>4.7697987883660524E-2</v>
      </c>
      <c r="I54" s="1">
        <f ca="1">'Total Duration Tables Sup #2'!I54</f>
        <v>4.7437092166941447E-2</v>
      </c>
      <c r="J54" s="1">
        <f ca="1">'Total Duration Tables Sup #2'!J54</f>
        <v>4.7027738671030432E-2</v>
      </c>
      <c r="K54" s="1">
        <f ca="1">'Total Duration Tables Sup #2'!K54</f>
        <v>4.6521897182398152E-2</v>
      </c>
    </row>
    <row r="55" spans="1:11" x14ac:dyDescent="0.2">
      <c r="A55" t="str">
        <f ca="1">OFFSET(Gisborne_Reference,42,2)</f>
        <v>Local Train</v>
      </c>
      <c r="B55" s="4">
        <f ca="1">'Total Duration Tables Sup #2'!B55</f>
        <v>0</v>
      </c>
      <c r="C55" s="4">
        <f ca="1">'Total Duration Tables Sup #2'!C55</f>
        <v>0</v>
      </c>
      <c r="D55" s="4">
        <f ca="1">'Total Duration Tables Sup #2'!D55</f>
        <v>0</v>
      </c>
      <c r="E55" s="4">
        <f ca="1">'Total Duration Tables Sup #2'!E55</f>
        <v>0</v>
      </c>
      <c r="F55" s="4">
        <f ca="1">'Total Duration Tables Sup #2'!F55</f>
        <v>0</v>
      </c>
      <c r="G55" s="4">
        <f ca="1">'Total Duration Tables Sup #2'!G55</f>
        <v>0</v>
      </c>
      <c r="H55" s="4">
        <f ca="1">'Total Duration Tables Sup #2'!H55</f>
        <v>0</v>
      </c>
      <c r="I55" s="1">
        <f ca="1">'Total Duration Tables Sup #2'!I55</f>
        <v>0</v>
      </c>
      <c r="J55" s="1">
        <f ca="1">'Total Duration Tables Sup #2'!J55</f>
        <v>0</v>
      </c>
      <c r="K55" s="1">
        <f ca="1">'Total Duration Tables Sup #2'!K55</f>
        <v>0</v>
      </c>
    </row>
    <row r="56" spans="1:11" x14ac:dyDescent="0.2">
      <c r="A56" t="str">
        <f ca="1">OFFSET(Gisborne_Reference,49,2)</f>
        <v>Local Bus</v>
      </c>
      <c r="B56" s="4">
        <f ca="1">'Total Duration Tables Sup #2'!B56</f>
        <v>0.17812381360000001</v>
      </c>
      <c r="C56" s="4">
        <f ca="1">'Total Duration Tables Sup #2'!C56</f>
        <v>0.16968751607458493</v>
      </c>
      <c r="D56" s="4">
        <f ca="1">'Total Duration Tables Sup #2'!D56</f>
        <v>0.16377090831989524</v>
      </c>
      <c r="E56" s="4">
        <f ca="1">'Total Duration Tables Sup #2'!E56</f>
        <v>0.15940711787596007</v>
      </c>
      <c r="F56" s="4">
        <f ca="1">'Total Duration Tables Sup #2'!F56</f>
        <v>0.15337893572318137</v>
      </c>
      <c r="G56" s="4">
        <f ca="1">'Total Duration Tables Sup #2'!G56</f>
        <v>0.14830664328168072</v>
      </c>
      <c r="H56" s="4">
        <f ca="1">'Total Duration Tables Sup #2'!H56</f>
        <v>0.14275019859924365</v>
      </c>
      <c r="I56" s="1">
        <f ca="1">'Total Duration Tables Sup #2'!I56</f>
        <v>0.14157122844615572</v>
      </c>
      <c r="J56" s="1">
        <f ca="1">'Total Duration Tables Sup #2'!J56</f>
        <v>0.1399557132366385</v>
      </c>
      <c r="K56" s="1">
        <f ca="1">'Total Duration Tables Sup #2'!K56</f>
        <v>0.13806190024721407</v>
      </c>
    </row>
    <row r="57" spans="1:11" x14ac:dyDescent="0.2">
      <c r="A57" t="str">
        <f ca="1">OFFSET(Gisborne_Reference,56,2)</f>
        <v>Local Ferry</v>
      </c>
      <c r="B57" s="4">
        <f ca="1">'Total Duration Tables Sup #2'!B57</f>
        <v>6.5213138999999981E-3</v>
      </c>
      <c r="C57" s="4">
        <f ca="1">'Total Duration Tables Sup #2'!C57</f>
        <v>7.0398787873302924E-3</v>
      </c>
      <c r="D57" s="4">
        <f ca="1">'Total Duration Tables Sup #2'!D57</f>
        <v>7.3585850555004514E-3</v>
      </c>
      <c r="E57" s="4">
        <f ca="1">'Total Duration Tables Sup #2'!E57</f>
        <v>7.5495332448110488E-3</v>
      </c>
      <c r="F57" s="4">
        <f ca="1">'Total Duration Tables Sup #2'!F57</f>
        <v>7.6705561515916501E-3</v>
      </c>
      <c r="G57" s="4">
        <f ca="1">'Total Duration Tables Sup #2'!G57</f>
        <v>7.907776845433907E-3</v>
      </c>
      <c r="H57" s="4">
        <f ca="1">'Total Duration Tables Sup #2'!H57</f>
        <v>8.0918071673251896E-3</v>
      </c>
      <c r="I57" s="1">
        <f ca="1">'Total Duration Tables Sup #2'!I57</f>
        <v>7.8897511988927273E-3</v>
      </c>
      <c r="J57" s="1">
        <f ca="1">'Total Duration Tables Sup #2'!J57</f>
        <v>7.6700526666707413E-3</v>
      </c>
      <c r="K57" s="1">
        <f ca="1">'Total Duration Tables Sup #2'!K57</f>
        <v>7.4421944260642543E-3</v>
      </c>
    </row>
    <row r="58" spans="1:11" x14ac:dyDescent="0.2">
      <c r="A58" t="str">
        <f ca="1">OFFSET(Gisborne_Reference,63,2)</f>
        <v>Other Household Travel</v>
      </c>
      <c r="B58" s="4">
        <f ca="1">'Total Duration Tables Sup #2'!B58</f>
        <v>5.2226492000000003E-3</v>
      </c>
      <c r="C58" s="4">
        <f ca="1">'Total Duration Tables Sup #2'!C58</f>
        <v>5.4958938745032953E-3</v>
      </c>
      <c r="D58" s="4">
        <f ca="1">'Total Duration Tables Sup #2'!D58</f>
        <v>5.6828206434848851E-3</v>
      </c>
      <c r="E58" s="4">
        <f ca="1">'Total Duration Tables Sup #2'!E58</f>
        <v>5.7436601938951901E-3</v>
      </c>
      <c r="F58" s="4">
        <f ca="1">'Total Duration Tables Sup #2'!F58</f>
        <v>5.7741435366083348E-3</v>
      </c>
      <c r="G58" s="4">
        <f ca="1">'Total Duration Tables Sup #2'!G58</f>
        <v>5.8327495464646347E-3</v>
      </c>
      <c r="H58" s="4">
        <f ca="1">'Total Duration Tables Sup #2'!H58</f>
        <v>5.8618904790745481E-3</v>
      </c>
      <c r="I58" s="1">
        <f ca="1">'Total Duration Tables Sup #2'!I58</f>
        <v>5.7813327052302363E-3</v>
      </c>
      <c r="J58" s="1">
        <f ca="1">'Total Duration Tables Sup #2'!J58</f>
        <v>5.6840393684189361E-3</v>
      </c>
      <c r="K58" s="1">
        <f ca="1">'Total Duration Tables Sup #2'!K58</f>
        <v>5.5766807285642286E-3</v>
      </c>
    </row>
    <row r="59" spans="1:11" x14ac:dyDescent="0.2">
      <c r="A59" t="str">
        <f ca="1">OFFSET(Hawkes_Bay_Reference,0,0)</f>
        <v>06 HAWKE`S BAY</v>
      </c>
      <c r="I59" s="1"/>
      <c r="J59" s="1"/>
      <c r="K59" s="1"/>
    </row>
    <row r="60" spans="1:11" x14ac:dyDescent="0.2">
      <c r="A60" t="str">
        <f ca="1">OFFSET(Hawkes_Bay_Reference,0,2)</f>
        <v>Pedestrian</v>
      </c>
      <c r="B60" s="4">
        <f ca="1">'Total Duration Tables Sup #2'!B60</f>
        <v>5.9462513095</v>
      </c>
      <c r="C60" s="4">
        <f ca="1">'Total Duration Tables Sup #2'!C60</f>
        <v>6.1261722535919629</v>
      </c>
      <c r="D60" s="4">
        <f ca="1">'Total Duration Tables Sup #2'!D60</f>
        <v>6.1925761050097607</v>
      </c>
      <c r="E60" s="4">
        <f ca="1">'Total Duration Tables Sup #2'!E60</f>
        <v>6.2255921759792816</v>
      </c>
      <c r="F60" s="4">
        <f ca="1">'Total Duration Tables Sup #2'!F60</f>
        <v>6.1897615467083789</v>
      </c>
      <c r="G60" s="4">
        <f ca="1">'Total Duration Tables Sup #2'!G60</f>
        <v>6.1296728645239122</v>
      </c>
      <c r="H60" s="4">
        <f ca="1">'Total Duration Tables Sup #2'!H60</f>
        <v>6.0401445807243839</v>
      </c>
      <c r="I60" s="1">
        <f ca="1">'Total Duration Tables Sup #2'!I60</f>
        <v>5.9936112927692449</v>
      </c>
      <c r="J60" s="1">
        <f ca="1">'Total Duration Tables Sup #2'!J60</f>
        <v>5.9285650176468874</v>
      </c>
      <c r="K60" s="1">
        <f ca="1">'Total Duration Tables Sup #2'!K60</f>
        <v>5.8516803832384374</v>
      </c>
    </row>
    <row r="61" spans="1:11" x14ac:dyDescent="0.2">
      <c r="A61" t="str">
        <f ca="1">OFFSET(Hawkes_Bay_Reference,7,2)</f>
        <v>Cyclist</v>
      </c>
      <c r="B61" s="4">
        <f ca="1">'Total Duration Tables Sup #2'!B61</f>
        <v>0.88401106659999995</v>
      </c>
      <c r="C61" s="4">
        <f ca="1">'Total Duration Tables Sup #2'!C61</f>
        <v>0.93490644208329787</v>
      </c>
      <c r="D61" s="4">
        <f ca="1">'Total Duration Tables Sup #2'!D61</f>
        <v>0.95517471243179775</v>
      </c>
      <c r="E61" s="4">
        <f ca="1">'Total Duration Tables Sup #2'!E61</f>
        <v>0.95862213365639615</v>
      </c>
      <c r="F61" s="4">
        <f ca="1">'Total Duration Tables Sup #2'!F61</f>
        <v>0.96607601255104592</v>
      </c>
      <c r="G61" s="4">
        <f ca="1">'Total Duration Tables Sup #2'!G61</f>
        <v>0.98082003483610214</v>
      </c>
      <c r="H61" s="4">
        <f ca="1">'Total Duration Tables Sup #2'!H61</f>
        <v>0.99295537408564849</v>
      </c>
      <c r="I61" s="1">
        <f ca="1">'Total Duration Tables Sup #2'!I61</f>
        <v>0.98999940107497864</v>
      </c>
      <c r="J61" s="1">
        <f ca="1">'Total Duration Tables Sup #2'!J61</f>
        <v>0.98396569081035345</v>
      </c>
      <c r="K61" s="1">
        <f ca="1">'Total Duration Tables Sup #2'!K61</f>
        <v>0.9759206701738693</v>
      </c>
    </row>
    <row r="62" spans="1:11" x14ac:dyDescent="0.2">
      <c r="A62" t="str">
        <f ca="1">OFFSET(Hawkes_Bay_Reference,14,2)</f>
        <v>Light Vehicle Driver</v>
      </c>
      <c r="B62" s="4">
        <f ca="1">'Total Duration Tables Sup #2'!B62</f>
        <v>25.377986313000001</v>
      </c>
      <c r="C62" s="4">
        <f ca="1">'Total Duration Tables Sup #2'!C62*(1-'Other Assumptions'!G11)</f>
        <v>27.088964251492929</v>
      </c>
      <c r="D62" s="4">
        <f ca="1">'Total Duration Tables Sup #2'!D62*(1-'Other Assumptions'!H11)</f>
        <v>27.96489399013787</v>
      </c>
      <c r="E62" s="4">
        <f ca="1">'Total Duration Tables Sup #2'!E62*(1-'Other Assumptions'!I11)</f>
        <v>26.972359966015844</v>
      </c>
      <c r="F62" s="4">
        <f ca="1">'Total Duration Tables Sup #2'!F62*(1-'Other Assumptions'!J11)</f>
        <v>25.801168296234415</v>
      </c>
      <c r="G62" s="4">
        <f ca="1">'Total Duration Tables Sup #2'!G62*(1-'Other Assumptions'!K11)</f>
        <v>24.378488848147107</v>
      </c>
      <c r="H62" s="4">
        <f ca="1">'Total Duration Tables Sup #2'!H62*(1-'Other Assumptions'!L11)</f>
        <v>22.850484344810155</v>
      </c>
      <c r="I62" s="1">
        <f ca="1">'Total Duration Tables Sup #2'!I62*(1-'Other Assumptions'!M11)</f>
        <v>21.248584496348066</v>
      </c>
      <c r="J62" s="1">
        <f ca="1">'Total Duration Tables Sup #2'!J62*(1-'Other Assumptions'!N11)</f>
        <v>19.60879142807131</v>
      </c>
      <c r="K62" s="1">
        <f ca="1">'Total Duration Tables Sup #2'!K62*(1-'Other Assumptions'!O11)</f>
        <v>17.964758345482863</v>
      </c>
    </row>
    <row r="63" spans="1:11" x14ac:dyDescent="0.2">
      <c r="A63" t="str">
        <f ca="1">OFFSET(Hawkes_Bay_Reference,21,2)</f>
        <v>Light Vehicle Passenger</v>
      </c>
      <c r="B63" s="4">
        <f ca="1">'Total Duration Tables Sup #2'!B63</f>
        <v>15.230731736999999</v>
      </c>
      <c r="C63" s="4">
        <f ca="1">'Total Duration Tables Sup #2'!C63*(1-'Other Assumptions'!G11)</f>
        <v>15.542733558151221</v>
      </c>
      <c r="D63" s="4">
        <f ca="1">'Total Duration Tables Sup #2'!D63*(1-'Other Assumptions'!H11)</f>
        <v>15.640481713293694</v>
      </c>
      <c r="E63" s="4">
        <f ca="1">'Total Duration Tables Sup #2'!E63*(1-'Other Assumptions'!I11)</f>
        <v>14.857725391779924</v>
      </c>
      <c r="F63" s="4">
        <f ca="1">'Total Duration Tables Sup #2'!F63*(1-'Other Assumptions'!J11)</f>
        <v>13.981088270203431</v>
      </c>
      <c r="G63" s="4">
        <f ca="1">'Total Duration Tables Sup #2'!G63*(1-'Other Assumptions'!K11)</f>
        <v>13.048919702712519</v>
      </c>
      <c r="H63" s="4">
        <f ca="1">'Total Duration Tables Sup #2'!H63*(1-'Other Assumptions'!L11)</f>
        <v>12.069448551691353</v>
      </c>
      <c r="I63" s="1">
        <f ca="1">'Total Duration Tables Sup #2'!I63*(1-'Other Assumptions'!M11)</f>
        <v>11.234448453595927</v>
      </c>
      <c r="J63" s="1">
        <f ca="1">'Total Duration Tables Sup #2'!J63*(1-'Other Assumptions'!N11)</f>
        <v>10.377675894303463</v>
      </c>
      <c r="K63" s="1">
        <f ca="1">'Total Duration Tables Sup #2'!K63*(1-'Other Assumptions'!O11)</f>
        <v>9.5169059513431389</v>
      </c>
    </row>
    <row r="64" spans="1:11" x14ac:dyDescent="0.2">
      <c r="A64" t="str">
        <f ca="1">OFFSET(Hawkes_Bay_Reference,28,2)</f>
        <v>Taxi/Vehicle Share</v>
      </c>
      <c r="B64" s="4">
        <f ca="1">'Total Duration Tables Sup #2'!B64</f>
        <v>4.5837477299999999E-2</v>
      </c>
      <c r="C64" s="4">
        <f ca="1">'Total Duration Tables Sup #2'!C64+((C62+C63)*'Other Assumptions'!G11/(1-'Other Assumptions'!G11))</f>
        <v>5.0843799984188191E-2</v>
      </c>
      <c r="D64" s="4">
        <f ca="1">'Total Duration Tables Sup #2'!D64+((D62+D63)*'Other Assumptions'!H11/(1-'Other Assumptions'!H11))</f>
        <v>5.4694942886426665E-2</v>
      </c>
      <c r="E64" s="4">
        <f ca="1">'Total Duration Tables Sup #2'!E64+((E62+E63)*'Other Assumptions'!I11/(1-'Other Assumptions'!I11))</f>
        <v>2.2598276470354253</v>
      </c>
      <c r="F64" s="4">
        <f ca="1">'Total Duration Tables Sup #2'!F64+((F62+F63)*'Other Assumptions'!J11/(1-'Other Assumptions'!J11))</f>
        <v>4.4813433786147119</v>
      </c>
      <c r="G64" s="4">
        <f ca="1">'Total Duration Tables Sup #2'!G64+((G62+G63)*'Other Assumptions'!K11/(1-'Other Assumptions'!K11))</f>
        <v>6.6677178104728254</v>
      </c>
      <c r="H64" s="4">
        <f ca="1">'Total Duration Tables Sup #2'!H64+((H62+H63)*'Other Assumptions'!L11/(1-'Other Assumptions'!L11))</f>
        <v>8.7943342508444324</v>
      </c>
      <c r="I64" s="1">
        <f ca="1">'Total Duration Tables Sup #2'!I64+((I62+I63)*'Other Assumptions'!M11/(1-'Other Assumptions'!M11))</f>
        <v>10.891393386381907</v>
      </c>
      <c r="J64" s="1">
        <f ca="1">'Total Duration Tables Sup #2'!J64+((J62+J63)*'Other Assumptions'!N11/(1-'Other Assumptions'!N11))</f>
        <v>12.914229888295523</v>
      </c>
      <c r="K64" s="1">
        <f ca="1">'Total Duration Tables Sup #2'!K64+((K62+K63)*'Other Assumptions'!O11/(1-'Other Assumptions'!O11))</f>
        <v>14.859755325317243</v>
      </c>
    </row>
    <row r="65" spans="1:11" x14ac:dyDescent="0.2">
      <c r="A65" t="str">
        <f ca="1">OFFSET(Hawkes_Bay_Reference,35,2)</f>
        <v>Motorcyclist</v>
      </c>
      <c r="B65" s="4">
        <f ca="1">'Total Duration Tables Sup #2'!B65</f>
        <v>0.11763194120000001</v>
      </c>
      <c r="C65" s="4">
        <f ca="1">'Total Duration Tables Sup #2'!C65</f>
        <v>0.12444484098883277</v>
      </c>
      <c r="D65" s="4">
        <f ca="1">'Total Duration Tables Sup #2'!D65</f>
        <v>0.12766184847253947</v>
      </c>
      <c r="E65" s="4">
        <f ca="1">'Total Duration Tables Sup #2'!E65</f>
        <v>0.12805233717986977</v>
      </c>
      <c r="F65" s="4">
        <f ca="1">'Total Duration Tables Sup #2'!F65</f>
        <v>0.12783051025457473</v>
      </c>
      <c r="G65" s="4">
        <f ca="1">'Total Duration Tables Sup #2'!G65</f>
        <v>0.12576995408966943</v>
      </c>
      <c r="H65" s="4">
        <f ca="1">'Total Duration Tables Sup #2'!H65</f>
        <v>0.1230739599857224</v>
      </c>
      <c r="I65" s="1">
        <f ca="1">'Total Duration Tables Sup #2'!I65</f>
        <v>0.12270560338910257</v>
      </c>
      <c r="J65" s="1">
        <f ca="1">'Total Duration Tables Sup #2'!J65</f>
        <v>0.12194967644246872</v>
      </c>
      <c r="K65" s="1">
        <f ca="1">'Total Duration Tables Sup #2'!K65</f>
        <v>0.12093839302478535</v>
      </c>
    </row>
    <row r="66" spans="1:11" x14ac:dyDescent="0.2">
      <c r="A66" t="str">
        <f ca="1">OFFSET(Auckland_Reference,42,2)</f>
        <v>Local Train</v>
      </c>
      <c r="B66" s="4">
        <f ca="1">'Total Duration Tables Sup #2'!B66</f>
        <v>0</v>
      </c>
      <c r="C66" s="4">
        <f ca="1">'Total Duration Tables Sup #2'!C66</f>
        <v>0</v>
      </c>
      <c r="D66" s="4">
        <f ca="1">'Total Duration Tables Sup #2'!D66</f>
        <v>0</v>
      </c>
      <c r="E66" s="4">
        <f ca="1">'Total Duration Tables Sup #2'!E66</f>
        <v>0</v>
      </c>
      <c r="F66" s="4">
        <f ca="1">'Total Duration Tables Sup #2'!F66</f>
        <v>0</v>
      </c>
      <c r="G66" s="4">
        <f ca="1">'Total Duration Tables Sup #2'!G66</f>
        <v>0</v>
      </c>
      <c r="H66" s="4">
        <f ca="1">'Total Duration Tables Sup #2'!H66</f>
        <v>0</v>
      </c>
      <c r="I66" s="1">
        <f ca="1">'Total Duration Tables Sup #2'!I66</f>
        <v>0</v>
      </c>
      <c r="J66" s="1">
        <f ca="1">'Total Duration Tables Sup #2'!J66</f>
        <v>0</v>
      </c>
      <c r="K66" s="1">
        <f ca="1">'Total Duration Tables Sup #2'!K66</f>
        <v>0</v>
      </c>
    </row>
    <row r="67" spans="1:11" x14ac:dyDescent="0.2">
      <c r="A67" t="str">
        <f ca="1">OFFSET(Hawkes_Bay_Reference,42,2)</f>
        <v>Local Bus</v>
      </c>
      <c r="B67" s="4">
        <f ca="1">'Total Duration Tables Sup #2'!B67</f>
        <v>1.3660147812000001</v>
      </c>
      <c r="C67" s="4">
        <f ca="1">'Total Duration Tables Sup #2'!C67</f>
        <v>1.3097575779203672</v>
      </c>
      <c r="D67" s="4">
        <f ca="1">'Total Duration Tables Sup #2'!D67</f>
        <v>1.2660167378390328</v>
      </c>
      <c r="E67" s="4">
        <f ca="1">'Total Duration Tables Sup #2'!E67</f>
        <v>1.2356778709279834</v>
      </c>
      <c r="F67" s="4">
        <f ca="1">'Total Duration Tables Sup #2'!F67</f>
        <v>1.1909010555583588</v>
      </c>
      <c r="G67" s="4">
        <f ca="1">'Total Duration Tables Sup #2'!G67</f>
        <v>1.155159331599072</v>
      </c>
      <c r="H67" s="4">
        <f ca="1">'Total Duration Tables Sup #2'!H67</f>
        <v>1.1146492466474451</v>
      </c>
      <c r="I67" s="1">
        <f ca="1">'Total Duration Tables Sup #2'!I67</f>
        <v>1.1081963784144422</v>
      </c>
      <c r="J67" s="1">
        <f ca="1">'Total Duration Tables Sup #2'!J67</f>
        <v>1.0982787433145733</v>
      </c>
      <c r="K67" s="1">
        <f ca="1">'Total Duration Tables Sup #2'!K67</f>
        <v>1.0861155040187875</v>
      </c>
    </row>
    <row r="68" spans="1:11" x14ac:dyDescent="0.2">
      <c r="A68" t="str">
        <f ca="1">OFFSET(Waikato_Reference,56,2)</f>
        <v>Local Ferry</v>
      </c>
      <c r="B68" s="4">
        <f ca="1">'Total Duration Tables Sup #2'!B68</f>
        <v>0</v>
      </c>
      <c r="C68" s="4">
        <f ca="1">'Total Duration Tables Sup #2'!C68</f>
        <v>0</v>
      </c>
      <c r="D68" s="4">
        <f ca="1">'Total Duration Tables Sup #2'!D68</f>
        <v>0</v>
      </c>
      <c r="E68" s="4">
        <f ca="1">'Total Duration Tables Sup #2'!E68</f>
        <v>0</v>
      </c>
      <c r="F68" s="4">
        <f ca="1">'Total Duration Tables Sup #2'!F68</f>
        <v>0</v>
      </c>
      <c r="G68" s="4">
        <f ca="1">'Total Duration Tables Sup #2'!G68</f>
        <v>0</v>
      </c>
      <c r="H68" s="4">
        <f ca="1">'Total Duration Tables Sup #2'!H68</f>
        <v>0</v>
      </c>
      <c r="I68" s="1">
        <f ca="1">'Total Duration Tables Sup #2'!I68</f>
        <v>0</v>
      </c>
      <c r="J68" s="1">
        <f ca="1">'Total Duration Tables Sup #2'!J68</f>
        <v>0</v>
      </c>
      <c r="K68" s="1">
        <f ca="1">'Total Duration Tables Sup #2'!K68</f>
        <v>0</v>
      </c>
    </row>
    <row r="69" spans="1:11" x14ac:dyDescent="0.2">
      <c r="A69" t="str">
        <f ca="1">OFFSET(Hawkes_Bay_Reference,49,2)</f>
        <v>Other Household Travel</v>
      </c>
      <c r="B69" s="4">
        <f ca="1">'Total Duration Tables Sup #2'!B69</f>
        <v>0.15778150060000001</v>
      </c>
      <c r="C69" s="4">
        <f ca="1">'Total Duration Tables Sup #2'!C69</f>
        <v>0.16711336251513498</v>
      </c>
      <c r="D69" s="4">
        <f ca="1">'Total Duration Tables Sup #2'!D69</f>
        <v>0.17306069822928091</v>
      </c>
      <c r="E69" s="4">
        <f ca="1">'Total Duration Tables Sup #2'!E69</f>
        <v>0.17539536408938383</v>
      </c>
      <c r="F69" s="4">
        <f ca="1">'Total Duration Tables Sup #2'!F69</f>
        <v>0.17661571682333974</v>
      </c>
      <c r="G69" s="4">
        <f ca="1">'Total Duration Tables Sup #2'!G69</f>
        <v>0.17897255020165784</v>
      </c>
      <c r="H69" s="4">
        <f ca="1">'Total Duration Tables Sup #2'!H69</f>
        <v>0.18031465205872327</v>
      </c>
      <c r="I69" s="1">
        <f ca="1">'Total Duration Tables Sup #2'!I69</f>
        <v>0.1782795385901593</v>
      </c>
      <c r="J69" s="1">
        <f ca="1">'Total Duration Tables Sup #2'!J69</f>
        <v>0.17571580885151042</v>
      </c>
      <c r="K69" s="1">
        <f ca="1">'Total Duration Tables Sup #2'!K69</f>
        <v>0.17282627136206502</v>
      </c>
    </row>
    <row r="70" spans="1:11" x14ac:dyDescent="0.2">
      <c r="A70" t="str">
        <f ca="1">OFFSET(Taranaki_Reference,0,0)</f>
        <v>07 TARANAKI</v>
      </c>
      <c r="I70" s="1"/>
      <c r="J70" s="1"/>
      <c r="K70" s="1"/>
    </row>
    <row r="71" spans="1:11" x14ac:dyDescent="0.2">
      <c r="A71" t="str">
        <f ca="1">OFFSET(Taranaki_Reference,0,2)</f>
        <v>Pedestrian</v>
      </c>
      <c r="B71" s="4">
        <f ca="1">'Total Duration Tables Sup #2'!B71</f>
        <v>4.7547330373000003</v>
      </c>
      <c r="C71" s="4">
        <f ca="1">'Total Duration Tables Sup #2'!C71</f>
        <v>4.9448601981688904</v>
      </c>
      <c r="D71" s="4">
        <f ca="1">'Total Duration Tables Sup #2'!D71</f>
        <v>5.039803698943464</v>
      </c>
      <c r="E71" s="4">
        <f ca="1">'Total Duration Tables Sup #2'!E71</f>
        <v>5.1143759343501447</v>
      </c>
      <c r="F71" s="4">
        <f ca="1">'Total Duration Tables Sup #2'!F71</f>
        <v>5.1388110035837142</v>
      </c>
      <c r="G71" s="4">
        <f ca="1">'Total Duration Tables Sup #2'!G71</f>
        <v>5.150600685264993</v>
      </c>
      <c r="H71" s="4">
        <f ca="1">'Total Duration Tables Sup #2'!H71</f>
        <v>5.144330297576281</v>
      </c>
      <c r="I71" s="1">
        <f ca="1">'Total Duration Tables Sup #2'!I71</f>
        <v>5.1740546511817325</v>
      </c>
      <c r="J71" s="1">
        <f ca="1">'Total Duration Tables Sup #2'!J71</f>
        <v>5.1874383879928914</v>
      </c>
      <c r="K71" s="1">
        <f ca="1">'Total Duration Tables Sup #2'!K71</f>
        <v>5.1897314875702785</v>
      </c>
    </row>
    <row r="72" spans="1:11" x14ac:dyDescent="0.2">
      <c r="A72" t="str">
        <f ca="1">OFFSET(Taranaki_Reference,7,2)</f>
        <v>Cyclist</v>
      </c>
      <c r="B72" s="4">
        <f ca="1">'Total Duration Tables Sup #2'!B72</f>
        <v>0.51341482110000003</v>
      </c>
      <c r="C72" s="4">
        <f ca="1">'Total Duration Tables Sup #2'!C72</f>
        <v>0.54810124446167907</v>
      </c>
      <c r="D72" s="4">
        <f ca="1">'Total Duration Tables Sup #2'!D72</f>
        <v>0.56461564345306769</v>
      </c>
      <c r="E72" s="4">
        <f ca="1">'Total Duration Tables Sup #2'!E72</f>
        <v>0.57198844370544888</v>
      </c>
      <c r="F72" s="4">
        <f ca="1">'Total Duration Tables Sup #2'!F72</f>
        <v>0.58254281171169842</v>
      </c>
      <c r="G72" s="4">
        <f ca="1">'Total Duration Tables Sup #2'!G72</f>
        <v>0.59860140881398982</v>
      </c>
      <c r="H72" s="4">
        <f ca="1">'Total Duration Tables Sup #2'!H72</f>
        <v>0.61424137030947978</v>
      </c>
      <c r="I72" s="1">
        <f ca="1">'Total Duration Tables Sup #2'!I72</f>
        <v>0.62073351066134141</v>
      </c>
      <c r="J72" s="1">
        <f ca="1">'Total Duration Tables Sup #2'!J72</f>
        <v>0.62533270392564899</v>
      </c>
      <c r="K72" s="1">
        <f ca="1">'Total Duration Tables Sup #2'!K72</f>
        <v>0.62864668526550016</v>
      </c>
    </row>
    <row r="73" spans="1:11" x14ac:dyDescent="0.2">
      <c r="A73" t="str">
        <f ca="1">OFFSET(Taranaki_Reference,14,2)</f>
        <v>Light Vehicle Driver</v>
      </c>
      <c r="B73" s="4">
        <f ca="1">'Total Duration Tables Sup #2'!B73</f>
        <v>21.205429401</v>
      </c>
      <c r="C73" s="4">
        <f ca="1">'Total Duration Tables Sup #2'!C73*(1-'Other Assumptions'!G12)</f>
        <v>22.848844835593386</v>
      </c>
      <c r="D73" s="4">
        <f ca="1">'Total Duration Tables Sup #2'!D73*(1-'Other Assumptions'!H12)</f>
        <v>23.782772432303965</v>
      </c>
      <c r="E73" s="4">
        <f ca="1">'Total Duration Tables Sup #2'!E73*(1-'Other Assumptions'!I12)</f>
        <v>23.154636202145976</v>
      </c>
      <c r="F73" s="4">
        <f ca="1">'Total Duration Tables Sup #2'!F73*(1-'Other Assumptions'!J12)</f>
        <v>22.383867841118974</v>
      </c>
      <c r="G73" s="4">
        <f ca="1">'Total Duration Tables Sup #2'!G73*(1-'Other Assumptions'!K12)</f>
        <v>21.40594475305511</v>
      </c>
      <c r="H73" s="4">
        <f ca="1">'Total Duration Tables Sup #2'!H73*(1-'Other Assumptions'!L12)</f>
        <v>20.336862647968474</v>
      </c>
      <c r="I73" s="1">
        <f ca="1">'Total Duration Tables Sup #2'!I73*(1-'Other Assumptions'!M12)</f>
        <v>19.168118102921873</v>
      </c>
      <c r="J73" s="1">
        <f ca="1">'Total Duration Tables Sup #2'!J73*(1-'Other Assumptions'!N12)</f>
        <v>17.929212982747064</v>
      </c>
      <c r="K73" s="1">
        <f ca="1">'Total Duration Tables Sup #2'!K73*(1-'Other Assumptions'!O12)</f>
        <v>16.649174516616412</v>
      </c>
    </row>
    <row r="74" spans="1:11" x14ac:dyDescent="0.2">
      <c r="A74" t="str">
        <f ca="1">OFFSET(Taranaki_Reference,21,2)</f>
        <v>Light Vehicle Passenger</v>
      </c>
      <c r="B74" s="4">
        <f ca="1">'Total Duration Tables Sup #2'!B74</f>
        <v>13.125178352000001</v>
      </c>
      <c r="C74" s="4">
        <f ca="1">'Total Duration Tables Sup #2'!C74*(1-'Other Assumptions'!G12)</f>
        <v>13.520532077829463</v>
      </c>
      <c r="D74" s="4">
        <f ca="1">'Total Duration Tables Sup #2'!D74*(1-'Other Assumptions'!H12)</f>
        <v>13.718099866156351</v>
      </c>
      <c r="E74" s="4">
        <f ca="1">'Total Duration Tables Sup #2'!E74*(1-'Other Assumptions'!I12)</f>
        <v>13.154243426566232</v>
      </c>
      <c r="F74" s="4">
        <f ca="1">'Total Duration Tables Sup #2'!F74*(1-'Other Assumptions'!J12)</f>
        <v>12.509249981142293</v>
      </c>
      <c r="G74" s="4">
        <f ca="1">'Total Duration Tables Sup #2'!G74*(1-'Other Assumptions'!K12)</f>
        <v>11.816713601826294</v>
      </c>
      <c r="H74" s="4">
        <f ca="1">'Total Duration Tables Sup #2'!H74*(1-'Other Assumptions'!L12)</f>
        <v>11.078233271231484</v>
      </c>
      <c r="I74" s="1">
        <f ca="1">'Total Duration Tables Sup #2'!I74*(1-'Other Assumptions'!M12)</f>
        <v>10.451912388188221</v>
      </c>
      <c r="J74" s="1">
        <f ca="1">'Total Duration Tables Sup #2'!J74*(1-'Other Assumptions'!N12)</f>
        <v>9.7859960161529891</v>
      </c>
      <c r="K74" s="1">
        <f ca="1">'Total Duration Tables Sup #2'!K74*(1-'Other Assumptions'!O12)</f>
        <v>9.0962342477237783</v>
      </c>
    </row>
    <row r="75" spans="1:11" x14ac:dyDescent="0.2">
      <c r="A75" t="str">
        <f ca="1">OFFSET(Taranaki_Reference,28,2)</f>
        <v>Taxi/Vehicle Share</v>
      </c>
      <c r="B75" s="4">
        <f ca="1">'Total Duration Tables Sup #2'!B75</f>
        <v>0.10005985589999999</v>
      </c>
      <c r="C75" s="4">
        <f ca="1">'Total Duration Tables Sup #2'!C75+((C73+C74)*'Other Assumptions'!G12/(1-'Other Assumptions'!G12))</f>
        <v>0.11203638899550061</v>
      </c>
      <c r="D75" s="4">
        <f ca="1">'Total Duration Tables Sup #2'!D75+((D73+D74)*'Other Assumptions'!H12/(1-'Other Assumptions'!H12))</f>
        <v>0.1215194314684576</v>
      </c>
      <c r="E75" s="4">
        <f ca="1">'Total Duration Tables Sup #2'!E75+((E73+E74)*'Other Assumptions'!I12/(1-'Other Assumptions'!I12))</f>
        <v>2.0416170712007111</v>
      </c>
      <c r="F75" s="4">
        <f ca="1">'Total Duration Tables Sup #2'!F75+((F73+F74)*'Other Assumptions'!J12/(1-'Other Assumptions'!J12))</f>
        <v>4.0154761659873746</v>
      </c>
      <c r="G75" s="4">
        <f ca="1">'Total Duration Tables Sup #2'!G75+((G73+G74)*'Other Assumptions'!K12/(1-'Other Assumptions'!K12))</f>
        <v>6.0070655993247204</v>
      </c>
      <c r="H75" s="4">
        <f ca="1">'Total Duration Tables Sup #2'!H75+((H73+H74)*'Other Assumptions'!L12/(1-'Other Assumptions'!L12))</f>
        <v>8.0033952298597697</v>
      </c>
      <c r="I75" s="1">
        <f ca="1">'Total Duration Tables Sup #2'!I75+((I73+I74)*'Other Assumptions'!M12/(1-'Other Assumptions'!M12))</f>
        <v>10.023500444900684</v>
      </c>
      <c r="J75" s="1">
        <f ca="1">'Total Duration Tables Sup #2'!J75+((J73+J74)*'Other Assumptions'!N12/(1-'Other Assumptions'!N12))</f>
        <v>12.028163616778929</v>
      </c>
      <c r="K75" s="1">
        <f ca="1">'Total Duration Tables Sup #2'!K75+((K73+K74)*'Other Assumptions'!O12/(1-'Other Assumptions'!O12))</f>
        <v>14.012868586458941</v>
      </c>
    </row>
    <row r="76" spans="1:11" x14ac:dyDescent="0.2">
      <c r="A76" t="str">
        <f ca="1">OFFSET(Taranaki_Reference,35,2)</f>
        <v>Motorcyclist</v>
      </c>
      <c r="B76" s="4">
        <f ca="1">'Total Duration Tables Sup #2'!B76</f>
        <v>0.25001806910000002</v>
      </c>
      <c r="C76" s="4">
        <f ca="1">'Total Duration Tables Sup #2'!C76</f>
        <v>0.26699612967388192</v>
      </c>
      <c r="D76" s="4">
        <f ca="1">'Total Duration Tables Sup #2'!D76</f>
        <v>0.27616373767746744</v>
      </c>
      <c r="E76" s="4">
        <f ca="1">'Total Duration Tables Sup #2'!E76</f>
        <v>0.27961646754441671</v>
      </c>
      <c r="F76" s="4">
        <f ca="1">'Total Duration Tables Sup #2'!F76</f>
        <v>0.2820892293529631</v>
      </c>
      <c r="G76" s="4">
        <f ca="1">'Total Duration Tables Sup #2'!G76</f>
        <v>0.28090582279486731</v>
      </c>
      <c r="H76" s="4">
        <f ca="1">'Total Duration Tables Sup #2'!H76</f>
        <v>0.27861913564195834</v>
      </c>
      <c r="I76" s="1">
        <f ca="1">'Total Duration Tables Sup #2'!I76</f>
        <v>0.28155943706349068</v>
      </c>
      <c r="J76" s="1">
        <f ca="1">'Total Duration Tables Sup #2'!J76</f>
        <v>0.28362680453448202</v>
      </c>
      <c r="K76" s="1">
        <f ca="1">'Total Duration Tables Sup #2'!K76</f>
        <v>0.2850964043900972</v>
      </c>
    </row>
    <row r="77" spans="1:11" x14ac:dyDescent="0.2">
      <c r="A77" t="str">
        <f ca="1">OFFSET(Taranaki_Reference,42,2)</f>
        <v>Local Train</v>
      </c>
      <c r="B77" s="4">
        <f ca="1">'Total Duration Tables Sup #2'!B77</f>
        <v>0</v>
      </c>
      <c r="C77" s="4">
        <f ca="1">'Total Duration Tables Sup #2'!C77</f>
        <v>0</v>
      </c>
      <c r="D77" s="4">
        <f ca="1">'Total Duration Tables Sup #2'!D77</f>
        <v>0</v>
      </c>
      <c r="E77" s="4">
        <f ca="1">'Total Duration Tables Sup #2'!E77</f>
        <v>0</v>
      </c>
      <c r="F77" s="4">
        <f ca="1">'Total Duration Tables Sup #2'!F77</f>
        <v>0</v>
      </c>
      <c r="G77" s="4">
        <f ca="1">'Total Duration Tables Sup #2'!G77</f>
        <v>0</v>
      </c>
      <c r="H77" s="4">
        <f ca="1">'Total Duration Tables Sup #2'!H77</f>
        <v>0</v>
      </c>
      <c r="I77" s="1">
        <f ca="1">'Total Duration Tables Sup #2'!I77</f>
        <v>0</v>
      </c>
      <c r="J77" s="1">
        <f ca="1">'Total Duration Tables Sup #2'!J77</f>
        <v>0</v>
      </c>
      <c r="K77" s="1">
        <f ca="1">'Total Duration Tables Sup #2'!K77</f>
        <v>0</v>
      </c>
    </row>
    <row r="78" spans="1:11" x14ac:dyDescent="0.2">
      <c r="A78" t="str">
        <f ca="1">OFFSET(Taranaki_Reference,49,2)</f>
        <v>Local Bus</v>
      </c>
      <c r="B78" s="4">
        <f ca="1">'Total Duration Tables Sup #2'!B78</f>
        <v>0.4632962336</v>
      </c>
      <c r="C78" s="4">
        <f ca="1">'Total Duration Tables Sup #2'!C78</f>
        <v>0.44841096794249974</v>
      </c>
      <c r="D78" s="4">
        <f ca="1">'Total Duration Tables Sup #2'!D78</f>
        <v>0.43702090188357695</v>
      </c>
      <c r="E78" s="4">
        <f ca="1">'Total Duration Tables Sup #2'!E78</f>
        <v>0.43056402726157961</v>
      </c>
      <c r="F78" s="4">
        <f ca="1">'Total Duration Tables Sup #2'!F78</f>
        <v>0.41935796885516768</v>
      </c>
      <c r="G78" s="4">
        <f ca="1">'Total Duration Tables Sup #2'!G78</f>
        <v>0.41170199174319949</v>
      </c>
      <c r="H78" s="4">
        <f ca="1">'Total Duration Tables Sup #2'!H78</f>
        <v>0.4026616148462227</v>
      </c>
      <c r="I78" s="1">
        <f ca="1">'Total Duration Tables Sup #2'!I78</f>
        <v>0.40576974069094773</v>
      </c>
      <c r="J78" s="1">
        <f ca="1">'Total Duration Tables Sup #2'!J78</f>
        <v>0.40760212152396796</v>
      </c>
      <c r="K78" s="1">
        <f ca="1">'Total Duration Tables Sup #2'!K78</f>
        <v>0.40856465936670944</v>
      </c>
    </row>
    <row r="79" spans="1:11" x14ac:dyDescent="0.2">
      <c r="A79" t="str">
        <f ca="1">OFFSET(Waikato_Reference,56,2)</f>
        <v>Local Ferry</v>
      </c>
      <c r="B79" s="4">
        <f ca="1">'Total Duration Tables Sup #2'!B79</f>
        <v>0</v>
      </c>
      <c r="C79" s="4">
        <f ca="1">'Total Duration Tables Sup #2'!C79</f>
        <v>0</v>
      </c>
      <c r="D79" s="4">
        <f ca="1">'Total Duration Tables Sup #2'!D79</f>
        <v>0</v>
      </c>
      <c r="E79" s="4">
        <f ca="1">'Total Duration Tables Sup #2'!E79</f>
        <v>0</v>
      </c>
      <c r="F79" s="4">
        <f ca="1">'Total Duration Tables Sup #2'!F79</f>
        <v>0</v>
      </c>
      <c r="G79" s="4">
        <f ca="1">'Total Duration Tables Sup #2'!G79</f>
        <v>0</v>
      </c>
      <c r="H79" s="4">
        <f ca="1">'Total Duration Tables Sup #2'!H79</f>
        <v>0</v>
      </c>
      <c r="I79" s="1">
        <f ca="1">'Total Duration Tables Sup #2'!I79</f>
        <v>0</v>
      </c>
      <c r="J79" s="1">
        <f ca="1">'Total Duration Tables Sup #2'!J79</f>
        <v>0</v>
      </c>
      <c r="K79" s="1">
        <f ca="1">'Total Duration Tables Sup #2'!K79</f>
        <v>0</v>
      </c>
    </row>
    <row r="80" spans="1:11" x14ac:dyDescent="0.2">
      <c r="A80" t="str">
        <f ca="1">OFFSET(Taranaki_Reference,56,2)</f>
        <v>Other Household Travel</v>
      </c>
      <c r="B80" s="4">
        <f ca="1">'Total Duration Tables Sup #2'!B80</f>
        <v>5.6354069499999999E-2</v>
      </c>
      <c r="C80" s="4">
        <f ca="1">'Total Duration Tables Sup #2'!C80</f>
        <v>6.0250730236751454E-2</v>
      </c>
      <c r="D80" s="4">
        <f ca="1">'Total Duration Tables Sup #2'!D80</f>
        <v>6.2911065873651528E-2</v>
      </c>
      <c r="E80" s="4">
        <f ca="1">'Total Duration Tables Sup #2'!E80</f>
        <v>6.4360056084435818E-2</v>
      </c>
      <c r="F80" s="4">
        <f ca="1">'Total Duration Tables Sup #2'!F80</f>
        <v>6.5494434773685009E-2</v>
      </c>
      <c r="G80" s="4">
        <f ca="1">'Total Duration Tables Sup #2'!G80</f>
        <v>6.7172781803309961E-2</v>
      </c>
      <c r="H80" s="4">
        <f ca="1">'Total Duration Tables Sup #2'!H80</f>
        <v>6.8596009605554967E-2</v>
      </c>
      <c r="I80" s="1">
        <f ca="1">'Total Duration Tables Sup #2'!I80</f>
        <v>6.8743281963759353E-2</v>
      </c>
      <c r="J80" s="1">
        <f ca="1">'Total Duration Tables Sup #2'!J80</f>
        <v>6.8675293460631767E-2</v>
      </c>
      <c r="K80" s="1">
        <f ca="1">'Total Duration Tables Sup #2'!K80</f>
        <v>6.8463701415147959E-2</v>
      </c>
    </row>
    <row r="81" spans="1:11" x14ac:dyDescent="0.2">
      <c r="A81" t="str">
        <f ca="1">OFFSET(Manawatu_Reference,0,0)</f>
        <v>08 MANAWATU-WANGANUI</v>
      </c>
      <c r="I81" s="1"/>
      <c r="J81" s="1"/>
      <c r="K81" s="1"/>
    </row>
    <row r="82" spans="1:11" x14ac:dyDescent="0.2">
      <c r="A82" t="str">
        <f ca="1">OFFSET(Manawatu_Reference,0,2)</f>
        <v>Pedestrian</v>
      </c>
      <c r="B82" s="4">
        <f ca="1">'Total Duration Tables Sup #2'!B82</f>
        <v>8.3408449691000008</v>
      </c>
      <c r="C82" s="4">
        <f ca="1">'Total Duration Tables Sup #2'!C82</f>
        <v>8.6066025892331588</v>
      </c>
      <c r="D82" s="4">
        <f ca="1">'Total Duration Tables Sup #2'!D82</f>
        <v>8.6737799059297451</v>
      </c>
      <c r="E82" s="4">
        <f ca="1">'Total Duration Tables Sup #2'!E82</f>
        <v>8.6935776642755815</v>
      </c>
      <c r="F82" s="4">
        <f ca="1">'Total Duration Tables Sup #2'!F82</f>
        <v>8.6264299717331259</v>
      </c>
      <c r="G82" s="4">
        <f ca="1">'Total Duration Tables Sup #2'!G82</f>
        <v>8.5292904114166088</v>
      </c>
      <c r="H82" s="4">
        <f ca="1">'Total Duration Tables Sup #2'!H82</f>
        <v>8.3935591346140956</v>
      </c>
      <c r="I82" s="1">
        <f ca="1">'Total Duration Tables Sup #2'!I82</f>
        <v>8.3178409115672931</v>
      </c>
      <c r="J82" s="1">
        <f ca="1">'Total Duration Tables Sup #2'!J82</f>
        <v>8.2166509538237378</v>
      </c>
      <c r="K82" s="1">
        <f ca="1">'Total Duration Tables Sup #2'!K82</f>
        <v>8.099329434884261</v>
      </c>
    </row>
    <row r="83" spans="1:11" x14ac:dyDescent="0.2">
      <c r="A83" t="str">
        <f ca="1">OFFSET(Manawatu_Reference,7,2)</f>
        <v>Cyclist</v>
      </c>
      <c r="B83" s="4">
        <f ca="1">'Total Duration Tables Sup #2'!B83</f>
        <v>1.7566260256999999</v>
      </c>
      <c r="C83" s="4">
        <f ca="1">'Total Duration Tables Sup #2'!C83</f>
        <v>1.8606535686920784</v>
      </c>
      <c r="D83" s="4">
        <f ca="1">'Total Duration Tables Sup #2'!D83</f>
        <v>1.895285690130126</v>
      </c>
      <c r="E83" s="4">
        <f ca="1">'Total Duration Tables Sup #2'!E83</f>
        <v>1.8963571997627227</v>
      </c>
      <c r="F83" s="4">
        <f ca="1">'Total Duration Tables Sup #2'!F83</f>
        <v>1.9073188605381328</v>
      </c>
      <c r="G83" s="4">
        <f ca="1">'Total Duration Tables Sup #2'!G83</f>
        <v>1.9333912782493552</v>
      </c>
      <c r="H83" s="4">
        <f ca="1">'Total Duration Tables Sup #2'!H83</f>
        <v>1.9547146725223108</v>
      </c>
      <c r="I83" s="1">
        <f ca="1">'Total Duration Tables Sup #2'!I83</f>
        <v>1.9463089945182104</v>
      </c>
      <c r="J83" s="1">
        <f ca="1">'Total Duration Tables Sup #2'!J83</f>
        <v>1.9318794774660708</v>
      </c>
      <c r="K83" s="1">
        <f ca="1">'Total Duration Tables Sup #2'!K83</f>
        <v>1.9135411476190776</v>
      </c>
    </row>
    <row r="84" spans="1:11" x14ac:dyDescent="0.2">
      <c r="A84" t="str">
        <f ca="1">OFFSET(Manawatu_Reference,14,2)</f>
        <v>Light Vehicle Driver</v>
      </c>
      <c r="B84" s="4">
        <f ca="1">'Total Duration Tables Sup #2'!B84</f>
        <v>42.09204356</v>
      </c>
      <c r="C84" s="4">
        <f ca="1">'Total Duration Tables Sup #2'!C84*(1-'Other Assumptions'!G13)</f>
        <v>44.999844109859957</v>
      </c>
      <c r="D84" s="4">
        <f ca="1">'Total Duration Tables Sup #2'!D84*(1-'Other Assumptions'!H13)</f>
        <v>46.315492436973798</v>
      </c>
      <c r="E84" s="4">
        <f ca="1">'Total Duration Tables Sup #2'!E84*(1-'Other Assumptions'!I13)</f>
        <v>44.536171529905225</v>
      </c>
      <c r="F84" s="4">
        <f ca="1">'Total Duration Tables Sup #2'!F84*(1-'Other Assumptions'!J13)</f>
        <v>42.517979422259735</v>
      </c>
      <c r="G84" s="4">
        <f ca="1">'Total Duration Tables Sup #2'!G84*(1-'Other Assumptions'!K13)</f>
        <v>40.110534514479895</v>
      </c>
      <c r="H84" s="4">
        <f ca="1">'Total Duration Tables Sup #2'!H84*(1-'Other Assumptions'!L13)</f>
        <v>37.54657211950741</v>
      </c>
      <c r="I84" s="1">
        <f ca="1">'Total Duration Tables Sup #2'!I84*(1-'Other Assumptions'!M13)</f>
        <v>34.868085587447993</v>
      </c>
      <c r="J84" s="1">
        <f ca="1">'Total Duration Tables Sup #2'!J84*(1-'Other Assumptions'!N13)</f>
        <v>32.134544020296502</v>
      </c>
      <c r="K84" s="1">
        <f ca="1">'Total Duration Tables Sup #2'!K84*(1-'Other Assumptions'!O13)</f>
        <v>29.401257781758197</v>
      </c>
    </row>
    <row r="85" spans="1:11" x14ac:dyDescent="0.2">
      <c r="A85" t="str">
        <f ca="1">OFFSET(Manawatu_Reference,21,2)</f>
        <v>Light Vehicle Passenger</v>
      </c>
      <c r="B85" s="4">
        <f ca="1">'Total Duration Tables Sup #2'!B85</f>
        <v>20.286542670999999</v>
      </c>
      <c r="C85" s="4">
        <f ca="1">'Total Duration Tables Sup #2'!C85*(1-'Other Assumptions'!G13)</f>
        <v>20.734350179054466</v>
      </c>
      <c r="D85" s="4">
        <f ca="1">'Total Duration Tables Sup #2'!D85*(1-'Other Assumptions'!H13)</f>
        <v>20.802122572189017</v>
      </c>
      <c r="E85" s="4">
        <f ca="1">'Total Duration Tables Sup #2'!E85*(1-'Other Assumptions'!I13)</f>
        <v>19.701109225619192</v>
      </c>
      <c r="F85" s="4">
        <f ca="1">'Total Duration Tables Sup #2'!F85*(1-'Other Assumptions'!J13)</f>
        <v>18.501998486591003</v>
      </c>
      <c r="G85" s="4">
        <f ca="1">'Total Duration Tables Sup #2'!G85*(1-'Other Assumptions'!K13)</f>
        <v>17.241325233254962</v>
      </c>
      <c r="H85" s="4">
        <f ca="1">'Total Duration Tables Sup #2'!H85*(1-'Other Assumptions'!L13)</f>
        <v>15.926000644822816</v>
      </c>
      <c r="I85" s="1">
        <f ca="1">'Total Duration Tables Sup #2'!I85*(1-'Other Assumptions'!M13)</f>
        <v>14.804518010402834</v>
      </c>
      <c r="J85" s="1">
        <f ca="1">'Total Duration Tables Sup #2'!J85*(1-'Other Assumptions'!N13)</f>
        <v>13.65733100832926</v>
      </c>
      <c r="K85" s="1">
        <f ca="1">'Total Duration Tables Sup #2'!K85*(1-'Other Assumptions'!O13)</f>
        <v>12.507909358709355</v>
      </c>
    </row>
    <row r="86" spans="1:11" x14ac:dyDescent="0.2">
      <c r="A86" t="str">
        <f ca="1">OFFSET(Manawatu_Reference,28,2)</f>
        <v>Taxi/Vehicle Share</v>
      </c>
      <c r="B86" s="4">
        <f ca="1">'Total Duration Tables Sup #2'!B86</f>
        <v>0.26821620219999998</v>
      </c>
      <c r="C86" s="4">
        <f ca="1">'Total Duration Tables Sup #2'!C86+((C84+C85)*'Other Assumptions'!G13/(1-'Other Assumptions'!G13))</f>
        <v>0.29797378622017695</v>
      </c>
      <c r="D86" s="4">
        <f ca="1">'Total Duration Tables Sup #2'!D86+((D84+D85)*'Other Assumptions'!H13/(1-'Other Assumptions'!H13))</f>
        <v>0.31958157323479786</v>
      </c>
      <c r="E86" s="4">
        <f ca="1">'Total Duration Tables Sup #2'!E86+((E84+E85)*'Other Assumptions'!I13/(1-'Other Assumptions'!I13))</f>
        <v>3.7201972170888533</v>
      </c>
      <c r="F86" s="4">
        <f ca="1">'Total Duration Tables Sup #2'!F86+((F84+F85)*'Other Assumptions'!J13/(1-'Other Assumptions'!J13))</f>
        <v>7.1351735775761345</v>
      </c>
      <c r="G86" s="4">
        <f ca="1">'Total Duration Tables Sup #2'!G86+((G84+G85)*'Other Assumptions'!K13/(1-'Other Assumptions'!K13))</f>
        <v>10.485916209901283</v>
      </c>
      <c r="H86" s="4">
        <f ca="1">'Total Duration Tables Sup #2'!H86+((H84+H85)*'Other Assumptions'!L13/(1-'Other Assumptions'!L13))</f>
        <v>13.741180107572879</v>
      </c>
      <c r="I86" s="1">
        <f ca="1">'Total Duration Tables Sup #2'!I86+((I84+I85)*'Other Assumptions'!M13/(1-'Other Assumptions'!M13))</f>
        <v>16.926398518262928</v>
      </c>
      <c r="J86" s="1">
        <f ca="1">'Total Duration Tables Sup #2'!J86+((J84+J85)*'Other Assumptions'!N13/(1-'Other Assumptions'!N13))</f>
        <v>19.988670913545747</v>
      </c>
      <c r="K86" s="1">
        <f ca="1">'Total Duration Tables Sup #2'!K86+((K84+K85)*'Other Assumptions'!O13/(1-'Other Assumptions'!O13))</f>
        <v>22.92408469575803</v>
      </c>
    </row>
    <row r="87" spans="1:11" x14ac:dyDescent="0.2">
      <c r="A87" t="str">
        <f ca="1">OFFSET(Manawatu_Reference,35,2)</f>
        <v>Motorcyclist</v>
      </c>
      <c r="B87" s="4">
        <f ca="1">'Total Duration Tables Sup #2'!B87</f>
        <v>0.1643149203</v>
      </c>
      <c r="C87" s="4">
        <f ca="1">'Total Duration Tables Sup #2'!C87</f>
        <v>0.17410225272606303</v>
      </c>
      <c r="D87" s="4">
        <f ca="1">'Total Duration Tables Sup #2'!D87</f>
        <v>0.17806686852438047</v>
      </c>
      <c r="E87" s="4">
        <f ca="1">'Total Duration Tables Sup #2'!E87</f>
        <v>0.17806982327009593</v>
      </c>
      <c r="F87" s="4">
        <f ca="1">'Total Duration Tables Sup #2'!F87</f>
        <v>0.17740941037373012</v>
      </c>
      <c r="G87" s="4">
        <f ca="1">'Total Duration Tables Sup #2'!G87</f>
        <v>0.17427594830159063</v>
      </c>
      <c r="H87" s="4">
        <f ca="1">'Total Duration Tables Sup #2'!H87</f>
        <v>0.17031384053487666</v>
      </c>
      <c r="I87" s="1">
        <f ca="1">'Total Duration Tables Sup #2'!I87</f>
        <v>0.16957873009513932</v>
      </c>
      <c r="J87" s="1">
        <f ca="1">'Total Duration Tables Sup #2'!J87</f>
        <v>0.1683103609122048</v>
      </c>
      <c r="K87" s="1">
        <f ca="1">'Total Duration Tables Sup #2'!K87</f>
        <v>0.16669309415958944</v>
      </c>
    </row>
    <row r="88" spans="1:11" x14ac:dyDescent="0.2">
      <c r="A88" t="str">
        <f ca="1">OFFSET(Taranaki_Reference,42,2)</f>
        <v>Local Train</v>
      </c>
      <c r="B88" s="4">
        <f ca="1">'Total Duration Tables Sup #2'!B88</f>
        <v>0</v>
      </c>
      <c r="C88" s="4">
        <f ca="1">'Total Duration Tables Sup #2'!C88</f>
        <v>0</v>
      </c>
      <c r="D88" s="4">
        <f ca="1">'Total Duration Tables Sup #2'!D88</f>
        <v>0</v>
      </c>
      <c r="E88" s="4">
        <f ca="1">'Total Duration Tables Sup #2'!E88</f>
        <v>0</v>
      </c>
      <c r="F88" s="4">
        <f ca="1">'Total Duration Tables Sup #2'!F88</f>
        <v>0</v>
      </c>
      <c r="G88" s="4">
        <f ca="1">'Total Duration Tables Sup #2'!G88</f>
        <v>0</v>
      </c>
      <c r="H88" s="4">
        <f ca="1">'Total Duration Tables Sup #2'!H88</f>
        <v>0</v>
      </c>
      <c r="I88" s="1">
        <f ca="1">'Total Duration Tables Sup #2'!I88</f>
        <v>0</v>
      </c>
      <c r="J88" s="1">
        <f ca="1">'Total Duration Tables Sup #2'!J88</f>
        <v>0</v>
      </c>
      <c r="K88" s="1">
        <f ca="1">'Total Duration Tables Sup #2'!K88</f>
        <v>0</v>
      </c>
    </row>
    <row r="89" spans="1:11" x14ac:dyDescent="0.2">
      <c r="A89" t="str">
        <f ca="1">OFFSET(Manawatu_Reference,42,2)</f>
        <v>Local Bus</v>
      </c>
      <c r="B89" s="4">
        <f ca="1">'Total Duration Tables Sup #2'!B89</f>
        <v>1.7349616699999999</v>
      </c>
      <c r="C89" s="4">
        <f ca="1">'Total Duration Tables Sup #2'!C89</f>
        <v>1.6661003762826585</v>
      </c>
      <c r="D89" s="4">
        <f ca="1">'Total Duration Tables Sup #2'!D89</f>
        <v>1.6056252509206557</v>
      </c>
      <c r="E89" s="4">
        <f ca="1">'Total Duration Tables Sup #2'!E89</f>
        <v>1.5623949860718123</v>
      </c>
      <c r="F89" s="4">
        <f ca="1">'Total Duration Tables Sup #2'!F89</f>
        <v>1.5027978305248524</v>
      </c>
      <c r="G89" s="4">
        <f ca="1">'Total Duration Tables Sup #2'!G89</f>
        <v>1.4554094556922654</v>
      </c>
      <c r="H89" s="4">
        <f ca="1">'Total Duration Tables Sup #2'!H89</f>
        <v>1.4025060514494196</v>
      </c>
      <c r="I89" s="1">
        <f ca="1">'Total Duration Tables Sup #2'!I89</f>
        <v>1.3925360886811147</v>
      </c>
      <c r="J89" s="1">
        <f ca="1">'Total Duration Tables Sup #2'!J89</f>
        <v>1.3782421456730491</v>
      </c>
      <c r="K89" s="1">
        <f ca="1">'Total Duration Tables Sup #2'!K89</f>
        <v>1.3611693985356772</v>
      </c>
    </row>
    <row r="90" spans="1:11" x14ac:dyDescent="0.2">
      <c r="A90" t="str">
        <f ca="1">OFFSET(Manawatu_Reference,49,2)</f>
        <v>Local Ferry</v>
      </c>
      <c r="B90" s="4">
        <f ca="1">'Total Duration Tables Sup #2'!B90</f>
        <v>1.3357738999999997E-2</v>
      </c>
      <c r="C90" s="4">
        <f ca="1">'Total Duration Tables Sup #2'!C90</f>
        <v>1.4536049727034275E-2</v>
      </c>
      <c r="D90" s="4">
        <f ca="1">'Total Duration Tables Sup #2'!D90</f>
        <v>1.5171610839053379E-2</v>
      </c>
      <c r="E90" s="4">
        <f ca="1">'Total Duration Tables Sup #2'!E90</f>
        <v>1.5560845015447721E-2</v>
      </c>
      <c r="F90" s="4">
        <f ca="1">'Total Duration Tables Sup #2'!F90</f>
        <v>1.5804895963400411E-2</v>
      </c>
      <c r="G90" s="4">
        <f ca="1">'Total Duration Tables Sup #2'!G90</f>
        <v>1.6319578604013157E-2</v>
      </c>
      <c r="H90" s="4">
        <f ca="1">'Total Duration Tables Sup #2'!H90</f>
        <v>1.6718738147568274E-2</v>
      </c>
      <c r="I90" s="1">
        <f ca="1">'Total Duration Tables Sup #2'!I90</f>
        <v>1.6320171379928486E-2</v>
      </c>
      <c r="J90" s="1">
        <f ca="1">'Total Duration Tables Sup #2'!J90</f>
        <v>1.5884121078173368E-2</v>
      </c>
      <c r="K90" s="1">
        <f ca="1">'Total Duration Tables Sup #2'!K90</f>
        <v>1.5430119529889728E-2</v>
      </c>
    </row>
    <row r="91" spans="1:11" x14ac:dyDescent="0.2">
      <c r="A91" t="str">
        <f ca="1">OFFSET(Manawatu_Reference,56,2)</f>
        <v>Other Household Travel</v>
      </c>
      <c r="B91" s="4">
        <f ca="1">'Total Duration Tables Sup #2'!B91</f>
        <v>3.9735238899999997E-2</v>
      </c>
      <c r="C91" s="4">
        <f ca="1">'Total Duration Tables Sup #2'!C91</f>
        <v>4.2150883396707639E-2</v>
      </c>
      <c r="D91" s="4">
        <f ca="1">'Total Duration Tables Sup #2'!D91</f>
        <v>4.3519956655418419E-2</v>
      </c>
      <c r="E91" s="4">
        <f ca="1">'Total Duration Tables Sup #2'!E91</f>
        <v>4.3973287796018265E-2</v>
      </c>
      <c r="F91" s="4">
        <f ca="1">'Total Duration Tables Sup #2'!F91</f>
        <v>4.4191575802375579E-2</v>
      </c>
      <c r="G91" s="4">
        <f ca="1">'Total Duration Tables Sup #2'!G91</f>
        <v>4.4711062291357177E-2</v>
      </c>
      <c r="H91" s="4">
        <f ca="1">'Total Duration Tables Sup #2'!H91</f>
        <v>4.4986561095692316E-2</v>
      </c>
      <c r="I91" s="1">
        <f ca="1">'Total Duration Tables Sup #2'!I91</f>
        <v>4.4419789329858017E-2</v>
      </c>
      <c r="J91" s="1">
        <f ca="1">'Total Duration Tables Sup #2'!J91</f>
        <v>4.3722908560684663E-2</v>
      </c>
      <c r="K91" s="1">
        <f ca="1">'Total Duration Tables Sup #2'!K91</f>
        <v>4.2946837065891974E-2</v>
      </c>
    </row>
    <row r="92" spans="1:11" x14ac:dyDescent="0.2">
      <c r="A92" t="str">
        <f ca="1">OFFSET(Wellington_Reference,0,0)</f>
        <v>09 WELLINGTON</v>
      </c>
      <c r="I92" s="1"/>
      <c r="J92" s="1"/>
      <c r="K92" s="1"/>
    </row>
    <row r="93" spans="1:11" x14ac:dyDescent="0.2">
      <c r="A93" t="str">
        <f ca="1">OFFSET(Wellington_Reference,0,2)</f>
        <v>Pedestrian</v>
      </c>
      <c r="B93" s="4">
        <f ca="1">'Total Duration Tables Sup #2'!B93</f>
        <v>32.985647405999998</v>
      </c>
      <c r="C93" s="4">
        <f ca="1">'Total Duration Tables Sup #2'!C93+'Total Duration Tables Sup #2'!C95*'Other Assumptions'!G77*'Other Assumptions'!G84+'Total Duration Tables Sup #2'!C96*'Other Assumptions'!G77*'Other Assumptions'!G84</f>
        <v>34.635832503714823</v>
      </c>
      <c r="D93" s="4">
        <f ca="1">'Total Duration Tables Sup #2'!D93+'Total Duration Tables Sup #2'!D95*'Other Assumptions'!H77*'Other Assumptions'!H84+'Total Duration Tables Sup #2'!D96*'Other Assumptions'!H77*'Other Assumptions'!H84</f>
        <v>35.429173832022954</v>
      </c>
      <c r="E93" s="4">
        <f ca="1">'Total Duration Tables Sup #2'!E93+'Total Duration Tables Sup #2'!E95*'Other Assumptions'!I77*'Other Assumptions'!I84+'Total Duration Tables Sup #2'!E96*'Other Assumptions'!I77*'Other Assumptions'!I84</f>
        <v>35.967713736626258</v>
      </c>
      <c r="F93" s="4">
        <f ca="1">'Total Duration Tables Sup #2'!F93+'Total Duration Tables Sup #2'!F95*'Other Assumptions'!J77*'Other Assumptions'!J84+'Total Duration Tables Sup #2'!F96*'Other Assumptions'!J77*'Other Assumptions'!J84</f>
        <v>36.205190965673388</v>
      </c>
      <c r="G93" s="4">
        <f ca="1">'Total Duration Tables Sup #2'!G93+'Total Duration Tables Sup #2'!G95*'Other Assumptions'!K77*'Other Assumptions'!K84+'Total Duration Tables Sup #2'!G96*'Other Assumptions'!K77*'Other Assumptions'!K84</f>
        <v>36.324571214313181</v>
      </c>
      <c r="H93" s="4">
        <f ca="1">'Total Duration Tables Sup #2'!H93+'Total Duration Tables Sup #2'!H95*'Other Assumptions'!L77*'Other Assumptions'!L84+'Total Duration Tables Sup #2'!H96*'Other Assumptions'!L77*'Other Assumptions'!L84</f>
        <v>36.264863332594651</v>
      </c>
      <c r="I93" s="1">
        <f ca="1">'Total Duration Tables Sup #2'!I93+'Total Duration Tables Sup #2'!I95*'Other Assumptions'!M77*'Other Assumptions'!M84+'Total Duration Tables Sup #2'!I96*'Other Assumptions'!M77*'Other Assumptions'!M84</f>
        <v>36.465118807942765</v>
      </c>
      <c r="J93" s="1">
        <f ca="1">'Total Duration Tables Sup #2'!J93+'Total Duration Tables Sup #2'!J95*'Other Assumptions'!N77*'Other Assumptions'!N84+'Total Duration Tables Sup #2'!J96*'Other Assumptions'!N77*'Other Assumptions'!N84</f>
        <v>36.548077803181819</v>
      </c>
      <c r="K93" s="1">
        <f ca="1">'Total Duration Tables Sup #2'!K93+'Total Duration Tables Sup #2'!K95*'Other Assumptions'!O77*'Other Assumptions'!O84+'Total Duration Tables Sup #2'!K96*'Other Assumptions'!O77*'Other Assumptions'!O84</f>
        <v>36.551261304445639</v>
      </c>
    </row>
    <row r="94" spans="1:11" x14ac:dyDescent="0.2">
      <c r="A94" t="str">
        <f ca="1">OFFSET(Wellington_Reference,7,2)</f>
        <v>Cyclist</v>
      </c>
      <c r="B94" s="4">
        <f ca="1">'Total Duration Tables Sup #2'!B94</f>
        <v>3.6978261002999999</v>
      </c>
      <c r="C94" s="4">
        <f ca="1">'Total Duration Tables Sup #2'!C94+'Total Duration Tables Sup #2'!C95*'Other Assumptions'!G77*'Other Assumptions'!G83+'Total Duration Tables Sup #2'!C96*'Other Assumptions'!G77*'Other Assumptions'!G83</f>
        <v>3.9858407968141676</v>
      </c>
      <c r="D94" s="4">
        <f ca="1">'Total Duration Tables Sup #2'!D94+'Total Duration Tables Sup #2'!D95*'Other Assumptions'!H77*'Other Assumptions'!H83+'Total Duration Tables Sup #2'!D96*'Other Assumptions'!H77*'Other Assumptions'!H83</f>
        <v>4.1260215994743881</v>
      </c>
      <c r="E94" s="4">
        <f ca="1">'Total Duration Tables Sup #2'!E94+'Total Duration Tables Sup #2'!E95*'Other Assumptions'!I77*'Other Assumptions'!I83+'Total Duration Tables Sup #2'!E96*'Other Assumptions'!I77*'Other Assumptions'!I83</f>
        <v>4.1849501729115284</v>
      </c>
      <c r="F94" s="4">
        <f ca="1">'Total Duration Tables Sup #2'!F94+'Total Duration Tables Sup #2'!F95*'Other Assumptions'!J77*'Other Assumptions'!J83+'Total Duration Tables Sup #2'!F96*'Other Assumptions'!J77*'Other Assumptions'!J83</f>
        <v>4.2712896686576478</v>
      </c>
      <c r="G94" s="4">
        <f ca="1">'Total Duration Tables Sup #2'!G94+'Total Duration Tables Sup #2'!G95*'Other Assumptions'!K77*'Other Assumptions'!K83+'Total Duration Tables Sup #2'!G96*'Other Assumptions'!K77*'Other Assumptions'!K83</f>
        <v>4.3951371729966757</v>
      </c>
      <c r="H94" s="4">
        <f ca="1">'Total Duration Tables Sup #2'!H94+'Total Duration Tables Sup #2'!H95*'Other Assumptions'!L77*'Other Assumptions'!L83+'Total Duration Tables Sup #2'!H96*'Other Assumptions'!L77*'Other Assumptions'!L83</f>
        <v>4.5101461027792702</v>
      </c>
      <c r="I94" s="1">
        <f ca="1">'Total Duration Tables Sup #2'!I94+'Total Duration Tables Sup #2'!I95*'Other Assumptions'!M77*'Other Assumptions'!M83+'Total Duration Tables Sup #2'!I96*'Other Assumptions'!M77*'Other Assumptions'!M83</f>
        <v>4.5579922925861416</v>
      </c>
      <c r="J94" s="1">
        <f ca="1">'Total Duration Tables Sup #2'!J94+'Total Duration Tables Sup #2'!J95*'Other Assumptions'!N77*'Other Assumptions'!N83+'Total Duration Tables Sup #2'!J96*'Other Assumptions'!N77*'Other Assumptions'!N83</f>
        <v>4.5919419025034873</v>
      </c>
      <c r="K94" s="1">
        <f ca="1">'Total Duration Tables Sup #2'!K94+'Total Duration Tables Sup #2'!K95*'Other Assumptions'!O77*'Other Assumptions'!O83+'Total Duration Tables Sup #2'!K96*'Other Assumptions'!O77*'Other Assumptions'!O83</f>
        <v>4.6164562078046201</v>
      </c>
    </row>
    <row r="95" spans="1:11" x14ac:dyDescent="0.2">
      <c r="A95" t="str">
        <f ca="1">OFFSET(Wellington_Reference,14,2)</f>
        <v>Light Vehicle Driver</v>
      </c>
      <c r="B95" s="4">
        <f ca="1">'Total Duration Tables Sup #2'!B95</f>
        <v>92.129697210000003</v>
      </c>
      <c r="C95" s="4">
        <f ca="1">'Total Duration Tables Sup #2'!C95*(1-'Other Assumptions'!G14)*(1-'Other Assumptions'!G77)</f>
        <v>100.20882877108455</v>
      </c>
      <c r="D95" s="4">
        <f ca="1">'Total Duration Tables Sup #2'!D95*(1-'Other Assumptions'!H14)*(1-'Other Assumptions'!H77)</f>
        <v>104.33050009555214</v>
      </c>
      <c r="E95" s="4">
        <f ca="1">'Total Duration Tables Sup #2'!E95*(1-'Other Assumptions'!I14)*(1-'Other Assumptions'!I77)</f>
        <v>101.37473849551024</v>
      </c>
      <c r="F95" s="4">
        <f ca="1">'Total Duration Tables Sup #2'!F95*(1-'Other Assumptions'!J14)*(1-'Other Assumptions'!J77)</f>
        <v>98.042250367541072</v>
      </c>
      <c r="G95" s="4">
        <f ca="1">'Total Duration Tables Sup #2'!G95*(1-'Other Assumptions'!K14)*(1-'Other Assumptions'!K77)</f>
        <v>93.712985061715543</v>
      </c>
      <c r="H95" s="4">
        <f ca="1">'Total Duration Tables Sup #2'!H95*(1-'Other Assumptions'!L14)*(1-'Other Assumptions'!L77)</f>
        <v>88.84584142390689</v>
      </c>
      <c r="I95" s="1">
        <f ca="1">'Total Duration Tables Sup #2'!I95*(1-'Other Assumptions'!M14)*(1-'Other Assumptions'!M77)</f>
        <v>83.578707505062837</v>
      </c>
      <c r="J95" s="1">
        <f ca="1">'Total Duration Tables Sup #2'!J95*(1-'Other Assumptions'!N14)*(1-'Other Assumptions'!N77)</f>
        <v>78.003688468660513</v>
      </c>
      <c r="K95" s="1">
        <f ca="1">'Total Duration Tables Sup #2'!K95*(1-'Other Assumptions'!O14)*(1-'Other Assumptions'!O77)</f>
        <v>72.25595675244152</v>
      </c>
    </row>
    <row r="96" spans="1:11" x14ac:dyDescent="0.2">
      <c r="A96" t="str">
        <f ca="1">OFFSET(Wellington_Reference,21,2)</f>
        <v>Light Vehicle Passenger</v>
      </c>
      <c r="B96" s="4">
        <f ca="1">'Total Duration Tables Sup #2'!B96</f>
        <v>48.966354531</v>
      </c>
      <c r="C96" s="4">
        <f ca="1">'Total Duration Tables Sup #2'!C96*(1-'Other Assumptions'!G14)*(1-'Other Assumptions'!G77+'Other Assumptions'!G77*'Other Assumptions'!G80)+'Total Duration Tables Sup #2'!C95*(1-'Other Assumptions'!G14)*'Other Assumptions'!G77*'Other Assumptions'!G80</f>
        <v>50.908056169468921</v>
      </c>
      <c r="D96" s="4">
        <f ca="1">'Total Duration Tables Sup #2'!D96*(1-'Other Assumptions'!H14)*(1-'Other Assumptions'!H77+'Other Assumptions'!H77*'Other Assumptions'!H80)+'Total Duration Tables Sup #2'!D95*(1-'Other Assumptions'!H14)*'Other Assumptions'!H77*'Other Assumptions'!H80</f>
        <v>51.419522425141707</v>
      </c>
      <c r="E96" s="4">
        <f ca="1">'Total Duration Tables Sup #2'!E96*(1-'Other Assumptions'!I14)*(1-'Other Assumptions'!I77+'Other Assumptions'!I77*'Other Assumptions'!I80)+'Total Duration Tables Sup #2'!E95*(1-'Other Assumptions'!I14)*'Other Assumptions'!I77*'Other Assumptions'!I80</f>
        <v>49.035162173944201</v>
      </c>
      <c r="F96" s="4">
        <f ca="1">'Total Duration Tables Sup #2'!F96*(1-'Other Assumptions'!J14)*(1-'Other Assumptions'!J77+'Other Assumptions'!J77*'Other Assumptions'!J80)+'Total Duration Tables Sup #2'!F95*(1-'Other Assumptions'!J14)*'Other Assumptions'!J77*'Other Assumptions'!J80</f>
        <v>46.550085712384679</v>
      </c>
      <c r="G96" s="4">
        <f ca="1">'Total Duration Tables Sup #2'!G96*(1-'Other Assumptions'!K14)*(1-'Other Assumptions'!K77+'Other Assumptions'!K77*'Other Assumptions'!K80)+'Total Duration Tables Sup #2'!G95*(1-'Other Assumptions'!K14)*'Other Assumptions'!K77*'Other Assumptions'!K80</f>
        <v>43.846615974039871</v>
      </c>
      <c r="H96" s="4">
        <f ca="1">'Total Duration Tables Sup #2'!H96*(1-'Other Assumptions'!L14)*(1-'Other Assumptions'!L77+'Other Assumptions'!L77*'Other Assumptions'!L80)+'Total Duration Tables Sup #2'!H95*(1-'Other Assumptions'!L14)*'Other Assumptions'!L77*'Other Assumptions'!L80</f>
        <v>40.904026990940167</v>
      </c>
      <c r="I96" s="1">
        <f ca="1">'Total Duration Tables Sup #2'!I96*(1-'Other Assumptions'!M14)*(1-'Other Assumptions'!M77+'Other Assumptions'!M77*'Other Assumptions'!M80)+'Total Duration Tables Sup #2'!I95*(1-'Other Assumptions'!M14)*'Other Assumptions'!M77*'Other Assumptions'!M80</f>
        <v>38.429637806816814</v>
      </c>
      <c r="J96" s="1">
        <f ca="1">'Total Duration Tables Sup #2'!J96*(1-'Other Assumptions'!N14)*(1-'Other Assumptions'!N77+'Other Assumptions'!N77*'Other Assumptions'!N80)+'Total Duration Tables Sup #2'!J95*(1-'Other Assumptions'!N14)*'Other Assumptions'!N77*'Other Assumptions'!N80</f>
        <v>35.807753031271069</v>
      </c>
      <c r="K96" s="1">
        <f ca="1">'Total Duration Tables Sup #2'!K96*(1-'Other Assumptions'!O14)*(1-'Other Assumptions'!O77+'Other Assumptions'!O77*'Other Assumptions'!O80)+'Total Duration Tables Sup #2'!K95*(1-'Other Assumptions'!O14)*'Other Assumptions'!O77*'Other Assumptions'!O80</f>
        <v>33.104891217433106</v>
      </c>
    </row>
    <row r="97" spans="1:11" x14ac:dyDescent="0.2">
      <c r="A97" t="str">
        <f ca="1">OFFSET(Wellington_Reference,28,2)</f>
        <v>Taxi/Vehicle Share</v>
      </c>
      <c r="B97" s="4">
        <f ca="1">'Total Duration Tables Sup #2'!B97</f>
        <v>0.76229285280000003</v>
      </c>
      <c r="C97" s="4">
        <f ca="1">'Total Duration Tables Sup #2'!C97+((C95+C96)*'Other Assumptions'!G14/(1-'Other Assumptions'!G14))</f>
        <v>0.86179139941436844</v>
      </c>
      <c r="D97" s="4">
        <f ca="1">'Total Duration Tables Sup #2'!D97+((D95+D96)*'Other Assumptions'!H14/(1-'Other Assumptions'!H14))</f>
        <v>0.93930841335867554</v>
      </c>
      <c r="E97" s="4">
        <f ca="1">'Total Duration Tables Sup #2'!E97+((E95+E96)*'Other Assumptions'!I14/(1-'Other Assumptions'!I14))</f>
        <v>8.927209953787397</v>
      </c>
      <c r="F97" s="4">
        <f ca="1">'Total Duration Tables Sup #2'!F97+((F95+F96)*'Other Assumptions'!J14/(1-'Other Assumptions'!J14))</f>
        <v>17.13967852183913</v>
      </c>
      <c r="G97" s="4">
        <f ca="1">'Total Duration Tables Sup #2'!G97+((G95+G96)*'Other Assumptions'!K14/(1-'Other Assumptions'!K14))</f>
        <v>25.395473717289814</v>
      </c>
      <c r="H97" s="4">
        <f ca="1">'Total Duration Tables Sup #2'!H97+((H95+H96)*'Other Assumptions'!L14/(1-'Other Assumptions'!L14))</f>
        <v>33.599527549317848</v>
      </c>
      <c r="I97" s="1">
        <f ca="1">'Total Duration Tables Sup #2'!I97+((I95+I96)*'Other Assumptions'!M14/(1-'Other Assumptions'!M14))</f>
        <v>41.83571471898933</v>
      </c>
      <c r="J97" s="1">
        <f ca="1">'Total Duration Tables Sup #2'!J97+((J95+J96)*'Other Assumptions'!N14/(1-'Other Assumptions'!N14))</f>
        <v>49.943109285490216</v>
      </c>
      <c r="K97" s="1">
        <f ca="1">'Total Duration Tables Sup #2'!K97+((K95+K96)*'Other Assumptions'!O14/(1-'Other Assumptions'!O14))</f>
        <v>57.897561542210461</v>
      </c>
    </row>
    <row r="98" spans="1:11" x14ac:dyDescent="0.2">
      <c r="A98" t="str">
        <f ca="1">OFFSET(Wellington_Reference,35,2)</f>
        <v>Motorcyclist</v>
      </c>
      <c r="B98" s="4">
        <f ca="1">'Total Duration Tables Sup #2'!B98</f>
        <v>0.71073078609999996</v>
      </c>
      <c r="C98" s="4">
        <f ca="1">'Total Duration Tables Sup #2'!C98</f>
        <v>0.76633696554259279</v>
      </c>
      <c r="D98" s="4">
        <f ca="1">'Total Duration Tables Sup #2'!D98</f>
        <v>0.79652771486213136</v>
      </c>
      <c r="E98" s="4">
        <f ca="1">'Total Duration Tables Sup #2'!E98</f>
        <v>0.80746076895423002</v>
      </c>
      <c r="F98" s="4">
        <f ca="1">'Total Duration Tables Sup #2'!F98</f>
        <v>0.8163442367973367</v>
      </c>
      <c r="G98" s="4">
        <f ca="1">'Total Duration Tables Sup #2'!G98</f>
        <v>0.81405001784040654</v>
      </c>
      <c r="H98" s="4">
        <f ca="1">'Total Duration Tables Sup #2'!H98</f>
        <v>0.80745464423230928</v>
      </c>
      <c r="I98" s="1">
        <f ca="1">'Total Duration Tables Sup #2'!I98</f>
        <v>0.81600746568799121</v>
      </c>
      <c r="J98" s="1">
        <f ca="1">'Total Duration Tables Sup #2'!J98</f>
        <v>0.82203093930094129</v>
      </c>
      <c r="K98" s="1">
        <f ca="1">'Total Duration Tables Sup #2'!K98</f>
        <v>0.82632231169950843</v>
      </c>
    </row>
    <row r="99" spans="1:11" x14ac:dyDescent="0.2">
      <c r="A99" t="str">
        <f ca="1">OFFSET(Wellington_Reference,42,2)</f>
        <v>Local Train</v>
      </c>
      <c r="B99" s="4">
        <f ca="1">'Total Duration Tables Sup #2'!B99</f>
        <v>6.554720885672368</v>
      </c>
      <c r="C99" s="4">
        <f ca="1">'Total Duration Tables Sup #2'!C99+'Total Duration Tables Sup #2'!C95*'Other Assumptions'!G77*'Other Assumptions'!G82+'Total Duration Tables Sup #2'!C96*'Other Assumptions'!G77*'Other Assumptions'!G82</f>
        <v>7.0448448964299279</v>
      </c>
      <c r="D99" s="4">
        <f ca="1">'Total Duration Tables Sup #2'!D99+'Total Duration Tables Sup #2'!D95*'Other Assumptions'!H77*'Other Assumptions'!H82+'Total Duration Tables Sup #2'!D96*'Other Assumptions'!H77*'Other Assumptions'!H82</f>
        <v>7.8935385275407652</v>
      </c>
      <c r="E99" s="4">
        <f ca="1">'Total Duration Tables Sup #2'!E99+'Total Duration Tables Sup #2'!E95*'Other Assumptions'!I77*'Other Assumptions'!I82+'Total Duration Tables Sup #2'!E96*'Other Assumptions'!I77*'Other Assumptions'!I82</f>
        <v>8.6408841088294839</v>
      </c>
      <c r="F99" s="4">
        <f ca="1">'Total Duration Tables Sup #2'!F99+'Total Duration Tables Sup #2'!F95*'Other Assumptions'!J77*'Other Assumptions'!J82+'Total Duration Tables Sup #2'!F96*'Other Assumptions'!J77*'Other Assumptions'!J82</f>
        <v>9.2362076153850268</v>
      </c>
      <c r="G99" s="4">
        <f ca="1">'Total Duration Tables Sup #2'!G99+'Total Duration Tables Sup #2'!G95*'Other Assumptions'!K77*'Other Assumptions'!K82+'Total Duration Tables Sup #2'!G96*'Other Assumptions'!K77*'Other Assumptions'!K82</f>
        <v>9.8315311219405714</v>
      </c>
      <c r="H99" s="4">
        <f ca="1">'Total Duration Tables Sup #2'!H99+'Total Duration Tables Sup #2'!H95*'Other Assumptions'!L77*'Other Assumptions'!L82+'Total Duration Tables Sup #2'!H96*'Other Assumptions'!L77*'Other Assumptions'!L82</f>
        <v>10.426854628496114</v>
      </c>
      <c r="I99" s="1">
        <f ca="1">'Total Duration Tables Sup #2'!I99+'Total Duration Tables Sup #2'!I95*'Other Assumptions'!M77*'Other Assumptions'!M82+'Total Duration Tables Sup #2'!I96*'Other Assumptions'!M77*'Other Assumptions'!M82</f>
        <v>11.026180717298757</v>
      </c>
      <c r="J99" s="1">
        <f ca="1">'Total Duration Tables Sup #2'!J99+'Total Duration Tables Sup #2'!J95*'Other Assumptions'!N77*'Other Assumptions'!N82+'Total Duration Tables Sup #2'!J96*'Other Assumptions'!N77*'Other Assumptions'!N82</f>
        <v>11.655563302151755</v>
      </c>
      <c r="K99" s="1">
        <f ca="1">'Total Duration Tables Sup #2'!K99+'Total Duration Tables Sup #2'!K95*'Other Assumptions'!O77*'Other Assumptions'!O82+'Total Duration Tables Sup #2'!K96*'Other Assumptions'!O77*'Other Assumptions'!O82</f>
        <v>12.320871512411452</v>
      </c>
    </row>
    <row r="100" spans="1:11" x14ac:dyDescent="0.2">
      <c r="A100" t="str">
        <f ca="1">OFFSET(Wellington_Reference,49,2)</f>
        <v>Local Bus</v>
      </c>
      <c r="B100" s="4">
        <f ca="1">'Total Duration Tables Sup #2'!B100</f>
        <v>8.2404499312721509</v>
      </c>
      <c r="C100" s="4">
        <f ca="1">'Total Duration Tables Sup #2'!C100+'Total Duration Tables Sup #2'!C95*'Other Assumptions'!G77*'Other Assumptions'!G81+'Total Duration Tables Sup #2'!C96*'Other Assumptions'!G77*'Other Assumptions'!G81</f>
        <v>8.6079287777540188</v>
      </c>
      <c r="D100" s="4">
        <f ca="1">'Total Duration Tables Sup #2'!D100+'Total Duration Tables Sup #2'!D95*'Other Assumptions'!H77*'Other Assumptions'!H81+'Total Duration Tables Sup #2'!D96*'Other Assumptions'!H77*'Other Assumptions'!H81</f>
        <v>9.6607331128316805</v>
      </c>
      <c r="E100" s="4">
        <f ca="1">'Total Duration Tables Sup #2'!E100+'Total Duration Tables Sup #2'!E95*'Other Assumptions'!I77*'Other Assumptions'!I81+'Total Duration Tables Sup #2'!E96*'Other Assumptions'!I77*'Other Assumptions'!I81</f>
        <v>10.406720184543854</v>
      </c>
      <c r="F100" s="4">
        <f ca="1">'Total Duration Tables Sup #2'!F100+'Total Duration Tables Sup #2'!F95*'Other Assumptions'!J77*'Other Assumptions'!J81+'Total Duration Tables Sup #2'!F96*'Other Assumptions'!J77*'Other Assumptions'!J81</f>
        <v>10.692481361207788</v>
      </c>
      <c r="G100" s="4">
        <f ca="1">'Total Duration Tables Sup #2'!G100+'Total Duration Tables Sup #2'!G95*'Other Assumptions'!K77*'Other Assumptions'!K81+'Total Duration Tables Sup #2'!G96*'Other Assumptions'!K77*'Other Assumptions'!K81</f>
        <v>10.978242537871724</v>
      </c>
      <c r="H100" s="4">
        <f ca="1">'Total Duration Tables Sup #2'!H100+'Total Duration Tables Sup #2'!H95*'Other Assumptions'!L77*'Other Assumptions'!L81+'Total Duration Tables Sup #2'!H96*'Other Assumptions'!L77*'Other Assumptions'!L81</f>
        <v>11.264003714535663</v>
      </c>
      <c r="I100" s="1">
        <f ca="1">'Total Duration Tables Sup #2'!I100+'Total Duration Tables Sup #2'!I95*'Other Assumptions'!M77*'Other Assumptions'!M81+'Total Duration Tables Sup #2'!I96*'Other Assumptions'!M77*'Other Assumptions'!M81</f>
        <v>11.550627544994747</v>
      </c>
      <c r="J100" s="1">
        <f ca="1">'Total Duration Tables Sup #2'!J100+'Total Duration Tables Sup #2'!J95*'Other Assumptions'!N77*'Other Assumptions'!N81+'Total Duration Tables Sup #2'!J96*'Other Assumptions'!N77*'Other Assumptions'!N81</f>
        <v>11.843645302397736</v>
      </c>
      <c r="K100" s="1">
        <f ca="1">'Total Duration Tables Sup #2'!K100+'Total Duration Tables Sup #2'!K95*'Other Assumptions'!O77*'Other Assumptions'!O81+'Total Duration Tables Sup #2'!K96*'Other Assumptions'!O77*'Other Assumptions'!O81</f>
        <v>12.144096370745867</v>
      </c>
    </row>
    <row r="101" spans="1:11" x14ac:dyDescent="0.2">
      <c r="A101" t="str">
        <f ca="1">OFFSET(Wellington_Reference,56,2)</f>
        <v>Local Ferry</v>
      </c>
      <c r="B101" s="4">
        <f ca="1">'Total Duration Tables Sup #2'!B101</f>
        <v>5.6537513499999983E-2</v>
      </c>
      <c r="C101" s="4">
        <f ca="1">'Total Duration Tables Sup #2'!C101</f>
        <v>6.26090924004504E-2</v>
      </c>
      <c r="D101" s="4">
        <f ca="1">'Total Duration Tables Sup #2'!D101</f>
        <v>6.6408716746380755E-2</v>
      </c>
      <c r="E101" s="4">
        <f ca="1">'Total Duration Tables Sup #2'!E101</f>
        <v>6.9046219453005292E-2</v>
      </c>
      <c r="F101" s="4">
        <f ca="1">'Total Duration Tables Sup #2'!F101</f>
        <v>7.1164588707958137E-2</v>
      </c>
      <c r="G101" s="4">
        <f ca="1">'Total Duration Tables Sup #2'!G101</f>
        <v>7.4593021582995397E-2</v>
      </c>
      <c r="H101" s="4">
        <f ca="1">'Total Duration Tables Sup #2'!H101</f>
        <v>7.7561699047499502E-2</v>
      </c>
      <c r="I101" s="1">
        <f ca="1">'Total Duration Tables Sup #2'!I101</f>
        <v>7.6846323055454663E-2</v>
      </c>
      <c r="J101" s="1">
        <f ca="1">'Total Duration Tables Sup #2'!J101</f>
        <v>7.591299482012101E-2</v>
      </c>
      <c r="K101" s="1">
        <f ca="1">'Total Duration Tables Sup #2'!K101</f>
        <v>7.4847411498271427E-2</v>
      </c>
    </row>
    <row r="102" spans="1:11" x14ac:dyDescent="0.2">
      <c r="A102" t="str">
        <f ca="1">OFFSET(Wellington_Reference,63,2)</f>
        <v>Other Household Travel</v>
      </c>
      <c r="B102" s="4">
        <f ca="1">'Total Duration Tables Sup #2'!B102</f>
        <v>0.36538599710000003</v>
      </c>
      <c r="C102" s="4">
        <f ca="1">'Total Duration Tables Sup #2'!C102</f>
        <v>0.39443006329874164</v>
      </c>
      <c r="D102" s="4">
        <f ca="1">'Total Duration Tables Sup #2'!D102</f>
        <v>0.41386068116224767</v>
      </c>
      <c r="E102" s="4">
        <f ca="1">'Total Duration Tables Sup #2'!E102</f>
        <v>0.42390445946767569</v>
      </c>
      <c r="F102" s="4">
        <f ca="1">'Total Duration Tables Sup #2'!F102</f>
        <v>0.43229888015541651</v>
      </c>
      <c r="G102" s="4">
        <f ca="1">'Total Duration Tables Sup #2'!G102</f>
        <v>0.44399345468487711</v>
      </c>
      <c r="H102" s="4">
        <f ca="1">'Total Duration Tables Sup #2'!H102</f>
        <v>0.45341818489946628</v>
      </c>
      <c r="I102" s="1">
        <f ca="1">'Total Duration Tables Sup #2'!I102</f>
        <v>0.4544092797760898</v>
      </c>
      <c r="J102" s="1">
        <f ca="1">'Total Duration Tables Sup #2'!J102</f>
        <v>0.45397747068866207</v>
      </c>
      <c r="K102" s="1">
        <f ca="1">'Total Duration Tables Sup #2'!K102</f>
        <v>0.45259630053477778</v>
      </c>
    </row>
    <row r="103" spans="1:11" x14ac:dyDescent="0.2">
      <c r="A103" t="str">
        <f ca="1">OFFSET(Nelson_Reference,0,0)</f>
        <v>10 NELS-MARLB-TAS</v>
      </c>
      <c r="I103" s="1"/>
      <c r="J103" s="1"/>
      <c r="K103" s="1"/>
    </row>
    <row r="104" spans="1:11" x14ac:dyDescent="0.2">
      <c r="A104" t="str">
        <f ca="1">OFFSET(Nelson_Reference,0,2)</f>
        <v>Pedestrian</v>
      </c>
      <c r="B104" s="4">
        <f ca="1">'Total Duration Tables Sup #2'!B104</f>
        <v>7.2640217022</v>
      </c>
      <c r="C104" s="4">
        <f ca="1">'Total Duration Tables Sup #2'!C104</f>
        <v>7.5552637497498969</v>
      </c>
      <c r="D104" s="4">
        <f ca="1">'Total Duration Tables Sup #2'!D104</f>
        <v>7.7125586245068067</v>
      </c>
      <c r="E104" s="4">
        <f ca="1">'Total Duration Tables Sup #2'!E104</f>
        <v>7.8086922072282645</v>
      </c>
      <c r="F104" s="4">
        <f ca="1">'Total Duration Tables Sup #2'!F104</f>
        <v>7.8225768588165563</v>
      </c>
      <c r="G104" s="4">
        <f ca="1">'Total Duration Tables Sup #2'!G104</f>
        <v>7.8007025831152488</v>
      </c>
      <c r="H104" s="4">
        <f ca="1">'Total Duration Tables Sup #2'!H104</f>
        <v>7.7281707225935055</v>
      </c>
      <c r="I104" s="1">
        <f ca="1">'Total Duration Tables Sup #2'!I104</f>
        <v>7.7103017913724168</v>
      </c>
      <c r="J104" s="1">
        <f ca="1">'Total Duration Tables Sup #2'!J104</f>
        <v>7.6684276390760191</v>
      </c>
      <c r="K104" s="1">
        <f ca="1">'Total Duration Tables Sup #2'!K104</f>
        <v>7.6108259989051401</v>
      </c>
    </row>
    <row r="105" spans="1:11" x14ac:dyDescent="0.2">
      <c r="A105" t="str">
        <f ca="1">OFFSET(Nelson_Reference,7,2)</f>
        <v>Cyclist</v>
      </c>
      <c r="B105" s="4">
        <f ca="1">'Total Duration Tables Sup #2'!B105</f>
        <v>1.0417220854</v>
      </c>
      <c r="C105" s="4">
        <f ca="1">'Total Duration Tables Sup #2'!C105</f>
        <v>1.1122153258343486</v>
      </c>
      <c r="D105" s="4">
        <f ca="1">'Total Duration Tables Sup #2'!D105</f>
        <v>1.1475463574326097</v>
      </c>
      <c r="E105" s="4">
        <f ca="1">'Total Duration Tables Sup #2'!E105</f>
        <v>1.1598595058111048</v>
      </c>
      <c r="F105" s="4">
        <f ca="1">'Total Duration Tables Sup #2'!F105</f>
        <v>1.1777348218654391</v>
      </c>
      <c r="G105" s="4">
        <f ca="1">'Total Duration Tables Sup #2'!G105</f>
        <v>1.2040542307189346</v>
      </c>
      <c r="H105" s="4">
        <f ca="1">'Total Duration Tables Sup #2'!H105</f>
        <v>1.2255171713248074</v>
      </c>
      <c r="I105" s="1">
        <f ca="1">'Total Duration Tables Sup #2'!I105</f>
        <v>1.228508121930632</v>
      </c>
      <c r="J105" s="1">
        <f ca="1">'Total Duration Tables Sup #2'!J105</f>
        <v>1.2277133809014535</v>
      </c>
      <c r="K105" s="1">
        <f ca="1">'Total Duration Tables Sup #2'!K105</f>
        <v>1.2244075796778542</v>
      </c>
    </row>
    <row r="106" spans="1:11" x14ac:dyDescent="0.2">
      <c r="A106" t="str">
        <f ca="1">OFFSET(Nelson_Reference,14,2)</f>
        <v>Light Vehicle Driver</v>
      </c>
      <c r="B106" s="4">
        <f ca="1">'Total Duration Tables Sup #2'!B106</f>
        <v>23.635435057999999</v>
      </c>
      <c r="C106" s="4">
        <f ca="1">'Total Duration Tables Sup #2'!C106*(1-'Other Assumptions'!G15)</f>
        <v>25.469791806149786</v>
      </c>
      <c r="D106" s="4">
        <f ca="1">'Total Duration Tables Sup #2'!D106*(1-'Other Assumptions'!H15)</f>
        <v>26.552955760378307</v>
      </c>
      <c r="E106" s="4">
        <f ca="1">'Total Duration Tables Sup #2'!E106*(1-'Other Assumptions'!I15)</f>
        <v>25.792245450497347</v>
      </c>
      <c r="F106" s="4">
        <f ca="1">'Total Duration Tables Sup #2'!F106*(1-'Other Assumptions'!J15)</f>
        <v>24.859240780094094</v>
      </c>
      <c r="G106" s="4">
        <f ca="1">'Total Duration Tables Sup #2'!G106*(1-'Other Assumptions'!K15)</f>
        <v>23.65243039795854</v>
      </c>
      <c r="H106" s="4">
        <f ca="1">'Total Duration Tables Sup #2'!H106*(1-'Other Assumptions'!L15)</f>
        <v>22.289347347290217</v>
      </c>
      <c r="I106" s="1">
        <f ca="1">'Total Duration Tables Sup #2'!I106*(1-'Other Assumptions'!M15)</f>
        <v>20.839407952945834</v>
      </c>
      <c r="J106" s="1">
        <f ca="1">'Total Duration Tables Sup #2'!J106*(1-'Other Assumptions'!N15)</f>
        <v>19.336600865512416</v>
      </c>
      <c r="K106" s="1">
        <f ca="1">'Total Duration Tables Sup #2'!K106*(1-'Other Assumptions'!O15)</f>
        <v>17.813331277486185</v>
      </c>
    </row>
    <row r="107" spans="1:11" x14ac:dyDescent="0.2">
      <c r="A107" t="str">
        <f ca="1">OFFSET(Nelson_Reference,21,2)</f>
        <v>Light Vehicle Passenger</v>
      </c>
      <c r="B107" s="4">
        <f ca="1">'Total Duration Tables Sup #2'!B107</f>
        <v>11.910351560000001</v>
      </c>
      <c r="C107" s="4">
        <f ca="1">'Total Duration Tables Sup #2'!C107*(1-'Other Assumptions'!G15)</f>
        <v>12.270373065063659</v>
      </c>
      <c r="D107" s="4">
        <f ca="1">'Total Duration Tables Sup #2'!D107*(1-'Other Assumptions'!H15)</f>
        <v>12.4694468781758</v>
      </c>
      <c r="E107" s="4">
        <f ca="1">'Total Duration Tables Sup #2'!E107*(1-'Other Assumptions'!I15)</f>
        <v>11.929435772822959</v>
      </c>
      <c r="F107" s="4">
        <f ca="1">'Total Duration Tables Sup #2'!F107*(1-'Other Assumptions'!J15)</f>
        <v>11.310631072771903</v>
      </c>
      <c r="G107" s="4">
        <f ca="1">'Total Duration Tables Sup #2'!G107*(1-'Other Assumptions'!K15)</f>
        <v>10.630187390377786</v>
      </c>
      <c r="H107" s="4">
        <f ca="1">'Total Duration Tables Sup #2'!H107*(1-'Other Assumptions'!L15)</f>
        <v>9.8852291239222865</v>
      </c>
      <c r="I107" s="1">
        <f ca="1">'Total Duration Tables Sup #2'!I107*(1-'Other Assumptions'!M15)</f>
        <v>9.2513369332566597</v>
      </c>
      <c r="J107" s="1">
        <f ca="1">'Total Duration Tables Sup #2'!J107*(1-'Other Assumptions'!N15)</f>
        <v>8.5926432062311289</v>
      </c>
      <c r="K107" s="1">
        <f ca="1">'Total Duration Tables Sup #2'!K107*(1-'Other Assumptions'!O15)</f>
        <v>7.9234972681699771</v>
      </c>
    </row>
    <row r="108" spans="1:11" x14ac:dyDescent="0.2">
      <c r="A108" t="str">
        <f ca="1">OFFSET(Nelson_Reference,28,2)</f>
        <v>Taxi/Vehicle Share</v>
      </c>
      <c r="B108" s="4">
        <f ca="1">'Total Duration Tables Sup #2'!B108</f>
        <v>8.1526233300000001E-2</v>
      </c>
      <c r="C108" s="4">
        <f ca="1">'Total Duration Tables Sup #2'!C108+((C106+C107)*'Other Assumptions'!G15/(1-'Other Assumptions'!G15))</f>
        <v>9.1293787293011269E-2</v>
      </c>
      <c r="D108" s="4">
        <f ca="1">'Total Duration Tables Sup #2'!D108+((D106+D107)*'Other Assumptions'!H15/(1-'Other Assumptions'!H15))</f>
        <v>9.9178399433498599E-2</v>
      </c>
      <c r="E108" s="4">
        <f ca="1">'Total Duration Tables Sup #2'!E108+((E106+E107)*'Other Assumptions'!I15/(1-'Other Assumptions'!I15))</f>
        <v>2.0917152784260442</v>
      </c>
      <c r="F108" s="4">
        <f ca="1">'Total Duration Tables Sup #2'!F108+((F106+F107)*'Other Assumptions'!J15/(1-'Other Assumptions'!J15))</f>
        <v>4.1312853558333327</v>
      </c>
      <c r="G108" s="4">
        <f ca="1">'Total Duration Tables Sup #2'!G108+((G106+G107)*'Other Assumptions'!K15/(1-'Other Assumptions'!K15))</f>
        <v>6.1663825221730528</v>
      </c>
      <c r="H108" s="4">
        <f ca="1">'Total Duration Tables Sup #2'!H108+((H106+H107)*'Other Assumptions'!L15/(1-'Other Assumptions'!L15))</f>
        <v>8.1635188500620579</v>
      </c>
      <c r="I108" s="1">
        <f ca="1">'Total Duration Tables Sup #2'!I108+((I106+I107)*'Other Assumptions'!M15/(1-'Other Assumptions'!M15))</f>
        <v>10.149584523458023</v>
      </c>
      <c r="J108" s="1">
        <f ca="1">'Total Duration Tables Sup #2'!J108+((J106+J107)*'Other Assumptions'!N15/(1-'Other Assumptions'!N15))</f>
        <v>12.088105200619816</v>
      </c>
      <c r="K108" s="1">
        <f ca="1">'Total Duration Tables Sup #2'!K108+((K106+K107)*'Other Assumptions'!O15/(1-'Other Assumptions'!O15))</f>
        <v>13.97557602328374</v>
      </c>
    </row>
    <row r="109" spans="1:11" x14ac:dyDescent="0.2">
      <c r="A109" t="str">
        <f ca="1">OFFSET(Nelson_Reference,35,2)</f>
        <v>Motorcyclist</v>
      </c>
      <c r="B109" s="4">
        <f ca="1">'Total Duration Tables Sup #2'!B109</f>
        <v>0.60769230029999999</v>
      </c>
      <c r="C109" s="4">
        <f ca="1">'Total Duration Tables Sup #2'!C109</f>
        <v>0.64902573822369536</v>
      </c>
      <c r="D109" s="4">
        <f ca="1">'Total Duration Tables Sup #2'!D109</f>
        <v>0.67237700267121492</v>
      </c>
      <c r="E109" s="4">
        <f ca="1">'Total Duration Tables Sup #2'!E109</f>
        <v>0.67921887067817754</v>
      </c>
      <c r="F109" s="4">
        <f ca="1">'Total Duration Tables Sup #2'!F109</f>
        <v>0.68317983569682417</v>
      </c>
      <c r="G109" s="4">
        <f ca="1">'Total Duration Tables Sup #2'!G109</f>
        <v>0.67685855410516016</v>
      </c>
      <c r="H109" s="4">
        <f ca="1">'Total Duration Tables Sup #2'!H109</f>
        <v>0.66591706519249749</v>
      </c>
      <c r="I109" s="1">
        <f ca="1">'Total Duration Tables Sup #2'!I109</f>
        <v>0.66753154779856805</v>
      </c>
      <c r="J109" s="1">
        <f ca="1">'Total Duration Tables Sup #2'!J109</f>
        <v>0.66705552547118829</v>
      </c>
      <c r="K109" s="1">
        <f ca="1">'Total Duration Tables Sup #2'!K109</f>
        <v>0.6651812308185393</v>
      </c>
    </row>
    <row r="110" spans="1:11" x14ac:dyDescent="0.2">
      <c r="A110" t="str">
        <f ca="1">OFFSET(Nelson_Reference,42,2)</f>
        <v>Local Train</v>
      </c>
      <c r="B110" s="4">
        <f ca="1">'Total Duration Tables Sup #2'!B110</f>
        <v>0</v>
      </c>
      <c r="C110" s="4">
        <f ca="1">'Total Duration Tables Sup #2'!C110</f>
        <v>0</v>
      </c>
      <c r="D110" s="4">
        <f ca="1">'Total Duration Tables Sup #2'!D110</f>
        <v>0</v>
      </c>
      <c r="E110" s="4">
        <f ca="1">'Total Duration Tables Sup #2'!E110</f>
        <v>0</v>
      </c>
      <c r="F110" s="4">
        <f ca="1">'Total Duration Tables Sup #2'!F110</f>
        <v>0</v>
      </c>
      <c r="G110" s="4">
        <f ca="1">'Total Duration Tables Sup #2'!G110</f>
        <v>0</v>
      </c>
      <c r="H110" s="4">
        <f ca="1">'Total Duration Tables Sup #2'!H110</f>
        <v>0</v>
      </c>
      <c r="I110" s="1">
        <f ca="1">'Total Duration Tables Sup #2'!I110</f>
        <v>0</v>
      </c>
      <c r="J110" s="1">
        <f ca="1">'Total Duration Tables Sup #2'!J110</f>
        <v>0</v>
      </c>
      <c r="K110" s="1">
        <f ca="1">'Total Duration Tables Sup #2'!K110</f>
        <v>0</v>
      </c>
    </row>
    <row r="111" spans="1:11" x14ac:dyDescent="0.2">
      <c r="A111" t="str">
        <f ca="1">OFFSET(Nelson_Reference,49,2)</f>
        <v>Local Bus</v>
      </c>
      <c r="B111" s="4">
        <f ca="1">'Total Duration Tables Sup #2'!B111</f>
        <v>0.94491203199999996</v>
      </c>
      <c r="C111" s="4">
        <f ca="1">'Total Duration Tables Sup #2'!C111</f>
        <v>0.91464687136292977</v>
      </c>
      <c r="D111" s="4">
        <f ca="1">'Total Duration Tables Sup #2'!D111</f>
        <v>0.89282980646026722</v>
      </c>
      <c r="E111" s="4">
        <f ca="1">'Total Duration Tables Sup #2'!E111</f>
        <v>0.87761697264774752</v>
      </c>
      <c r="F111" s="4">
        <f ca="1">'Total Duration Tables Sup #2'!F111</f>
        <v>0.85222389673447219</v>
      </c>
      <c r="G111" s="4">
        <f ca="1">'Total Duration Tables Sup #2'!G111</f>
        <v>0.83241600309676955</v>
      </c>
      <c r="H111" s="4">
        <f ca="1">'Total Duration Tables Sup #2'!H111</f>
        <v>0.80755053175350244</v>
      </c>
      <c r="I111" s="1">
        <f ca="1">'Total Duration Tables Sup #2'!I111</f>
        <v>0.80723807343584286</v>
      </c>
      <c r="J111" s="1">
        <f ca="1">'Total Duration Tables Sup #2'!J111</f>
        <v>0.80439881526411183</v>
      </c>
      <c r="K111" s="1">
        <f ca="1">'Total Duration Tables Sup #2'!K111</f>
        <v>0.79988824878352538</v>
      </c>
    </row>
    <row r="112" spans="1:11" x14ac:dyDescent="0.2">
      <c r="A112" t="str">
        <f ca="1">OFFSET(Wellington_Reference,56,2)</f>
        <v>Local Ferry</v>
      </c>
      <c r="B112" s="4">
        <f ca="1">'Total Duration Tables Sup #2'!B112</f>
        <v>0</v>
      </c>
      <c r="C112" s="4">
        <f ca="1">'Total Duration Tables Sup #2'!C112</f>
        <v>0</v>
      </c>
      <c r="D112" s="4">
        <f ca="1">'Total Duration Tables Sup #2'!D112</f>
        <v>0</v>
      </c>
      <c r="E112" s="4">
        <f ca="1">'Total Duration Tables Sup #2'!E112</f>
        <v>0</v>
      </c>
      <c r="F112" s="4">
        <f ca="1">'Total Duration Tables Sup #2'!F112</f>
        <v>0</v>
      </c>
      <c r="G112" s="4">
        <f ca="1">'Total Duration Tables Sup #2'!G112</f>
        <v>0</v>
      </c>
      <c r="H112" s="4">
        <f ca="1">'Total Duration Tables Sup #2'!H112</f>
        <v>0</v>
      </c>
      <c r="I112" s="1">
        <f ca="1">'Total Duration Tables Sup #2'!I112</f>
        <v>0</v>
      </c>
      <c r="J112" s="1">
        <f ca="1">'Total Duration Tables Sup #2'!J112</f>
        <v>0</v>
      </c>
      <c r="K112" s="1">
        <f ca="1">'Total Duration Tables Sup #2'!K112</f>
        <v>0</v>
      </c>
    </row>
    <row r="113" spans="1:11" x14ac:dyDescent="0.2">
      <c r="A113" t="str">
        <f ca="1">OFFSET(Nelson_Reference,56,2)</f>
        <v>Other Household Travel</v>
      </c>
      <c r="B113" s="4">
        <f ca="1">'Total Duration Tables Sup #2'!B113</f>
        <v>0.51346004550000002</v>
      </c>
      <c r="C113" s="4">
        <f ca="1">'Total Duration Tables Sup #2'!C113</f>
        <v>0.54902017460139863</v>
      </c>
      <c r="D113" s="4">
        <f ca="1">'Total Duration Tables Sup #2'!D113</f>
        <v>0.574172353071707</v>
      </c>
      <c r="E113" s="4">
        <f ca="1">'Total Duration Tables Sup #2'!E113</f>
        <v>0.58604700005994104</v>
      </c>
      <c r="F113" s="4">
        <f ca="1">'Total Duration Tables Sup #2'!F113</f>
        <v>0.59459597963535016</v>
      </c>
      <c r="G113" s="4">
        <f ca="1">'Total Duration Tables Sup #2'!G113</f>
        <v>0.60673569950357487</v>
      </c>
      <c r="H113" s="4">
        <f ca="1">'Total Duration Tables Sup #2'!H113</f>
        <v>0.61457811522919659</v>
      </c>
      <c r="I113" s="1">
        <f ca="1">'Total Duration Tables Sup #2'!I113</f>
        <v>0.61094343802482742</v>
      </c>
      <c r="J113" s="1">
        <f ca="1">'Total Duration Tables Sup #2'!J113</f>
        <v>0.60545834941738941</v>
      </c>
      <c r="K113" s="1">
        <f ca="1">'Total Duration Tables Sup #2'!K113</f>
        <v>0.59879429809537188</v>
      </c>
    </row>
    <row r="114" spans="1:11" x14ac:dyDescent="0.2">
      <c r="A114" t="str">
        <f ca="1">OFFSET(West_Coast_Reference,0,0)</f>
        <v>12 WEST COAST</v>
      </c>
      <c r="B114" s="4"/>
      <c r="C114" s="4"/>
      <c r="D114" s="4"/>
      <c r="E114" s="4"/>
      <c r="F114" s="4"/>
      <c r="G114" s="4"/>
      <c r="H114" s="4"/>
      <c r="I114" s="1"/>
      <c r="J114" s="1"/>
      <c r="K114" s="1"/>
    </row>
    <row r="115" spans="1:11" x14ac:dyDescent="0.2">
      <c r="A115" t="str">
        <f ca="1">OFFSET(West_Coast_Reference,0,2)</f>
        <v>Pedestrian</v>
      </c>
      <c r="B115" s="4">
        <f ca="1">'Total Duration Tables Sup #2'!B115</f>
        <v>1.1518220776999999</v>
      </c>
      <c r="C115" s="4">
        <f ca="1">'Total Duration Tables Sup #2'!C115</f>
        <v>1.1252506425028996</v>
      </c>
      <c r="D115" s="4">
        <f ca="1">'Total Duration Tables Sup #2'!D115</f>
        <v>1.1150248480746343</v>
      </c>
      <c r="E115" s="4">
        <f ca="1">'Total Duration Tables Sup #2'!E115</f>
        <v>1.0976783456829031</v>
      </c>
      <c r="F115" s="4">
        <f ca="1">'Total Duration Tables Sup #2'!F115</f>
        <v>1.0696609147794898</v>
      </c>
      <c r="G115" s="4">
        <f ca="1">'Total Duration Tables Sup #2'!G115</f>
        <v>1.038140425291902</v>
      </c>
      <c r="H115" s="4">
        <f ca="1">'Total Duration Tables Sup #2'!H115</f>
        <v>1.0036127733380296</v>
      </c>
      <c r="I115" s="1">
        <f ca="1">'Total Duration Tables Sup #2'!I115</f>
        <v>0.97702901210032556</v>
      </c>
      <c r="J115" s="1">
        <f ca="1">'Total Duration Tables Sup #2'!J115</f>
        <v>0.94813136404878029</v>
      </c>
      <c r="K115" s="1">
        <f ca="1">'Total Duration Tables Sup #2'!K115</f>
        <v>0.9181202439365943</v>
      </c>
    </row>
    <row r="116" spans="1:11" x14ac:dyDescent="0.2">
      <c r="A116" t="str">
        <f ca="1">OFFSET(West_Coast_Reference,7,2)</f>
        <v>Cyclist</v>
      </c>
      <c r="B116" s="4">
        <f ca="1">'Total Duration Tables Sup #2'!B116</f>
        <v>0.17528853950000001</v>
      </c>
      <c r="C116" s="4">
        <f ca="1">'Total Duration Tables Sup #2'!C116</f>
        <v>0.17578503510702298</v>
      </c>
      <c r="D116" s="4">
        <f ca="1">'Total Duration Tables Sup #2'!D116</f>
        <v>0.17605553825003595</v>
      </c>
      <c r="E116" s="4">
        <f ca="1">'Total Duration Tables Sup #2'!E116</f>
        <v>0.17301970350234572</v>
      </c>
      <c r="F116" s="4">
        <f ca="1">'Total Duration Tables Sup #2'!F116</f>
        <v>0.17089808226238784</v>
      </c>
      <c r="G116" s="4">
        <f ca="1">'Total Duration Tables Sup #2'!G116</f>
        <v>0.17004419721983613</v>
      </c>
      <c r="H116" s="4">
        <f ca="1">'Total Duration Tables Sup #2'!H116</f>
        <v>0.16888934778642728</v>
      </c>
      <c r="I116" s="1">
        <f ca="1">'Total Duration Tables Sup #2'!I116</f>
        <v>0.16519903265897601</v>
      </c>
      <c r="J116" s="1">
        <f ca="1">'Total Duration Tables Sup #2'!J116</f>
        <v>0.16108405877757392</v>
      </c>
      <c r="K116" s="1">
        <f ca="1">'Total Duration Tables Sup #2'!K116</f>
        <v>0.15674264276982214</v>
      </c>
    </row>
    <row r="117" spans="1:11" x14ac:dyDescent="0.2">
      <c r="A117" t="str">
        <f ca="1">OFFSET(West_Coast_Reference,14,2)</f>
        <v>Light Vehicle Driver</v>
      </c>
      <c r="B117" s="4">
        <f ca="1">'Total Duration Tables Sup #2'!B117</f>
        <v>5.0852916584000001</v>
      </c>
      <c r="C117" s="4">
        <f ca="1">'Total Duration Tables Sup #2'!C117*(1-'Other Assumptions'!G16)</f>
        <v>5.147176188475596</v>
      </c>
      <c r="D117" s="4">
        <f ca="1">'Total Duration Tables Sup #2'!D117*(1-'Other Assumptions'!H16)</f>
        <v>5.2088630486638605</v>
      </c>
      <c r="E117" s="4">
        <f ca="1">'Total Duration Tables Sup #2'!E117*(1-'Other Assumptions'!I16)</f>
        <v>4.9196017230767284</v>
      </c>
      <c r="F117" s="4">
        <f ca="1">'Total Duration Tables Sup #2'!F117*(1-'Other Assumptions'!J16)</f>
        <v>4.6124125884327576</v>
      </c>
      <c r="G117" s="4">
        <f ca="1">'Total Duration Tables Sup #2'!G117*(1-'Other Assumptions'!K16)</f>
        <v>4.2711237616236906</v>
      </c>
      <c r="H117" s="4">
        <f ca="1">'Total Duration Tables Sup #2'!H117*(1-'Other Assumptions'!L16)</f>
        <v>3.9276323144633354</v>
      </c>
      <c r="I117" s="1">
        <f ca="1">'Total Duration Tables Sup #2'!I117*(1-'Other Assumptions'!M16)</f>
        <v>3.5831538756052019</v>
      </c>
      <c r="J117" s="1">
        <f ca="1">'Total Duration Tables Sup #2'!J117*(1-'Other Assumptions'!N16)</f>
        <v>3.2440409074161112</v>
      </c>
      <c r="K117" s="1">
        <f ca="1">'Total Duration Tables Sup #2'!K117*(1-'Other Assumptions'!O16)</f>
        <v>2.9157945154805507</v>
      </c>
    </row>
    <row r="118" spans="1:11" x14ac:dyDescent="0.2">
      <c r="A118" t="str">
        <f ca="1">OFFSET(West_Coast_Reference,21,2)</f>
        <v>Light Vehicle Passenger</v>
      </c>
      <c r="B118" s="4">
        <f ca="1">'Total Duration Tables Sup #2'!B118</f>
        <v>3.4140139011000001</v>
      </c>
      <c r="C118" s="4">
        <f ca="1">'Total Duration Tables Sup #2'!C118*(1-'Other Assumptions'!G16)</f>
        <v>3.3036181652165384</v>
      </c>
      <c r="D118" s="4">
        <f ca="1">'Total Duration Tables Sup #2'!D118*(1-'Other Assumptions'!H16)</f>
        <v>3.2588599388473742</v>
      </c>
      <c r="E118" s="4">
        <f ca="1">'Total Duration Tables Sup #2'!E118*(1-'Other Assumptions'!I16)</f>
        <v>3.0314410973140697</v>
      </c>
      <c r="F118" s="4">
        <f ca="1">'Total Duration Tables Sup #2'!F118*(1-'Other Assumptions'!J16)</f>
        <v>2.7958609205759508</v>
      </c>
      <c r="G118" s="4">
        <f ca="1">'Total Duration Tables Sup #2'!G118*(1-'Other Assumptions'!K16)</f>
        <v>2.5573828120984481</v>
      </c>
      <c r="H118" s="4">
        <f ca="1">'Total Duration Tables Sup #2'!H118*(1-'Other Assumptions'!L16)</f>
        <v>2.3206446892044723</v>
      </c>
      <c r="I118" s="1">
        <f ca="1">'Total Duration Tables Sup #2'!I118*(1-'Other Assumptions'!M16)</f>
        <v>2.1192052422254983</v>
      </c>
      <c r="J118" s="1">
        <f ca="1">'Total Duration Tables Sup #2'!J118*(1-'Other Assumptions'!N16)</f>
        <v>1.9205313770532924</v>
      </c>
      <c r="K118" s="1">
        <f ca="1">'Total Duration Tables Sup #2'!K118*(1-'Other Assumptions'!O16)</f>
        <v>1.7278940992265792</v>
      </c>
    </row>
    <row r="119" spans="1:11" x14ac:dyDescent="0.2">
      <c r="A119" t="str">
        <f ca="1">OFFSET(West_Coast_Reference,28,2)</f>
        <v>Taxi/Vehicle Share</v>
      </c>
      <c r="B119" s="4">
        <f ca="1">'Total Duration Tables Sup #2'!B119</f>
        <v>6.5507808299999998E-2</v>
      </c>
      <c r="C119" s="4">
        <f ca="1">'Total Duration Tables Sup #2'!C119+((C117+C118)*'Other Assumptions'!G16/(1-'Other Assumptions'!G16))</f>
        <v>6.8901438670927156E-2</v>
      </c>
      <c r="D119" s="4">
        <f ca="1">'Total Duration Tables Sup #2'!D119+((D117+D118)*'Other Assumptions'!H16/(1-'Other Assumptions'!H16))</f>
        <v>7.2659196199800241E-2</v>
      </c>
      <c r="E119" s="4">
        <f ca="1">'Total Duration Tables Sup #2'!E119+((E117+E118)*'Other Assumptions'!I16/(1-'Other Assumptions'!I16))</f>
        <v>0.49424246656788162</v>
      </c>
      <c r="F119" s="4">
        <f ca="1">'Total Duration Tables Sup #2'!F119+((F117+F118)*'Other Assumptions'!J16/(1-'Other Assumptions'!J16))</f>
        <v>0.90103323788253609</v>
      </c>
      <c r="G119" s="4">
        <f ca="1">'Total Duration Tables Sup #2'!G119+((G117+G118)*'Other Assumptions'!K16/(1-'Other Assumptions'!K16))</f>
        <v>1.2836027005179067</v>
      </c>
      <c r="H119" s="4">
        <f ca="1">'Total Duration Tables Sup #2'!H119+((H117+H118)*'Other Assumptions'!L16/(1-'Other Assumptions'!L16))</f>
        <v>1.6409560890104138</v>
      </c>
      <c r="I119" s="1">
        <f ca="1">'Total Duration Tables Sup #2'!I119+((I117+I118)*'Other Assumptions'!M16/(1-'Other Assumptions'!M16))</f>
        <v>1.9774158415494314</v>
      </c>
      <c r="J119" s="1">
        <f ca="1">'Total Duration Tables Sup #2'!J119+((J117+J118)*'Other Assumptions'!N16/(1-'Other Assumptions'!N16))</f>
        <v>2.2875888729212481</v>
      </c>
      <c r="K119" s="1">
        <f ca="1">'Total Duration Tables Sup #2'!K119+((K117+K118)*'Other Assumptions'!O16/(1-'Other Assumptions'!O16))</f>
        <v>2.5721433916619874</v>
      </c>
    </row>
    <row r="120" spans="1:11" x14ac:dyDescent="0.2">
      <c r="A120" t="str">
        <f ca="1">OFFSET(West_Coast_Reference,35,2)</f>
        <v>Motorcyclist</v>
      </c>
      <c r="B120" s="4">
        <f ca="1">'Total Duration Tables Sup #2'!B120</f>
        <v>9.7989774000000005E-3</v>
      </c>
      <c r="C120" s="4">
        <f ca="1">'Total Duration Tables Sup #2'!C120</f>
        <v>9.829927533216919E-3</v>
      </c>
      <c r="D120" s="4">
        <f ca="1">'Total Duration Tables Sup #2'!D120</f>
        <v>9.8852504046414817E-3</v>
      </c>
      <c r="E120" s="4">
        <f ca="1">'Total Duration Tables Sup #2'!E120</f>
        <v>9.7094648115815078E-3</v>
      </c>
      <c r="F120" s="4">
        <f ca="1">'Total Duration Tables Sup #2'!F120</f>
        <v>9.4999229813287015E-3</v>
      </c>
      <c r="G120" s="4">
        <f ca="1">'Total Duration Tables Sup #2'!G120</f>
        <v>9.1602865947407845E-3</v>
      </c>
      <c r="H120" s="4">
        <f ca="1">'Total Duration Tables Sup #2'!H120</f>
        <v>8.7942412194782181E-3</v>
      </c>
      <c r="I120" s="1">
        <f ca="1">'Total Duration Tables Sup #2'!I120</f>
        <v>8.6019444738856168E-3</v>
      </c>
      <c r="J120" s="1">
        <f ca="1">'Total Duration Tables Sup #2'!J120</f>
        <v>8.3871214524329444E-3</v>
      </c>
      <c r="K120" s="1">
        <f ca="1">'Total Duration Tables Sup #2'!K120</f>
        <v>8.1601193987926278E-3</v>
      </c>
    </row>
    <row r="121" spans="1:11" x14ac:dyDescent="0.2">
      <c r="A121" t="str">
        <f ca="1">OFFSET(Nelson_Reference,42,2)</f>
        <v>Local Train</v>
      </c>
      <c r="B121" s="4">
        <f ca="1">'Total Duration Tables Sup #2'!B121</f>
        <v>0</v>
      </c>
      <c r="C121" s="4">
        <f ca="1">'Total Duration Tables Sup #2'!C121</f>
        <v>0</v>
      </c>
      <c r="D121" s="4">
        <f ca="1">'Total Duration Tables Sup #2'!D121</f>
        <v>0</v>
      </c>
      <c r="E121" s="4">
        <f ca="1">'Total Duration Tables Sup #2'!E121</f>
        <v>0</v>
      </c>
      <c r="F121" s="4">
        <f ca="1">'Total Duration Tables Sup #2'!F121</f>
        <v>0</v>
      </c>
      <c r="G121" s="4">
        <f ca="1">'Total Duration Tables Sup #2'!G121</f>
        <v>0</v>
      </c>
      <c r="H121" s="4">
        <f ca="1">'Total Duration Tables Sup #2'!H121</f>
        <v>0</v>
      </c>
      <c r="I121" s="1">
        <f ca="1">'Total Duration Tables Sup #2'!I121</f>
        <v>0</v>
      </c>
      <c r="J121" s="1">
        <f ca="1">'Total Duration Tables Sup #2'!J121</f>
        <v>0</v>
      </c>
      <c r="K121" s="1">
        <f ca="1">'Total Duration Tables Sup #2'!K121</f>
        <v>0</v>
      </c>
    </row>
    <row r="122" spans="1:11" x14ac:dyDescent="0.2">
      <c r="A122" t="str">
        <f ca="1">OFFSET(West_Coast_Reference,42,2)</f>
        <v>Local Bus</v>
      </c>
      <c r="B122" s="4">
        <f ca="1">'Total Duration Tables Sup #2'!B122</f>
        <v>0.18249519829999999</v>
      </c>
      <c r="C122" s="4">
        <f ca="1">'Total Duration Tables Sup #2'!C122</f>
        <v>0.16592235002379258</v>
      </c>
      <c r="D122" s="4">
        <f ca="1">'Total Duration Tables Sup #2'!D122</f>
        <v>0.15721954866329324</v>
      </c>
      <c r="E122" s="4">
        <f ca="1">'Total Duration Tables Sup #2'!E122</f>
        <v>0.1502635355274759</v>
      </c>
      <c r="F122" s="4">
        <f ca="1">'Total Duration Tables Sup #2'!F122</f>
        <v>0.14193901704087122</v>
      </c>
      <c r="G122" s="4">
        <f ca="1">'Total Duration Tables Sup #2'!G122</f>
        <v>0.13493188923657257</v>
      </c>
      <c r="H122" s="4">
        <f ca="1">'Total Duration Tables Sup #2'!H122</f>
        <v>0.12773531324997403</v>
      </c>
      <c r="I122" s="1">
        <f ca="1">'Total Duration Tables Sup #2'!I122</f>
        <v>0.12459181636630354</v>
      </c>
      <c r="J122" s="1">
        <f ca="1">'Total Duration Tables Sup #2'!J122</f>
        <v>0.12113939740506005</v>
      </c>
      <c r="K122" s="1">
        <f ca="1">'Total Duration Tables Sup #2'!K122</f>
        <v>0.1175300400709918</v>
      </c>
    </row>
    <row r="123" spans="1:11" x14ac:dyDescent="0.2">
      <c r="A123" t="str">
        <f ca="1">OFFSET(Wellington_Reference,56,2)</f>
        <v>Local Ferry</v>
      </c>
      <c r="B123" s="4">
        <f ca="1">'Total Duration Tables Sup #2'!B123</f>
        <v>0</v>
      </c>
      <c r="C123" s="4">
        <f ca="1">'Total Duration Tables Sup #2'!C123</f>
        <v>0</v>
      </c>
      <c r="D123" s="4">
        <f ca="1">'Total Duration Tables Sup #2'!D123</f>
        <v>0</v>
      </c>
      <c r="E123" s="4">
        <f ca="1">'Total Duration Tables Sup #2'!E123</f>
        <v>0</v>
      </c>
      <c r="F123" s="4">
        <f ca="1">'Total Duration Tables Sup #2'!F123</f>
        <v>0</v>
      </c>
      <c r="G123" s="4">
        <f ca="1">'Total Duration Tables Sup #2'!G123</f>
        <v>0</v>
      </c>
      <c r="H123" s="4">
        <f ca="1">'Total Duration Tables Sup #2'!H123</f>
        <v>0</v>
      </c>
      <c r="I123" s="1">
        <f ca="1">'Total Duration Tables Sup #2'!I123</f>
        <v>0</v>
      </c>
      <c r="J123" s="1">
        <f ca="1">'Total Duration Tables Sup #2'!J123</f>
        <v>0</v>
      </c>
      <c r="K123" s="1">
        <f ca="1">'Total Duration Tables Sup #2'!K123</f>
        <v>0</v>
      </c>
    </row>
    <row r="124" spans="1:11" x14ac:dyDescent="0.2">
      <c r="A124" t="str">
        <f ca="1">OFFSET(West_Coast_Reference,49,2)</f>
        <v>Other Household Travel</v>
      </c>
      <c r="B124" s="4">
        <f ca="1">'Total Duration Tables Sup #2'!B124</f>
        <v>3.6766106000000001E-3</v>
      </c>
      <c r="C124" s="4">
        <f ca="1">'Total Duration Tables Sup #2'!C124</f>
        <v>3.6925013063520461E-3</v>
      </c>
      <c r="D124" s="4">
        <f ca="1">'Total Duration Tables Sup #2'!D124</f>
        <v>3.7485305859601328E-3</v>
      </c>
      <c r="E124" s="4">
        <f ca="1">'Total Duration Tables Sup #2'!E124</f>
        <v>3.7201628679101361E-3</v>
      </c>
      <c r="F124" s="4">
        <f ca="1">'Total Duration Tables Sup #2'!F124</f>
        <v>3.6715628841797877E-3</v>
      </c>
      <c r="G124" s="4">
        <f ca="1">'Total Duration Tables Sup #2'!G124</f>
        <v>3.646318881317136E-3</v>
      </c>
      <c r="H124" s="4">
        <f ca="1">'Total Duration Tables Sup #2'!H124</f>
        <v>3.6041202964588975E-3</v>
      </c>
      <c r="I124" s="1">
        <f ca="1">'Total Duration Tables Sup #2'!I124</f>
        <v>3.4959869402855026E-3</v>
      </c>
      <c r="J124" s="1">
        <f ca="1">'Total Duration Tables Sup #2'!J124</f>
        <v>3.3804862698600738E-3</v>
      </c>
      <c r="K124" s="1">
        <f ca="1">'Total Duration Tables Sup #2'!K124</f>
        <v>3.2619563176022569E-3</v>
      </c>
    </row>
    <row r="125" spans="1:11" x14ac:dyDescent="0.2">
      <c r="A125" t="str">
        <f ca="1">OFFSET(Canterbury_Reference,0,0)</f>
        <v>13 CANTERBURY</v>
      </c>
      <c r="B125" s="4"/>
      <c r="I125" s="1"/>
      <c r="J125" s="1"/>
      <c r="K125" s="1"/>
    </row>
    <row r="126" spans="1:11" x14ac:dyDescent="0.2">
      <c r="A126" t="str">
        <f ca="1">OFFSET(Canterbury_Reference,0,2)</f>
        <v>Pedestrian</v>
      </c>
      <c r="B126" s="4">
        <f ca="1">'Total Duration Tables Sup #2'!B126</f>
        <v>27.07651954</v>
      </c>
      <c r="C126" s="4">
        <f ca="1">'Total Duration Tables Sup #2'!C126+'Total Duration Tables Sup #2'!C128*'Other Assumptions'!G88*'Other Assumptions'!G95+'Total Duration Tables Sup #2'!C129*'Other Assumptions'!G88*'Other Assumptions'!G95</f>
        <v>29.736064115896351</v>
      </c>
      <c r="D126" s="4">
        <f ca="1">'Total Duration Tables Sup #2'!D126+'Total Duration Tables Sup #2'!D128*'Other Assumptions'!H88*'Other Assumptions'!H95+'Total Duration Tables Sup #2'!D129*'Other Assumptions'!H88*'Other Assumptions'!H95</f>
        <v>31.404377351742777</v>
      </c>
      <c r="E126" s="4">
        <f ca="1">'Total Duration Tables Sup #2'!E126+'Total Duration Tables Sup #2'!E128*'Other Assumptions'!I88*'Other Assumptions'!I95+'Total Duration Tables Sup #2'!E129*'Other Assumptions'!I88*'Other Assumptions'!I95</f>
        <v>32.516955071954619</v>
      </c>
      <c r="F126" s="4">
        <f ca="1">'Total Duration Tables Sup #2'!F126+'Total Duration Tables Sup #2'!F128*'Other Assumptions'!J88*'Other Assumptions'!J95+'Total Duration Tables Sup #2'!F129*'Other Assumptions'!J88*'Other Assumptions'!J95</f>
        <v>33.35049471307957</v>
      </c>
      <c r="G126" s="4">
        <f ca="1">'Total Duration Tables Sup #2'!G126+'Total Duration Tables Sup #2'!G128*'Other Assumptions'!K88*'Other Assumptions'!K95+'Total Duration Tables Sup #2'!G129*'Other Assumptions'!K88*'Other Assumptions'!K95</f>
        <v>34.089786048049525</v>
      </c>
      <c r="H126" s="4">
        <f ca="1">'Total Duration Tables Sup #2'!H126+'Total Duration Tables Sup #2'!H128*'Other Assumptions'!L88*'Other Assumptions'!L95+'Total Duration Tables Sup #2'!H129*'Other Assumptions'!L88*'Other Assumptions'!L95</f>
        <v>34.681676507307699</v>
      </c>
      <c r="I126" s="1">
        <f ca="1">'Total Duration Tables Sup #2'!I126+'Total Duration Tables Sup #2'!I128*'Other Assumptions'!M88*'Other Assumptions'!M95+'Total Duration Tables Sup #2'!I129*'Other Assumptions'!M88*'Other Assumptions'!M95</f>
        <v>35.530972387374042</v>
      </c>
      <c r="J126" s="1">
        <f ca="1">'Total Duration Tables Sup #2'!J126+'Total Duration Tables Sup #2'!J128*'Other Assumptions'!N88*'Other Assumptions'!N95+'Total Duration Tables Sup #2'!J129*'Other Assumptions'!N88*'Other Assumptions'!N95</f>
        <v>36.285563897168593</v>
      </c>
      <c r="K126" s="1">
        <f ca="1">'Total Duration Tables Sup #2'!K126+'Total Duration Tables Sup #2'!K128*'Other Assumptions'!O88*'Other Assumptions'!O95+'Total Duration Tables Sup #2'!K129*'Other Assumptions'!O88*'Other Assumptions'!O95</f>
        <v>36.976913476716689</v>
      </c>
    </row>
    <row r="127" spans="1:11" x14ac:dyDescent="0.2">
      <c r="A127" t="str">
        <f ca="1">OFFSET(Canterbury_Reference,7,2)</f>
        <v>Cyclist</v>
      </c>
      <c r="B127" s="4">
        <f ca="1">'Total Duration Tables Sup #2'!B127</f>
        <v>7.2445897615000003</v>
      </c>
      <c r="C127" s="4">
        <f ca="1">'Total Duration Tables Sup #2'!C127+'Total Duration Tables Sup #2'!C128*'Other Assumptions'!G88*'Other Assumptions'!G94+'Total Duration Tables Sup #2'!C129*'Other Assumptions'!G88*'Other Assumptions'!G94</f>
        <v>8.1671202529440663</v>
      </c>
      <c r="D127" s="4">
        <f ca="1">'Total Duration Tables Sup #2'!D127+'Total Duration Tables Sup #2'!D128*'Other Assumptions'!H88*'Other Assumptions'!H94+'Total Duration Tables Sup #2'!D129*'Other Assumptions'!H88*'Other Assumptions'!H94</f>
        <v>8.7178254280833194</v>
      </c>
      <c r="E127" s="4">
        <f ca="1">'Total Duration Tables Sup #2'!E127+'Total Duration Tables Sup #2'!E128*'Other Assumptions'!I88*'Other Assumptions'!I94+'Total Duration Tables Sup #2'!E129*'Other Assumptions'!I88*'Other Assumptions'!I94</f>
        <v>9.0112112885228051</v>
      </c>
      <c r="F127" s="4">
        <f ca="1">'Total Duration Tables Sup #2'!F127+'Total Duration Tables Sup #2'!F128*'Other Assumptions'!J88*'Other Assumptions'!J94+'Total Duration Tables Sup #2'!F129*'Other Assumptions'!J88*'Other Assumptions'!J94</f>
        <v>9.3679848130827086</v>
      </c>
      <c r="G127" s="4">
        <f ca="1">'Total Duration Tables Sup #2'!G127+'Total Duration Tables Sup #2'!G128*'Other Assumptions'!K88*'Other Assumptions'!K94+'Total Duration Tables Sup #2'!G129*'Other Assumptions'!K88*'Other Assumptions'!K94</f>
        <v>9.8170911669415553</v>
      </c>
      <c r="H127" s="4">
        <f ca="1">'Total Duration Tables Sup #2'!H127+'Total Duration Tables Sup #2'!H128*'Other Assumptions'!L88*'Other Assumptions'!L94+'Total Duration Tables Sup #2'!H129*'Other Assumptions'!L88*'Other Assumptions'!L94</f>
        <v>10.2609836768547</v>
      </c>
      <c r="I127" s="1">
        <f ca="1">'Total Duration Tables Sup #2'!I127+'Total Duration Tables Sup #2'!I128*'Other Assumptions'!M88*'Other Assumptions'!M94+'Total Duration Tables Sup #2'!I129*'Other Assumptions'!M88*'Other Assumptions'!M94</f>
        <v>10.562335746639107</v>
      </c>
      <c r="J127" s="1">
        <f ca="1">'Total Duration Tables Sup #2'!J127+'Total Duration Tables Sup #2'!J128*'Other Assumptions'!N88*'Other Assumptions'!N94+'Total Duration Tables Sup #2'!J129*'Other Assumptions'!N88*'Other Assumptions'!N94</f>
        <v>10.838539445401409</v>
      </c>
      <c r="K127" s="1">
        <f ca="1">'Total Duration Tables Sup #2'!K127+'Total Duration Tables Sup #2'!K128*'Other Assumptions'!O88*'Other Assumptions'!O94+'Total Duration Tables Sup #2'!K129*'Other Assumptions'!O88*'Other Assumptions'!O94</f>
        <v>11.098673968013346</v>
      </c>
    </row>
    <row r="128" spans="1:11" x14ac:dyDescent="0.2">
      <c r="A128" t="str">
        <f ca="1">OFFSET(Canterbury_Reference,14,2)</f>
        <v>Light Vehicle Driver</v>
      </c>
      <c r="B128" s="4">
        <f ca="1">'Total Duration Tables Sup #2'!B128</f>
        <v>111.06814274</v>
      </c>
      <c r="C128" s="4">
        <f ca="1">'Total Duration Tables Sup #2'!C128*(1-'Other Assumptions'!G17)*(1-'Other Assumptions'!G88)</f>
        <v>126.37741066346776</v>
      </c>
      <c r="D128" s="4">
        <f ca="1">'Total Duration Tables Sup #2'!D128*(1-'Other Assumptions'!H17)*(1-'Other Assumptions'!H88)</f>
        <v>136.30594063768143</v>
      </c>
      <c r="E128" s="4">
        <f ca="1">'Total Duration Tables Sup #2'!E128*(1-'Other Assumptions'!I17)*(1-'Other Assumptions'!I88)</f>
        <v>135.4038218166115</v>
      </c>
      <c r="F128" s="4">
        <f ca="1">'Total Duration Tables Sup #2'!F128*(1-'Other Assumptions'!J17)*(1-'Other Assumptions'!J88)</f>
        <v>133.61355085210937</v>
      </c>
      <c r="G128" s="4">
        <f ca="1">'Total Duration Tables Sup #2'!G128*(1-'Other Assumptions'!K17)*(1-'Other Assumptions'!K88)</f>
        <v>130.30963613816743</v>
      </c>
      <c r="H128" s="4">
        <f ca="1">'Total Duration Tables Sup #2'!H128*(1-'Other Assumptions'!L17)*(1-'Other Assumptions'!L88)</f>
        <v>126.10460060325084</v>
      </c>
      <c r="I128" s="1">
        <f ca="1">'Total Duration Tables Sup #2'!I128*(1-'Other Assumptions'!M17)*(1-'Other Assumptions'!M88)</f>
        <v>121.0685373613014</v>
      </c>
      <c r="J128" s="1">
        <f ca="1">'Total Duration Tables Sup #2'!J128*(1-'Other Assumptions'!N17)*(1-'Other Assumptions'!N88)</f>
        <v>115.35007705909442</v>
      </c>
      <c r="K128" s="1">
        <f ca="1">'Total Duration Tables Sup #2'!K128*(1-'Other Assumptions'!O17)*(1-'Other Assumptions'!O88)</f>
        <v>109.10740129207501</v>
      </c>
    </row>
    <row r="129" spans="1:11" x14ac:dyDescent="0.2">
      <c r="A129" t="str">
        <f ca="1">OFFSET(Canterbury_Reference,21,2)</f>
        <v>Light Vehicle Passenger</v>
      </c>
      <c r="B129" s="4">
        <f ca="1">'Total Duration Tables Sup #2'!B129</f>
        <v>53.544276449999998</v>
      </c>
      <c r="C129" s="4">
        <f ca="1">'Total Duration Tables Sup #2'!C129*(1-'Other Assumptions'!G17)*(1-'Other Assumptions'!G88+'Other Assumptions'!G88*'Other Assumptions'!G91)+'Total Duration Tables Sup #2'!C128*(1-'Other Assumptions'!G17)*'Other Assumptions'!G88*'Other Assumptions'!G91</f>
        <v>58.245769805337403</v>
      </c>
      <c r="D129" s="4">
        <f ca="1">'Total Duration Tables Sup #2'!D129*(1-'Other Assumptions'!H17)*(1-'Other Assumptions'!H88+'Other Assumptions'!H88*'Other Assumptions'!H91)+'Total Duration Tables Sup #2'!D128*(1-'Other Assumptions'!H17)*'Other Assumptions'!H88*'Other Assumptions'!H91</f>
        <v>61.236684108570145</v>
      </c>
      <c r="E129" s="4">
        <f ca="1">'Total Duration Tables Sup #2'!E129*(1-'Other Assumptions'!I17)*(1-'Other Assumptions'!I88+'Other Assumptions'!I88*'Other Assumptions'!I91)+'Total Duration Tables Sup #2'!E128*(1-'Other Assumptions'!I17)*'Other Assumptions'!I88*'Other Assumptions'!I91</f>
        <v>59.913437448799435</v>
      </c>
      <c r="F129" s="4">
        <f ca="1">'Total Duration Tables Sup #2'!F129*(1-'Other Assumptions'!J17)*(1-'Other Assumptions'!J88+'Other Assumptions'!J88*'Other Assumptions'!J91)+'Total Duration Tables Sup #2'!F128*(1-'Other Assumptions'!J17)*'Other Assumptions'!J88*'Other Assumptions'!J91</f>
        <v>58.158345928791476</v>
      </c>
      <c r="G129" s="4">
        <f ca="1">'Total Duration Tables Sup #2'!G129*(1-'Other Assumptions'!K17)*(1-'Other Assumptions'!K88+'Other Assumptions'!K88*'Other Assumptions'!K91)+'Total Duration Tables Sup #2'!G128*(1-'Other Assumptions'!K17)*'Other Assumptions'!K88*'Other Assumptions'!K91</f>
        <v>56.02788696993634</v>
      </c>
      <c r="H129" s="4">
        <f ca="1">'Total Duration Tables Sup #2'!H129*(1-'Other Assumptions'!L17)*(1-'Other Assumptions'!L88+'Other Assumptions'!L88*'Other Assumptions'!L91)+'Total Duration Tables Sup #2'!H128*(1-'Other Assumptions'!L17)*'Other Assumptions'!L88*'Other Assumptions'!L91</f>
        <v>53.503585066588897</v>
      </c>
      <c r="I129" s="1">
        <f ca="1">'Total Duration Tables Sup #2'!I129*(1-'Other Assumptions'!M17)*(1-'Other Assumptions'!M88+'Other Assumptions'!M88*'Other Assumptions'!M91)+'Total Duration Tables Sup #2'!I128*(1-'Other Assumptions'!M17)*'Other Assumptions'!M88*'Other Assumptions'!M91</f>
        <v>51.417739767194689</v>
      </c>
      <c r="J129" s="1">
        <f ca="1">'Total Duration Tables Sup #2'!J129*(1-'Other Assumptions'!N17)*(1-'Other Assumptions'!N88+'Other Assumptions'!N88*'Other Assumptions'!N91)+'Total Duration Tables Sup #2'!J128*(1-'Other Assumptions'!N17)*'Other Assumptions'!N88*'Other Assumptions'!N91</f>
        <v>49.037362059781159</v>
      </c>
      <c r="K129" s="1">
        <f ca="1">'Total Duration Tables Sup #2'!K129*(1-'Other Assumptions'!O17)*(1-'Other Assumptions'!O88+'Other Assumptions'!O88*'Other Assumptions'!O91)+'Total Duration Tables Sup #2'!K128*(1-'Other Assumptions'!O17)*'Other Assumptions'!O88*'Other Assumptions'!O91</f>
        <v>46.428916024255038</v>
      </c>
    </row>
    <row r="130" spans="1:11" x14ac:dyDescent="0.2">
      <c r="A130" t="str">
        <f ca="1">OFFSET(Canterbury_Reference,28,2)</f>
        <v>Taxi/Vehicle Share</v>
      </c>
      <c r="B130" s="4">
        <f ca="1">'Total Duration Tables Sup #2'!B130</f>
        <v>0.86554787379999998</v>
      </c>
      <c r="C130" s="4">
        <f ca="1">'Total Duration Tables Sup #2'!C130+((C128+C129)*'Other Assumptions'!G17/(1-'Other Assumptions'!G17))</f>
        <v>1.0234180903275567</v>
      </c>
      <c r="D130" s="4">
        <f ca="1">'Total Duration Tables Sup #2'!D130+((D128+D129)*'Other Assumptions'!H17/(1-'Other Assumptions'!H17))</f>
        <v>1.1502356267244858</v>
      </c>
      <c r="E130" s="4">
        <f ca="1">'Total Duration Tables Sup #2'!E130+((E128+E129)*'Other Assumptions'!I17/(1-'Other Assumptions'!I17))</f>
        <v>11.541400756119746</v>
      </c>
      <c r="F130" s="4">
        <f ca="1">'Total Duration Tables Sup #2'!F130+((F128+F129)*'Other Assumptions'!J17/(1-'Other Assumptions'!J17))</f>
        <v>22.673005738280079</v>
      </c>
      <c r="G130" s="4">
        <f ca="1">'Total Duration Tables Sup #2'!G130+((G128+G129)*'Other Assumptions'!K17/(1-'Other Assumptions'!K17))</f>
        <v>34.333290228162539</v>
      </c>
      <c r="H130" s="4">
        <f ca="1">'Total Duration Tables Sup #2'!H130+((H128+H129)*'Other Assumptions'!L17/(1-'Other Assumptions'!L17))</f>
        <v>46.434294323706965</v>
      </c>
      <c r="I130" s="1">
        <f ca="1">'Total Duration Tables Sup #2'!I130+((I128+I129)*'Other Assumptions'!M17/(1-'Other Assumptions'!M17))</f>
        <v>59.061765690210265</v>
      </c>
      <c r="J130" s="1">
        <f ca="1">'Total Duration Tables Sup #2'!J130+((J128+J129)*'Other Assumptions'!N17/(1-'Other Assumptions'!N17))</f>
        <v>72.047874878617279</v>
      </c>
      <c r="K130" s="1">
        <f ca="1">'Total Duration Tables Sup #2'!K130+((K128+K129)*'Other Assumptions'!O17/(1-'Other Assumptions'!O17))</f>
        <v>85.373310218336826</v>
      </c>
    </row>
    <row r="131" spans="1:11" x14ac:dyDescent="0.2">
      <c r="A131" t="str">
        <f ca="1">OFFSET(Canterbury_Reference,35,2)</f>
        <v>Motorcyclist</v>
      </c>
      <c r="B131" s="4">
        <f ca="1">'Total Duration Tables Sup #2'!B131</f>
        <v>0.39288238580000001</v>
      </c>
      <c r="C131" s="4">
        <f ca="1">'Total Duration Tables Sup #2'!C131</f>
        <v>0.44305627667402042</v>
      </c>
      <c r="D131" s="4">
        <f ca="1">'Total Duration Tables Sup #2'!D131</f>
        <v>0.47486228595645436</v>
      </c>
      <c r="E131" s="4">
        <f ca="1">'Total Duration Tables Sup #2'!E131</f>
        <v>0.49057388863575369</v>
      </c>
      <c r="F131" s="4">
        <f ca="1">'Total Duration Tables Sup #2'!F131</f>
        <v>0.5051851782375445</v>
      </c>
      <c r="G131" s="4">
        <f ca="1">'Total Duration Tables Sup #2'!G131</f>
        <v>0.51304043669881483</v>
      </c>
      <c r="H131" s="4">
        <f ca="1">'Total Duration Tables Sup #2'!H131</f>
        <v>0.51833035016619533</v>
      </c>
      <c r="I131" s="1">
        <f ca="1">'Total Duration Tables Sup #2'!I131</f>
        <v>0.53354447912756486</v>
      </c>
      <c r="J131" s="1">
        <f ca="1">'Total Duration Tables Sup #2'!J131</f>
        <v>0.5474603337082572</v>
      </c>
      <c r="K131" s="1">
        <f ca="1">'Total Duration Tables Sup #2'!K131</f>
        <v>0.56053401154131222</v>
      </c>
    </row>
    <row r="132" spans="1:11" x14ac:dyDescent="0.2">
      <c r="A132" t="str">
        <f ca="1">OFFSET(Canterbury_Reference,42,2)</f>
        <v>Local Train</v>
      </c>
      <c r="B132" s="4">
        <f ca="1">'Total Duration Tables Sup #2'!B132</f>
        <v>7.3004144E-3</v>
      </c>
      <c r="C132" s="4">
        <f ca="1">'Total Duration Tables Sup #2'!C132+'Total Duration Tables Sup #2'!C128*'Other Assumptions'!G88*'Other Assumptions'!G93+'Total Duration Tables Sup #2'!C129*'Other Assumptions'!G88*'Other Assumptions'!G93</f>
        <v>7.5482699742290887E-3</v>
      </c>
      <c r="D132" s="4">
        <f ca="1">'Total Duration Tables Sup #2'!D132+'Total Duration Tables Sup #2'!D128*'Other Assumptions'!H88*'Other Assumptions'!H93+'Total Duration Tables Sup #2'!D129*'Other Assumptions'!H88*'Other Assumptions'!H93</f>
        <v>6.5057569189365611E-3</v>
      </c>
      <c r="E132" s="4">
        <f ca="1">'Total Duration Tables Sup #2'!E132+'Total Duration Tables Sup #2'!E128*'Other Assumptions'!I88*'Other Assumptions'!I93+'Total Duration Tables Sup #2'!E129*'Other Assumptions'!I88*'Other Assumptions'!I93</f>
        <v>6.0746929869403207E-3</v>
      </c>
      <c r="F132" s="4">
        <f ca="1">'Total Duration Tables Sup #2'!F132+'Total Duration Tables Sup #2'!F128*'Other Assumptions'!J88*'Other Assumptions'!J93+'Total Duration Tables Sup #2'!F129*'Other Assumptions'!J88*'Other Assumptions'!J93</f>
        <v>5.7779610686899338E-3</v>
      </c>
      <c r="G132" s="4">
        <f ca="1">'Total Duration Tables Sup #2'!G132+'Total Duration Tables Sup #2'!G128*'Other Assumptions'!K88*'Other Assumptions'!K93+'Total Duration Tables Sup #2'!G129*'Other Assumptions'!K88*'Other Assumptions'!K93</f>
        <v>4.8870130842178002E-3</v>
      </c>
      <c r="H132" s="4">
        <f ca="1">'Total Duration Tables Sup #2'!H132+'Total Duration Tables Sup #2'!H128*'Other Assumptions'!L88*'Other Assumptions'!L93+'Total Duration Tables Sup #2'!H129*'Other Assumptions'!L88*'Other Assumptions'!L93</f>
        <v>4.0479577489004742E-3</v>
      </c>
      <c r="I132" s="1">
        <f ca="1">'Total Duration Tables Sup #2'!I132+'Total Duration Tables Sup #2'!I128*'Other Assumptions'!M88*'Other Assumptions'!M93+'Total Duration Tables Sup #2'!I129*'Other Assumptions'!M88*'Other Assumptions'!M93</f>
        <v>4.0435258390747186E-3</v>
      </c>
      <c r="J132" s="1">
        <f ca="1">'Total Duration Tables Sup #2'!J132+'Total Duration Tables Sup #2'!J128*'Other Assumptions'!N88*'Other Assumptions'!N93+'Total Duration Tables Sup #2'!J129*'Other Assumptions'!N88*'Other Assumptions'!N93</f>
        <v>4.0391371927140339E-3</v>
      </c>
      <c r="K132" s="1">
        <f ca="1">'Total Duration Tables Sup #2'!K132+'Total Duration Tables Sup #2'!K128*'Other Assumptions'!O88*'Other Assumptions'!O93+'Total Duration Tables Sup #2'!K129*'Other Assumptions'!O88*'Other Assumptions'!O93</f>
        <v>4.0347820613790683E-3</v>
      </c>
    </row>
    <row r="133" spans="1:11" x14ac:dyDescent="0.2">
      <c r="A133" t="str">
        <f ca="1">OFFSET(Canterbury_Reference,49,2)</f>
        <v>Local Bus</v>
      </c>
      <c r="B133" s="4">
        <f ca="1">'Total Duration Tables Sup #2'!B133</f>
        <v>7.9805750329</v>
      </c>
      <c r="C133" s="4">
        <f ca="1">'Total Duration Tables Sup #2'!C133+'Total Duration Tables Sup #2'!C128*'Other Assumptions'!G88*'Other Assumptions'!G92+'Total Duration Tables Sup #2'!C129*'Other Assumptions'!G88*'Other Assumptions'!G92</f>
        <v>8.0885047295000003</v>
      </c>
      <c r="D133" s="4">
        <f ca="1">'Total Duration Tables Sup #2'!D133+'Total Duration Tables Sup #2'!D128*'Other Assumptions'!H88*'Other Assumptions'!H92+'Total Duration Tables Sup #2'!D129*'Other Assumptions'!H88*'Other Assumptions'!H92</f>
        <v>7.9753596038000003</v>
      </c>
      <c r="E133" s="4">
        <f ca="1">'Total Duration Tables Sup #2'!E133+'Total Duration Tables Sup #2'!E128*'Other Assumptions'!I88*'Other Assumptions'!I92+'Total Duration Tables Sup #2'!E129*'Other Assumptions'!I88*'Other Assumptions'!I92</f>
        <v>8.0645476315</v>
      </c>
      <c r="F133" s="4">
        <f ca="1">'Total Duration Tables Sup #2'!F133+'Total Duration Tables Sup #2'!F128*'Other Assumptions'!J88*'Other Assumptions'!J92+'Total Duration Tables Sup #2'!F129*'Other Assumptions'!J88*'Other Assumptions'!J92</f>
        <v>7.9786037935999996</v>
      </c>
      <c r="G133" s="4">
        <f ca="1">'Total Duration Tables Sup #2'!G133+'Total Duration Tables Sup #2'!G128*'Other Assumptions'!K88*'Other Assumptions'!K92+'Total Duration Tables Sup #2'!G129*'Other Assumptions'!K88*'Other Assumptions'!K92</f>
        <v>7.8974170205999998</v>
      </c>
      <c r="H133" s="4">
        <f ca="1">'Total Duration Tables Sup #2'!H133+'Total Duration Tables Sup #2'!H128*'Other Assumptions'!L88*'Other Assumptions'!L92+'Total Duration Tables Sup #2'!H129*'Other Assumptions'!L88*'Other Assumptions'!L92</f>
        <v>7.775002143</v>
      </c>
      <c r="I133" s="1">
        <f ca="1">'Total Duration Tables Sup #2'!I133+'Total Duration Tables Sup #2'!I128*'Other Assumptions'!M88*'Other Assumptions'!M92+'Total Duration Tables Sup #2'!I129*'Other Assumptions'!M88*'Other Assumptions'!M92</f>
        <v>7.775002143</v>
      </c>
      <c r="J133" s="1">
        <f ca="1">'Total Duration Tables Sup #2'!J133+'Total Duration Tables Sup #2'!J128*'Other Assumptions'!N88*'Other Assumptions'!N92+'Total Duration Tables Sup #2'!J129*'Other Assumptions'!N88*'Other Assumptions'!N92</f>
        <v>7.775002143</v>
      </c>
      <c r="K133" s="1">
        <f ca="1">'Total Duration Tables Sup #2'!K133+'Total Duration Tables Sup #2'!K128*'Other Assumptions'!O88*'Other Assumptions'!O92+'Total Duration Tables Sup #2'!K129*'Other Assumptions'!O88*'Other Assumptions'!O92</f>
        <v>7.775002143</v>
      </c>
    </row>
    <row r="134" spans="1:11" x14ac:dyDescent="0.2">
      <c r="A134" t="str">
        <f ca="1">OFFSET(Wellington_Reference,56,2)</f>
        <v>Local Ferry</v>
      </c>
      <c r="B134" s="4">
        <v>0</v>
      </c>
      <c r="C134" s="4">
        <f ca="1">'Total Duration Tables Sup #2'!C134</f>
        <v>0</v>
      </c>
      <c r="D134" s="4">
        <f ca="1">'Total Duration Tables Sup #2'!D134</f>
        <v>0</v>
      </c>
      <c r="E134" s="4">
        <f ca="1">'Total Duration Tables Sup #2'!E134</f>
        <v>0</v>
      </c>
      <c r="F134" s="4">
        <f ca="1">'Total Duration Tables Sup #2'!F134</f>
        <v>0</v>
      </c>
      <c r="G134" s="4">
        <f ca="1">'Total Duration Tables Sup #2'!G134</f>
        <v>0</v>
      </c>
      <c r="H134" s="4">
        <f ca="1">'Total Duration Tables Sup #2'!H134</f>
        <v>0</v>
      </c>
      <c r="I134" s="1">
        <f ca="1">'Total Duration Tables Sup #2'!I134</f>
        <v>0</v>
      </c>
      <c r="J134" s="1">
        <f ca="1">'Total Duration Tables Sup #2'!J134</f>
        <v>0</v>
      </c>
      <c r="K134" s="1">
        <f ca="1">'Total Duration Tables Sup #2'!K134</f>
        <v>0</v>
      </c>
    </row>
    <row r="135" spans="1:11" x14ac:dyDescent="0.2">
      <c r="A135" t="str">
        <f ca="1">OFFSET(Canterbury_Reference,56,2)</f>
        <v>Other Household Travel</v>
      </c>
      <c r="B135" s="4">
        <f ca="1">'Total Duration Tables Sup #2'!B135</f>
        <v>0.91635513570000005</v>
      </c>
      <c r="C135" s="4">
        <f ca="1">'Total Duration Tables Sup #2'!C135</f>
        <v>1.0345788974393193</v>
      </c>
      <c r="D135" s="4">
        <f ca="1">'Total Duration Tables Sup #2'!D135</f>
        <v>1.1193745884519206</v>
      </c>
      <c r="E135" s="4">
        <f ca="1">'Total Duration Tables Sup #2'!E135</f>
        <v>1.1684374573330247</v>
      </c>
      <c r="F135" s="4">
        <f ca="1">'Total Duration Tables Sup #2'!F135</f>
        <v>1.2137126197456813</v>
      </c>
      <c r="G135" s="4">
        <f ca="1">'Total Duration Tables Sup #2'!G135</f>
        <v>1.26949665890783</v>
      </c>
      <c r="H135" s="4">
        <f ca="1">'Total Duration Tables Sup #2'!H135</f>
        <v>1.3205106992288</v>
      </c>
      <c r="I135" s="1">
        <f ca="1">'Total Duration Tables Sup #2'!I135</f>
        <v>1.3479636409555791</v>
      </c>
      <c r="J135" s="1">
        <f ca="1">'Total Duration Tables Sup #2'!J135</f>
        <v>1.3716815053090525</v>
      </c>
      <c r="K135" s="1">
        <f ca="1">'Total Duration Tables Sup #2'!K135</f>
        <v>1.3928937118076625</v>
      </c>
    </row>
    <row r="136" spans="1:11" x14ac:dyDescent="0.2">
      <c r="A136" t="str">
        <f ca="1">OFFSET(Otago_Reference,0,0)</f>
        <v>14 OTAGO</v>
      </c>
      <c r="I136" s="1"/>
      <c r="J136" s="1"/>
      <c r="K136" s="1"/>
    </row>
    <row r="137" spans="1:11" x14ac:dyDescent="0.2">
      <c r="A137" t="str">
        <f ca="1">OFFSET(Otago_Reference,0,2)</f>
        <v>Pedestrian</v>
      </c>
      <c r="B137" s="4">
        <f ca="1">'Total Duration Tables Sup #2'!B137</f>
        <v>11.651603939999999</v>
      </c>
      <c r="C137" s="4">
        <f ca="1">'Total Duration Tables Sup #2'!C137</f>
        <v>12.498952188803704</v>
      </c>
      <c r="D137" s="4">
        <f ca="1">'Total Duration Tables Sup #2'!D137</f>
        <v>12.944847790485193</v>
      </c>
      <c r="E137" s="4">
        <f ca="1">'Total Duration Tables Sup #2'!E137</f>
        <v>13.186395924571835</v>
      </c>
      <c r="F137" s="4">
        <f ca="1">'Total Duration Tables Sup #2'!F137</f>
        <v>13.311160627129885</v>
      </c>
      <c r="G137" s="4">
        <f ca="1">'Total Duration Tables Sup #2'!G137</f>
        <v>13.39987563930411</v>
      </c>
      <c r="H137" s="4">
        <f ca="1">'Total Duration Tables Sup #2'!H137</f>
        <v>13.428827424195116</v>
      </c>
      <c r="I137" s="1">
        <f ca="1">'Total Duration Tables Sup #2'!I137</f>
        <v>13.552100702376169</v>
      </c>
      <c r="J137" s="1">
        <f ca="1">'Total Duration Tables Sup #2'!J137</f>
        <v>13.633109439724352</v>
      </c>
      <c r="K137" s="1">
        <f ca="1">'Total Duration Tables Sup #2'!K137</f>
        <v>13.685265232026559</v>
      </c>
    </row>
    <row r="138" spans="1:11" x14ac:dyDescent="0.2">
      <c r="A138" t="str">
        <f ca="1">OFFSET(Otago_Reference,7,2)</f>
        <v>Cyclist</v>
      </c>
      <c r="B138" s="4">
        <f ca="1">'Total Duration Tables Sup #2'!B138</f>
        <v>1.6089304994</v>
      </c>
      <c r="C138" s="4">
        <f ca="1">'Total Duration Tables Sup #2'!C138</f>
        <v>1.7716979557942176</v>
      </c>
      <c r="D138" s="4">
        <f ca="1">'Total Duration Tables Sup #2'!D138</f>
        <v>1.8545798668386</v>
      </c>
      <c r="E138" s="4">
        <f ca="1">'Total Duration Tables Sup #2'!E138</f>
        <v>1.8859493497385258</v>
      </c>
      <c r="F138" s="4">
        <f ca="1">'Total Duration Tables Sup #2'!F138</f>
        <v>1.9297028275889783</v>
      </c>
      <c r="G138" s="4">
        <f ca="1">'Total Duration Tables Sup #2'!G138</f>
        <v>1.9915441011683848</v>
      </c>
      <c r="H138" s="4">
        <f ca="1">'Total Duration Tables Sup #2'!H138</f>
        <v>2.0504898221492822</v>
      </c>
      <c r="I138" s="1">
        <f ca="1">'Total Duration Tables Sup #2'!I138</f>
        <v>2.0791705111955077</v>
      </c>
      <c r="J138" s="1">
        <f ca="1">'Total Duration Tables Sup #2'!J138</f>
        <v>2.1016598059543741</v>
      </c>
      <c r="K138" s="1">
        <f ca="1">'Total Duration Tables Sup #2'!K138</f>
        <v>2.1199434061541527</v>
      </c>
    </row>
    <row r="139" spans="1:11" x14ac:dyDescent="0.2">
      <c r="A139" t="str">
        <f ca="1">OFFSET(Otago_Reference,14,2)</f>
        <v>Light Vehicle Driver</v>
      </c>
      <c r="B139" s="4">
        <f ca="1">'Total Duration Tables Sup #2'!B139</f>
        <v>32.522387277</v>
      </c>
      <c r="C139" s="4">
        <f ca="1">'Total Duration Tables Sup #2'!C139*(1-'Other Assumptions'!G18)</f>
        <v>36.145947003428468</v>
      </c>
      <c r="D139" s="4">
        <f ca="1">'Total Duration Tables Sup #2'!D139*(1-'Other Assumptions'!H18)</f>
        <v>38.231521109431746</v>
      </c>
      <c r="E139" s="4">
        <f ca="1">'Total Duration Tables Sup #2'!E139*(1-'Other Assumptions'!I18)</f>
        <v>37.363469345243516</v>
      </c>
      <c r="F139" s="4">
        <f ca="1">'Total Duration Tables Sup #2'!F139*(1-'Other Assumptions'!J18)</f>
        <v>36.288095991311948</v>
      </c>
      <c r="G139" s="4">
        <f ca="1">'Total Duration Tables Sup #2'!G139*(1-'Other Assumptions'!K18)</f>
        <v>34.854034495773021</v>
      </c>
      <c r="H139" s="4">
        <f ca="1">'Total Duration Tables Sup #2'!H139*(1-'Other Assumptions'!L18)</f>
        <v>33.225304738874719</v>
      </c>
      <c r="I139" s="1">
        <f ca="1">'Total Duration Tables Sup #2'!I139*(1-'Other Assumptions'!M18)</f>
        <v>31.421785169078159</v>
      </c>
      <c r="J139" s="1">
        <f ca="1">'Total Duration Tables Sup #2'!J139*(1-'Other Assumptions'!N18)</f>
        <v>29.49028472854323</v>
      </c>
      <c r="K139" s="1">
        <f ca="1">'Total Duration Tables Sup #2'!K139*(1-'Other Assumptions'!O18)</f>
        <v>27.477474024890629</v>
      </c>
    </row>
    <row r="140" spans="1:11" x14ac:dyDescent="0.2">
      <c r="A140" t="str">
        <f ca="1">OFFSET(Otago_Reference,21,2)</f>
        <v>Light Vehicle Passenger</v>
      </c>
      <c r="B140" s="4">
        <f ca="1">'Total Duration Tables Sup #2'!B140</f>
        <v>19.901766343999999</v>
      </c>
      <c r="C140" s="4">
        <f ca="1">'Total Duration Tables Sup #2'!C140*(1-'Other Assumptions'!G18)</f>
        <v>21.14658320878652</v>
      </c>
      <c r="D140" s="4">
        <f ca="1">'Total Duration Tables Sup #2'!D140*(1-'Other Assumptions'!H18)</f>
        <v>21.802390854208543</v>
      </c>
      <c r="E140" s="4">
        <f ca="1">'Total Duration Tables Sup #2'!E140*(1-'Other Assumptions'!I18)</f>
        <v>20.985831021314862</v>
      </c>
      <c r="F140" s="4">
        <f ca="1">'Total Duration Tables Sup #2'!F140*(1-'Other Assumptions'!J18)</f>
        <v>20.04986181426629</v>
      </c>
      <c r="G140" s="4">
        <f ca="1">'Total Duration Tables Sup #2'!G140*(1-'Other Assumptions'!K18)</f>
        <v>19.022449065418478</v>
      </c>
      <c r="H140" s="4">
        <f ca="1">'Total Duration Tables Sup #2'!H140*(1-'Other Assumptions'!L18)</f>
        <v>17.893965134884933</v>
      </c>
      <c r="I140" s="1">
        <f ca="1">'Total Duration Tables Sup #2'!I140*(1-'Other Assumptions'!M18)</f>
        <v>16.93940699475079</v>
      </c>
      <c r="J140" s="1">
        <f ca="1">'Total Duration Tables Sup #2'!J140*(1-'Other Assumptions'!N18)</f>
        <v>15.913797874686196</v>
      </c>
      <c r="K140" s="1">
        <f ca="1">'Total Duration Tables Sup #2'!K140*(1-'Other Assumptions'!O18)</f>
        <v>14.842149434882771</v>
      </c>
    </row>
    <row r="141" spans="1:11" x14ac:dyDescent="0.2">
      <c r="A141" t="str">
        <f ca="1">OFFSET(Otago_Reference,28,2)</f>
        <v>Taxi/Vehicle Share</v>
      </c>
      <c r="B141" s="4">
        <f ca="1">'Total Duration Tables Sup #2'!B141</f>
        <v>0.23496676969999999</v>
      </c>
      <c r="C141" s="4">
        <f ca="1">'Total Duration Tables Sup #2'!C141+((C139+C140)*'Other Assumptions'!G18/(1-'Other Assumptions'!G18))</f>
        <v>0.27137240848868277</v>
      </c>
      <c r="D141" s="4">
        <f ca="1">'Total Duration Tables Sup #2'!D141+((D139+D140)*'Other Assumptions'!H18/(1-'Other Assumptions'!H18))</f>
        <v>0.29909975238977038</v>
      </c>
      <c r="E141" s="4">
        <f ca="1">'Total Duration Tables Sup #2'!E141+((E139+E140)*'Other Assumptions'!I18/(1-'Other Assumptions'!I18))</f>
        <v>3.3937473903517161</v>
      </c>
      <c r="F141" s="4">
        <f ca="1">'Total Duration Tables Sup #2'!F141+((F139+F140)*'Other Assumptions'!J18/(1-'Other Assumptions'!J18))</f>
        <v>6.6034689068972909</v>
      </c>
      <c r="G141" s="4">
        <f ca="1">'Total Duration Tables Sup #2'!G141+((G139+G140)*'Other Assumptions'!K18/(1-'Other Assumptions'!K18))</f>
        <v>9.867220180323125</v>
      </c>
      <c r="H141" s="4">
        <f ca="1">'Total Duration Tables Sup #2'!H141+((H139+H140)*'Other Assumptions'!L18/(1-'Other Assumptions'!L18))</f>
        <v>13.154091352025082</v>
      </c>
      <c r="I141" s="1">
        <f ca="1">'Total Duration Tables Sup #2'!I141+((I139+I140)*'Other Assumptions'!M18/(1-'Other Assumptions'!M18))</f>
        <v>16.497281680580365</v>
      </c>
      <c r="J141" s="1">
        <f ca="1">'Total Duration Tables Sup #2'!J141+((J139+J140)*'Other Assumptions'!N18/(1-'Other Assumptions'!N18))</f>
        <v>19.837202499998195</v>
      </c>
      <c r="K141" s="1">
        <f ca="1">'Total Duration Tables Sup #2'!K141+((K139+K140)*'Other Assumptions'!O18/(1-'Other Assumptions'!O18))</f>
        <v>23.166420158707421</v>
      </c>
    </row>
    <row r="142" spans="1:11" x14ac:dyDescent="0.2">
      <c r="A142" t="str">
        <f ca="1">OFFSET(Otago_Reference,35,2)</f>
        <v>Motorcyclist</v>
      </c>
      <c r="B142" s="4">
        <f ca="1">'Total Duration Tables Sup #2'!B142</f>
        <v>0.42545310469999997</v>
      </c>
      <c r="C142" s="4">
        <f ca="1">'Total Duration Tables Sup #2'!C142</f>
        <v>0.46864639384603907</v>
      </c>
      <c r="D142" s="4">
        <f ca="1">'Total Duration Tables Sup #2'!D142</f>
        <v>0.49257311461009196</v>
      </c>
      <c r="E142" s="4">
        <f ca="1">'Total Duration Tables Sup #2'!E142</f>
        <v>0.50063007141057692</v>
      </c>
      <c r="F142" s="4">
        <f ca="1">'Total Duration Tables Sup #2'!F142</f>
        <v>0.50741173568207676</v>
      </c>
      <c r="G142" s="4">
        <f ca="1">'Total Duration Tables Sup #2'!G142</f>
        <v>0.50748633506013741</v>
      </c>
      <c r="H142" s="4">
        <f ca="1">'Total Duration Tables Sup #2'!H142</f>
        <v>0.50505760219327922</v>
      </c>
      <c r="I142" s="1">
        <f ca="1">'Total Duration Tables Sup #2'!I142</f>
        <v>0.51211373182715991</v>
      </c>
      <c r="J142" s="1">
        <f ca="1">'Total Duration Tables Sup #2'!J142</f>
        <v>0.51761870985642588</v>
      </c>
      <c r="K142" s="1">
        <f ca="1">'Total Duration Tables Sup #2'!K142</f>
        <v>0.52206045189317896</v>
      </c>
    </row>
    <row r="143" spans="1:11" x14ac:dyDescent="0.2">
      <c r="A143" t="str">
        <f ca="1">OFFSET(Canterbury_Reference,42,2)</f>
        <v>Local Train</v>
      </c>
      <c r="B143" s="4">
        <f ca="1">'Total Duration Tables Sup #2'!B143</f>
        <v>0</v>
      </c>
      <c r="C143" s="4">
        <f ca="1">'Total Duration Tables Sup #2'!C143</f>
        <v>0</v>
      </c>
      <c r="D143" s="4">
        <f ca="1">'Total Duration Tables Sup #2'!D143</f>
        <v>0</v>
      </c>
      <c r="E143" s="4">
        <f ca="1">'Total Duration Tables Sup #2'!E143</f>
        <v>0</v>
      </c>
      <c r="F143" s="4">
        <f ca="1">'Total Duration Tables Sup #2'!F143</f>
        <v>0</v>
      </c>
      <c r="G143" s="4">
        <f ca="1">'Total Duration Tables Sup #2'!G143</f>
        <v>0</v>
      </c>
      <c r="H143" s="4">
        <f ca="1">'Total Duration Tables Sup #2'!H143</f>
        <v>0</v>
      </c>
      <c r="I143" s="1">
        <f ca="1">'Total Duration Tables Sup #2'!I143</f>
        <v>0</v>
      </c>
      <c r="J143" s="1">
        <f ca="1">'Total Duration Tables Sup #2'!J143</f>
        <v>0</v>
      </c>
      <c r="K143" s="1">
        <f ca="1">'Total Duration Tables Sup #2'!K143</f>
        <v>0</v>
      </c>
    </row>
    <row r="144" spans="1:11" x14ac:dyDescent="0.2">
      <c r="A144" t="str">
        <f ca="1">OFFSET(Otago_Reference,42,2)</f>
        <v>Local Bus</v>
      </c>
      <c r="B144" s="4">
        <f ca="1">'Total Duration Tables Sup #2'!B144</f>
        <v>1.347401772</v>
      </c>
      <c r="C144" s="4">
        <f ca="1">'Total Duration Tables Sup #2'!C144</f>
        <v>1.3451619819674829</v>
      </c>
      <c r="D144" s="4">
        <f ca="1">'Total Duration Tables Sup #2'!D144</f>
        <v>1.3321842807409618</v>
      </c>
      <c r="E144" s="4">
        <f ca="1">'Total Duration Tables Sup #2'!E144</f>
        <v>1.3174980306935726</v>
      </c>
      <c r="F144" s="4">
        <f ca="1">'Total Duration Tables Sup #2'!F144</f>
        <v>1.2891900574688322</v>
      </c>
      <c r="G144" s="4">
        <f ca="1">'Total Duration Tables Sup #2'!G144</f>
        <v>1.2711728928298591</v>
      </c>
      <c r="H144" s="4">
        <f ca="1">'Total Duration Tables Sup #2'!H144</f>
        <v>1.2474646481458274</v>
      </c>
      <c r="I144" s="1">
        <f ca="1">'Total Duration Tables Sup #2'!I144</f>
        <v>1.261345419756474</v>
      </c>
      <c r="J144" s="1">
        <f ca="1">'Total Duration Tables Sup #2'!J144</f>
        <v>1.2713267171324829</v>
      </c>
      <c r="K144" s="1">
        <f ca="1">'Total Duration Tables Sup #2'!K144</f>
        <v>1.2786388525349965</v>
      </c>
    </row>
    <row r="145" spans="1:11" x14ac:dyDescent="0.2">
      <c r="A145" t="str">
        <f ca="1">OFFSET(Wellington_Reference,56,2)</f>
        <v>Local Ferry</v>
      </c>
      <c r="B145" s="4">
        <f ca="1">'Total Duration Tables Sup #2'!B145</f>
        <v>0</v>
      </c>
      <c r="C145" s="4">
        <f ca="1">'Total Duration Tables Sup #2'!C145</f>
        <v>0</v>
      </c>
      <c r="D145" s="4">
        <f ca="1">'Total Duration Tables Sup #2'!D145</f>
        <v>0</v>
      </c>
      <c r="E145" s="4">
        <f ca="1">'Total Duration Tables Sup #2'!E145</f>
        <v>0</v>
      </c>
      <c r="F145" s="4">
        <f ca="1">'Total Duration Tables Sup #2'!F145</f>
        <v>0</v>
      </c>
      <c r="G145" s="4">
        <f ca="1">'Total Duration Tables Sup #2'!G145</f>
        <v>0</v>
      </c>
      <c r="H145" s="4">
        <f ca="1">'Total Duration Tables Sup #2'!H145</f>
        <v>0</v>
      </c>
      <c r="I145" s="1">
        <f ca="1">'Total Duration Tables Sup #2'!I145</f>
        <v>0</v>
      </c>
      <c r="J145" s="1">
        <f ca="1">'Total Duration Tables Sup #2'!J145</f>
        <v>0</v>
      </c>
      <c r="K145" s="1">
        <f ca="1">'Total Duration Tables Sup #2'!K145</f>
        <v>0</v>
      </c>
    </row>
    <row r="146" spans="1:11" x14ac:dyDescent="0.2">
      <c r="A146" t="str">
        <f ca="1">OFFSET(Otago_Reference,49,2)</f>
        <v>Other Household Travel</v>
      </c>
      <c r="B146" s="4">
        <f ca="1">'Total Duration Tables Sup #2'!B146</f>
        <v>0.25154479130000001</v>
      </c>
      <c r="C146" s="4">
        <f ca="1">'Total Duration Tables Sup #2'!C146</f>
        <v>0.27740377940864136</v>
      </c>
      <c r="D146" s="4">
        <f ca="1">'Total Duration Tables Sup #2'!D146</f>
        <v>0.29433427632037684</v>
      </c>
      <c r="E146" s="4">
        <f ca="1">'Total Duration Tables Sup #2'!E146</f>
        <v>0.30225976967333218</v>
      </c>
      <c r="F146" s="4">
        <f ca="1">'Total Duration Tables Sup #2'!F146</f>
        <v>0.30902110908006897</v>
      </c>
      <c r="G146" s="4">
        <f ca="1">'Total Duration Tables Sup #2'!G146</f>
        <v>0.31832202590722514</v>
      </c>
      <c r="H146" s="4">
        <f ca="1">'Total Duration Tables Sup #2'!H146</f>
        <v>0.32616591141675705</v>
      </c>
      <c r="I146" s="1">
        <f ca="1">'Total Duration Tables Sup #2'!I146</f>
        <v>0.32797167712137604</v>
      </c>
      <c r="J146" s="1">
        <f ca="1">'Total Duration Tables Sup #2'!J146</f>
        <v>0.32875545141804469</v>
      </c>
      <c r="K146" s="1">
        <f ca="1">'Total Duration Tables Sup #2'!K146</f>
        <v>0.32885100631970465</v>
      </c>
    </row>
    <row r="147" spans="1:11" x14ac:dyDescent="0.2">
      <c r="A147" t="str">
        <f ca="1">OFFSET(Southland_Reference,0,0)</f>
        <v>15 SOUTHLAND</v>
      </c>
      <c r="I147" s="1"/>
      <c r="J147" s="1"/>
      <c r="K147" s="1"/>
    </row>
    <row r="148" spans="1:11" x14ac:dyDescent="0.2">
      <c r="A148" t="str">
        <f ca="1">OFFSET(Southland_Reference,0,2)</f>
        <v>Pedestrian</v>
      </c>
      <c r="B148" s="4">
        <f ca="1">'Total Duration Tables Sup #2'!B148</f>
        <v>2.2528617661000001</v>
      </c>
      <c r="C148" s="4">
        <f ca="1">'Total Duration Tables Sup #2'!C148</f>
        <v>2.3092419241565105</v>
      </c>
      <c r="D148" s="4">
        <f ca="1">'Total Duration Tables Sup #2'!D148</f>
        <v>2.3090169174719017</v>
      </c>
      <c r="E148" s="4">
        <f ca="1">'Total Duration Tables Sup #2'!E148</f>
        <v>2.2985947366512924</v>
      </c>
      <c r="F148" s="4">
        <f ca="1">'Total Duration Tables Sup #2'!F148</f>
        <v>2.2680116311594474</v>
      </c>
      <c r="G148" s="4">
        <f ca="1">'Total Duration Tables Sup #2'!G148</f>
        <v>2.2299936071016577</v>
      </c>
      <c r="H148" s="4">
        <f ca="1">'Total Duration Tables Sup #2'!H148</f>
        <v>2.1830908075649496</v>
      </c>
      <c r="I148" s="1">
        <f ca="1">'Total Duration Tables Sup #2'!I148</f>
        <v>2.1521433053715553</v>
      </c>
      <c r="J148" s="1">
        <f ca="1">'Total Duration Tables Sup #2'!J148</f>
        <v>2.1149024746737122</v>
      </c>
      <c r="K148" s="1">
        <f ca="1">'Total Duration Tables Sup #2'!K148</f>
        <v>2.0738603156044295</v>
      </c>
    </row>
    <row r="149" spans="1:11" x14ac:dyDescent="0.2">
      <c r="A149" t="str">
        <f ca="1">OFFSET(Southland_Reference,7,2)</f>
        <v>Cyclist</v>
      </c>
      <c r="B149" s="4">
        <f ca="1">'Total Duration Tables Sup #2'!B149</f>
        <v>0.50294231479999996</v>
      </c>
      <c r="C149" s="4">
        <f ca="1">'Total Duration Tables Sup #2'!C149</f>
        <v>0.5291972416748385</v>
      </c>
      <c r="D149" s="4">
        <f ca="1">'Total Duration Tables Sup #2'!D149</f>
        <v>0.53482015869244526</v>
      </c>
      <c r="E149" s="4">
        <f ca="1">'Total Duration Tables Sup #2'!E149</f>
        <v>0.53149401995052703</v>
      </c>
      <c r="F149" s="4">
        <f ca="1">'Total Duration Tables Sup #2'!F149</f>
        <v>0.53155945514656922</v>
      </c>
      <c r="G149" s="4">
        <f ca="1">'Total Duration Tables Sup #2'!G149</f>
        <v>0.53582730300669823</v>
      </c>
      <c r="H149" s="4">
        <f ca="1">'Total Duration Tables Sup #2'!H149</f>
        <v>0.53891886604268746</v>
      </c>
      <c r="I149" s="1">
        <f ca="1">'Total Duration Tables Sup #2'!I149</f>
        <v>0.53381003572528407</v>
      </c>
      <c r="J149" s="1">
        <f ca="1">'Total Duration Tables Sup #2'!J149</f>
        <v>0.52709622263083689</v>
      </c>
      <c r="K149" s="1">
        <f ca="1">'Total Duration Tables Sup #2'!K149</f>
        <v>0.51937687703827295</v>
      </c>
    </row>
    <row r="150" spans="1:11" x14ac:dyDescent="0.2">
      <c r="A150" t="str">
        <f ca="1">OFFSET(Southland_Reference,14,2)</f>
        <v>Light Vehicle Driver</v>
      </c>
      <c r="B150" s="4">
        <f ca="1">'Total Duration Tables Sup #2'!B150</f>
        <v>14.603785903</v>
      </c>
      <c r="C150" s="4">
        <f ca="1">'Total Duration Tables Sup #2'!C150*(1-'Other Assumptions'!G19)</f>
        <v>15.509208827103569</v>
      </c>
      <c r="D150" s="4">
        <f ca="1">'Total Duration Tables Sup #2'!D150*(1-'Other Assumptions'!H19)</f>
        <v>15.837475412524919</v>
      </c>
      <c r="E150" s="4">
        <f ca="1">'Total Duration Tables Sup #2'!E150*(1-'Other Assumptions'!I19)</f>
        <v>15.125777281671358</v>
      </c>
      <c r="F150" s="4">
        <f ca="1">'Total Duration Tables Sup #2'!F150*(1-'Other Assumptions'!J19)</f>
        <v>14.359117339099473</v>
      </c>
      <c r="G150" s="4">
        <f ca="1">'Total Duration Tables Sup #2'!G150*(1-'Other Assumptions'!K19)</f>
        <v>13.470698514518718</v>
      </c>
      <c r="H150" s="4">
        <f ca="1">'Total Duration Tables Sup #2'!H150*(1-'Other Assumptions'!L19)</f>
        <v>12.544024416058413</v>
      </c>
      <c r="I150" s="1">
        <f ca="1">'Total Duration Tables Sup #2'!I150*(1-'Other Assumptions'!M19)</f>
        <v>11.588564192643526</v>
      </c>
      <c r="J150" s="1">
        <f ca="1">'Total Duration Tables Sup #2'!J150*(1-'Other Assumptions'!N19)</f>
        <v>10.624502413527294</v>
      </c>
      <c r="K150" s="1">
        <f ca="1">'Total Duration Tables Sup #2'!K150*(1-'Other Assumptions'!O19)</f>
        <v>9.6702410053659502</v>
      </c>
    </row>
    <row r="151" spans="1:11" x14ac:dyDescent="0.2">
      <c r="A151" t="str">
        <f ca="1">OFFSET(Southland_Reference,21,2)</f>
        <v>Light Vehicle Passenger</v>
      </c>
      <c r="B151" s="4">
        <f ca="1">'Total Duration Tables Sup #2'!B151</f>
        <v>7.5859087797999996</v>
      </c>
      <c r="C151" s="4">
        <f ca="1">'Total Duration Tables Sup #2'!C151*(1-'Other Assumptions'!G19)</f>
        <v>7.7019943262616186</v>
      </c>
      <c r="D151" s="4">
        <f ca="1">'Total Duration Tables Sup #2'!D151*(1-'Other Assumptions'!H19)</f>
        <v>7.6665760790734314</v>
      </c>
      <c r="E151" s="4">
        <f ca="1">'Total Duration Tables Sup #2'!E151*(1-'Other Assumptions'!I19)</f>
        <v>7.2115667914386989</v>
      </c>
      <c r="F151" s="4">
        <f ca="1">'Total Duration Tables Sup #2'!F151*(1-'Other Assumptions'!J19)</f>
        <v>6.7345394164489836</v>
      </c>
      <c r="G151" s="4">
        <f ca="1">'Total Duration Tables Sup #2'!G151*(1-'Other Assumptions'!K19)</f>
        <v>6.2407450680965324</v>
      </c>
      <c r="H151" s="4">
        <f ca="1">'Total Duration Tables Sup #2'!H151*(1-'Other Assumptions'!L19)</f>
        <v>5.7346571328147276</v>
      </c>
      <c r="I151" s="1">
        <f ca="1">'Total Duration Tables Sup #2'!I151*(1-'Other Assumptions'!M19)</f>
        <v>5.3031013977082191</v>
      </c>
      <c r="J151" s="1">
        <f ca="1">'Total Duration Tables Sup #2'!J151*(1-'Other Assumptions'!N19)</f>
        <v>4.8667207135250043</v>
      </c>
      <c r="K151" s="1">
        <f ca="1">'Total Duration Tables Sup #2'!K151*(1-'Other Assumptions'!O19)</f>
        <v>4.4339444146008926</v>
      </c>
    </row>
    <row r="152" spans="1:11" x14ac:dyDescent="0.2">
      <c r="A152" t="str">
        <f ca="1">OFFSET(Southland_Reference,28,2)</f>
        <v>Taxi/Vehicle Share</v>
      </c>
      <c r="B152" s="4">
        <f ca="1">'Total Duration Tables Sup #2'!B152</f>
        <v>6.6688903300000005E-2</v>
      </c>
      <c r="C152" s="4">
        <f ca="1">'Total Duration Tables Sup #2'!C152+((C150+C151)*'Other Assumptions'!G19/(1-'Other Assumptions'!G19))</f>
        <v>7.3596949573363379E-2</v>
      </c>
      <c r="D152" s="4">
        <f ca="1">'Total Duration Tables Sup #2'!D152+((D150+D151)*'Other Assumptions'!H19/(1-'Other Assumptions'!H19))</f>
        <v>7.831492178225001E-2</v>
      </c>
      <c r="E152" s="4">
        <f ca="1">'Total Duration Tables Sup #2'!E152+((E150+E151)*'Other Assumptions'!I19/(1-'Other Assumptions'!I19))</f>
        <v>1.2582299129356738</v>
      </c>
      <c r="F152" s="4">
        <f ca="1">'Total Duration Tables Sup #2'!F152+((F150+F151)*'Other Assumptions'!J19/(1-'Other Assumptions'!J19))</f>
        <v>2.4297007265180457</v>
      </c>
      <c r="G152" s="4">
        <f ca="1">'Total Duration Tables Sup #2'!G152+((G150+G151)*'Other Assumptions'!K19/(1-'Other Assumptions'!K19))</f>
        <v>3.5663371369956938</v>
      </c>
      <c r="H152" s="4">
        <f ca="1">'Total Duration Tables Sup #2'!H152+((H150+H151)*'Other Assumptions'!L19/(1-'Other Assumptions'!L19))</f>
        <v>4.6589847965067603</v>
      </c>
      <c r="I152" s="1">
        <f ca="1">'Total Duration Tables Sup #2'!I152+((I150+I151)*'Other Assumptions'!M19/(1-'Other Assumptions'!M19))</f>
        <v>5.7184110908013492</v>
      </c>
      <c r="J152" s="1">
        <f ca="1">'Total Duration Tables Sup #2'!J152+((J150+J151)*'Other Assumptions'!N19/(1-'Other Assumptions'!N19))</f>
        <v>6.7252428907212032</v>
      </c>
      <c r="K152" s="1">
        <f ca="1">'Total Duration Tables Sup #2'!K152+((K150+K151)*'Other Assumptions'!O19/(1-'Other Assumptions'!O19))</f>
        <v>7.6788529731259549</v>
      </c>
    </row>
    <row r="153" spans="1:11" x14ac:dyDescent="0.2">
      <c r="A153" t="str">
        <f ca="1">OFFSET(Southland_Reference,35,2)</f>
        <v>Motorcyclist</v>
      </c>
      <c r="B153" s="4">
        <f ca="1">'Total Duration Tables Sup #2'!B153</f>
        <v>0.2609239458</v>
      </c>
      <c r="C153" s="4">
        <f ca="1">'Total Duration Tables Sup #2'!C153</f>
        <v>0.27463413487747484</v>
      </c>
      <c r="D153" s="4">
        <f ca="1">'Total Duration Tables Sup #2'!D153</f>
        <v>0.27868544018400404</v>
      </c>
      <c r="E153" s="4">
        <f ca="1">'Total Duration Tables Sup #2'!E153</f>
        <v>0.27680035247673312</v>
      </c>
      <c r="F153" s="4">
        <f ca="1">'Total Duration Tables Sup #2'!F153</f>
        <v>0.27422261646981277</v>
      </c>
      <c r="G153" s="4">
        <f ca="1">'Total Duration Tables Sup #2'!G153</f>
        <v>0.26788019860472539</v>
      </c>
      <c r="H153" s="4">
        <f ca="1">'Total Duration Tables Sup #2'!H153</f>
        <v>0.26042821258529708</v>
      </c>
      <c r="I153" s="1">
        <f ca="1">'Total Duration Tables Sup #2'!I153</f>
        <v>0.25795526525142531</v>
      </c>
      <c r="J153" s="1">
        <f ca="1">'Total Duration Tables Sup #2'!J153</f>
        <v>0.25469405021453856</v>
      </c>
      <c r="K153" s="1">
        <f ca="1">'Total Duration Tables Sup #2'!K153</f>
        <v>0.25093456466919989</v>
      </c>
    </row>
    <row r="154" spans="1:11" x14ac:dyDescent="0.2">
      <c r="A154" t="str">
        <f ca="1">OFFSET(Canterbury_Reference,42,2)</f>
        <v>Local Train</v>
      </c>
      <c r="B154" s="4">
        <f ca="1">'Total Duration Tables Sup #2'!B154</f>
        <v>0</v>
      </c>
      <c r="C154" s="4">
        <f ca="1">'Total Duration Tables Sup #2'!C154</f>
        <v>0</v>
      </c>
      <c r="D154" s="4">
        <f ca="1">'Total Duration Tables Sup #2'!D154</f>
        <v>0</v>
      </c>
      <c r="E154" s="4">
        <f ca="1">'Total Duration Tables Sup #2'!E154</f>
        <v>0</v>
      </c>
      <c r="F154" s="4">
        <f ca="1">'Total Duration Tables Sup #2'!F154</f>
        <v>0</v>
      </c>
      <c r="G154" s="4">
        <f ca="1">'Total Duration Tables Sup #2'!G154</f>
        <v>0</v>
      </c>
      <c r="H154" s="4">
        <f ca="1">'Total Duration Tables Sup #2'!H154</f>
        <v>0</v>
      </c>
      <c r="I154" s="1">
        <f ca="1">'Total Duration Tables Sup #2'!I154</f>
        <v>0</v>
      </c>
      <c r="J154" s="1">
        <f ca="1">'Total Duration Tables Sup #2'!J154</f>
        <v>0</v>
      </c>
      <c r="K154" s="1">
        <f ca="1">'Total Duration Tables Sup #2'!K154</f>
        <v>0</v>
      </c>
    </row>
    <row r="155" spans="1:11" x14ac:dyDescent="0.2">
      <c r="A155" t="str">
        <f ca="1">OFFSET(Southland_Reference,42,2)</f>
        <v>Local Bus</v>
      </c>
      <c r="B155" s="4">
        <f ca="1">'Total Duration Tables Sup #2'!B155</f>
        <v>1.2152660816</v>
      </c>
      <c r="C155" s="4">
        <f ca="1">'Total Duration Tables Sup #2'!C155</f>
        <v>1.1593000188530327</v>
      </c>
      <c r="D155" s="4">
        <f ca="1">'Total Duration Tables Sup #2'!D155</f>
        <v>1.1084596874305259</v>
      </c>
      <c r="E155" s="4">
        <f ca="1">'Total Duration Tables Sup #2'!E155</f>
        <v>1.0713014754368022</v>
      </c>
      <c r="F155" s="4">
        <f ca="1">'Total Duration Tables Sup #2'!F155</f>
        <v>1.0246410066201066</v>
      </c>
      <c r="G155" s="4">
        <f ca="1">'Total Duration Tables Sup #2'!G155</f>
        <v>0.98680855336645346</v>
      </c>
      <c r="H155" s="4">
        <f ca="1">'Total Duration Tables Sup #2'!H155</f>
        <v>0.94599183305752077</v>
      </c>
      <c r="I155" s="1">
        <f ca="1">'Total Duration Tables Sup #2'!I155</f>
        <v>0.93438107279548344</v>
      </c>
      <c r="J155" s="1">
        <f ca="1">'Total Duration Tables Sup #2'!J155</f>
        <v>0.91997924575281009</v>
      </c>
      <c r="K155" s="1">
        <f ca="1">'Total Duration Tables Sup #2'!K155</f>
        <v>0.90385676087087052</v>
      </c>
    </row>
    <row r="156" spans="1:11" x14ac:dyDescent="0.2">
      <c r="A156" t="str">
        <f ca="1">OFFSET(Wellington_Reference,56,2)</f>
        <v>Local Ferry</v>
      </c>
      <c r="B156" s="4">
        <f ca="1">'Total Duration Tables Sup #2'!B156</f>
        <v>0</v>
      </c>
      <c r="C156" s="4">
        <f ca="1">'Total Duration Tables Sup #2'!C156</f>
        <v>0</v>
      </c>
      <c r="D156" s="4">
        <f ca="1">'Total Duration Tables Sup #2'!D156</f>
        <v>0</v>
      </c>
      <c r="E156" s="4">
        <f ca="1">'Total Duration Tables Sup #2'!E156</f>
        <v>0</v>
      </c>
      <c r="F156" s="4">
        <f ca="1">'Total Duration Tables Sup #2'!F156</f>
        <v>0</v>
      </c>
      <c r="G156" s="4">
        <f ca="1">'Total Duration Tables Sup #2'!G156</f>
        <v>0</v>
      </c>
      <c r="H156" s="4">
        <f ca="1">'Total Duration Tables Sup #2'!H156</f>
        <v>0</v>
      </c>
      <c r="I156" s="1">
        <f ca="1">'Total Duration Tables Sup #2'!I156</f>
        <v>0</v>
      </c>
      <c r="J156" s="1">
        <f ca="1">'Total Duration Tables Sup #2'!J156</f>
        <v>0</v>
      </c>
      <c r="K156" s="1">
        <f ca="1">'Total Duration Tables Sup #2'!K156</f>
        <v>0</v>
      </c>
    </row>
    <row r="157" spans="1:11" x14ac:dyDescent="0.2">
      <c r="A157" t="str">
        <f ca="1">OFFSET(Southland_Reference,49,2)</f>
        <v>Other Household Travel</v>
      </c>
      <c r="B157" s="4">
        <f ca="1">'Total Duration Tables Sup #2'!B157</f>
        <v>8.5162673699999997E-2</v>
      </c>
      <c r="C157" s="4">
        <f ca="1">'Total Duration Tables Sup #2'!C157</f>
        <v>8.9741500840585603E-2</v>
      </c>
      <c r="D157" s="4">
        <f ca="1">'Total Duration Tables Sup #2'!D157</f>
        <v>9.192976182097036E-2</v>
      </c>
      <c r="E157" s="4">
        <f ca="1">'Total Duration Tables Sup #2'!E157</f>
        <v>9.2257519060081269E-2</v>
      </c>
      <c r="F157" s="4">
        <f ca="1">'Total Duration Tables Sup #2'!F157</f>
        <v>9.2193993669365329E-2</v>
      </c>
      <c r="G157" s="4">
        <f ca="1">'Total Duration Tables Sup #2'!G157</f>
        <v>9.2758703191222952E-2</v>
      </c>
      <c r="H157" s="4">
        <f ca="1">'Total Duration Tables Sup #2'!H157</f>
        <v>9.2844761711190896E-2</v>
      </c>
      <c r="I157" s="1">
        <f ca="1">'Total Duration Tables Sup #2'!I157</f>
        <v>9.1198151355133164E-2</v>
      </c>
      <c r="J157" s="1">
        <f ca="1">'Total Duration Tables Sup #2'!J157</f>
        <v>8.9300422863060377E-2</v>
      </c>
      <c r="K157" s="1">
        <f ca="1">'Total Duration Tables Sup #2'!K157</f>
        <v>8.7259071127937196E-2</v>
      </c>
    </row>
    <row r="158" spans="1:11" x14ac:dyDescent="0.2">
      <c r="A158" t="s">
        <v>103</v>
      </c>
      <c r="B158" s="1">
        <f ca="1">SUM(B159:B168)</f>
        <v>1563.2845741693284</v>
      </c>
      <c r="C158" s="1">
        <f t="shared" ref="C158:H158" ca="1" si="0">SUM(C159:C168)</f>
        <v>1730.5041659177859</v>
      </c>
      <c r="D158" s="1">
        <f t="shared" ca="1" si="0"/>
        <v>1845.1548858681244</v>
      </c>
      <c r="E158" s="1">
        <f t="shared" ca="1" si="0"/>
        <v>1925.9581905585492</v>
      </c>
      <c r="F158" s="1">
        <f t="shared" ca="1" si="0"/>
        <v>1994.2380583440718</v>
      </c>
      <c r="G158" s="1">
        <f t="shared" ca="1" si="0"/>
        <v>2050.5242512268201</v>
      </c>
      <c r="H158" s="1">
        <f t="shared" ca="1" si="0"/>
        <v>2098.4760519223719</v>
      </c>
      <c r="I158" s="1">
        <f t="shared" ref="I158:K158" ca="1" si="1">SUM(I159:I168)</f>
        <v>2150.7052625556717</v>
      </c>
      <c r="J158" s="1">
        <f t="shared" ca="1" si="1"/>
        <v>2198.1773344458093</v>
      </c>
      <c r="K158" s="1">
        <f t="shared" ca="1" si="1"/>
        <v>2242.9823704161136</v>
      </c>
    </row>
    <row r="159" spans="1:11" x14ac:dyDescent="0.2">
      <c r="A159" t="str">
        <f t="shared" ref="A159:A165" ca="1" si="2">A5</f>
        <v>Pedestrian</v>
      </c>
      <c r="B159" s="4">
        <f t="shared" ref="B159:H168" ca="1" si="3">B5+B16+B27+B38+B49+B60+B71+B82+B93+B104+B115+B126+B137+B148</f>
        <v>205.0143830817</v>
      </c>
      <c r="C159" s="4">
        <f t="shared" ca="1" si="3"/>
        <v>222.91990429397796</v>
      </c>
      <c r="D159" s="4">
        <f t="shared" ca="1" si="3"/>
        <v>234.04733815605232</v>
      </c>
      <c r="E159" s="4">
        <f t="shared" ca="1" si="3"/>
        <v>242.06965685987822</v>
      </c>
      <c r="F159" s="4">
        <f t="shared" ca="1" si="3"/>
        <v>247.95011516532625</v>
      </c>
      <c r="G159" s="4">
        <f t="shared" ca="1" si="3"/>
        <v>252.92378686839422</v>
      </c>
      <c r="H159" s="4">
        <f t="shared" ca="1" si="3"/>
        <v>256.73138136351884</v>
      </c>
      <c r="I159" s="1">
        <f t="shared" ref="I159:K159" ca="1" si="4">I5+I16+I27+I38+I49+I60+I71+I82+I93+I104+I115+I126+I137+I148</f>
        <v>262.55252950693313</v>
      </c>
      <c r="J159" s="1">
        <f t="shared" ca="1" si="4"/>
        <v>267.72270893548477</v>
      </c>
      <c r="K159" s="1">
        <f t="shared" ca="1" si="4"/>
        <v>272.47228228901895</v>
      </c>
    </row>
    <row r="160" spans="1:11" x14ac:dyDescent="0.2">
      <c r="A160" t="str">
        <f t="shared" ca="1" si="2"/>
        <v>Cyclist</v>
      </c>
      <c r="B160" s="4">
        <f t="shared" ca="1" si="3"/>
        <v>24.928098629399997</v>
      </c>
      <c r="C160" s="4">
        <f t="shared" ca="1" si="3"/>
        <v>27.622354455988603</v>
      </c>
      <c r="D160" s="4">
        <f t="shared" ca="1" si="3"/>
        <v>29.172066876775624</v>
      </c>
      <c r="E160" s="4">
        <f t="shared" ca="1" si="3"/>
        <v>29.992302989736583</v>
      </c>
      <c r="F160" s="4">
        <f t="shared" ca="1" si="3"/>
        <v>30.999793828697218</v>
      </c>
      <c r="G160" s="4">
        <f t="shared" ca="1" si="3"/>
        <v>32.287938477993364</v>
      </c>
      <c r="H160" s="4">
        <f t="shared" ca="1" si="3"/>
        <v>33.54268913605452</v>
      </c>
      <c r="I160" s="1">
        <f t="shared" ref="I160:K160" ca="1" si="5">I6+I17+I28+I39+I50+I61+I72+I83+I94+I105+I116+I127+I138+I149</f>
        <v>34.327098160173314</v>
      </c>
      <c r="J160" s="1">
        <f t="shared" ca="1" si="5"/>
        <v>35.029384939889795</v>
      </c>
      <c r="K160" s="1">
        <f t="shared" ca="1" si="5"/>
        <v>35.680699292046192</v>
      </c>
    </row>
    <row r="161" spans="1:11" x14ac:dyDescent="0.2">
      <c r="A161" t="str">
        <f t="shared" ca="1" si="2"/>
        <v>Light Vehicle Driver</v>
      </c>
      <c r="B161" s="4">
        <f t="shared" ca="1" si="3"/>
        <v>820.39837236829999</v>
      </c>
      <c r="C161" s="4">
        <f t="shared" ca="1" si="3"/>
        <v>924.04645257907862</v>
      </c>
      <c r="D161" s="4">
        <f t="shared" ca="1" si="3"/>
        <v>986.99563863646597</v>
      </c>
      <c r="E161" s="4">
        <f t="shared" ca="1" si="3"/>
        <v>975.97247369463639</v>
      </c>
      <c r="F161" s="4">
        <f t="shared" ca="1" si="3"/>
        <v>960.55002350451844</v>
      </c>
      <c r="G161" s="4">
        <f t="shared" ca="1" si="3"/>
        <v>933.60387650854352</v>
      </c>
      <c r="H161" s="4">
        <f t="shared" ca="1" si="3"/>
        <v>900.24200818449117</v>
      </c>
      <c r="I161" s="1">
        <f t="shared" ref="I161:K161" ca="1" si="6">I7+I18+I29+I40+I51+I62+I73+I84+I95+I106+I117+I128+I139+I150</f>
        <v>861.67295169843965</v>
      </c>
      <c r="J161" s="1">
        <f t="shared" ca="1" si="6"/>
        <v>818.59176824726717</v>
      </c>
      <c r="K161" s="1">
        <f t="shared" ca="1" si="6"/>
        <v>772.05631733704422</v>
      </c>
    </row>
    <row r="162" spans="1:11" x14ac:dyDescent="0.2">
      <c r="A162" t="str">
        <f t="shared" ca="1" si="2"/>
        <v>Light Vehicle Passenger</v>
      </c>
      <c r="B162" s="4">
        <f t="shared" ca="1" si="3"/>
        <v>430.09037615619997</v>
      </c>
      <c r="C162" s="4">
        <f t="shared" ca="1" si="3"/>
        <v>461.55340809178648</v>
      </c>
      <c r="D162" s="4">
        <f t="shared" ca="1" si="3"/>
        <v>476.62693576032979</v>
      </c>
      <c r="E162" s="4">
        <f t="shared" ca="1" si="3"/>
        <v>460.6867305944798</v>
      </c>
      <c r="F162" s="4">
        <f t="shared" ca="1" si="3"/>
        <v>443.98246400037476</v>
      </c>
      <c r="G162" s="4">
        <f t="shared" ca="1" si="3"/>
        <v>424.31048320868854</v>
      </c>
      <c r="H162" s="4">
        <f t="shared" ca="1" si="3"/>
        <v>401.80619564775856</v>
      </c>
      <c r="I162" s="1">
        <f t="shared" ref="I162:K162" ca="1" si="7">I8+I19+I30+I41+I52+I63+I74+I85+I96+I107+I118+I129+I140+I151</f>
        <v>383.46176663325326</v>
      </c>
      <c r="J162" s="1">
        <f t="shared" ca="1" si="7"/>
        <v>363.13000159936024</v>
      </c>
      <c r="K162" s="1">
        <f t="shared" ca="1" si="7"/>
        <v>341.2638622214007</v>
      </c>
    </row>
    <row r="163" spans="1:11" x14ac:dyDescent="0.2">
      <c r="A163" t="str">
        <f t="shared" ca="1" si="2"/>
        <v>Taxi/Vehicle Share</v>
      </c>
      <c r="B163" s="4">
        <f t="shared" ca="1" si="3"/>
        <v>4.6704390591000005</v>
      </c>
      <c r="C163" s="4">
        <f t="shared" ca="1" si="3"/>
        <v>5.4882369720266624</v>
      </c>
      <c r="D163" s="4">
        <f t="shared" ca="1" si="3"/>
        <v>6.1625591252606995</v>
      </c>
      <c r="E163" s="4">
        <f t="shared" ca="1" si="3"/>
        <v>82.390874109723001</v>
      </c>
      <c r="F163" s="4">
        <f t="shared" ca="1" si="3"/>
        <v>163.40536200854825</v>
      </c>
      <c r="G163" s="4">
        <f t="shared" ca="1" si="3"/>
        <v>247.44432766430825</v>
      </c>
      <c r="H163" s="4">
        <f t="shared" ca="1" si="3"/>
        <v>333.77301509432982</v>
      </c>
      <c r="I163" s="1">
        <f t="shared" ref="I163:K163" ca="1" si="8">I9+I20+I31+I42+I53+I64+I75+I86+I97+I108+I119+I130+I141+I152</f>
        <v>423.49905615360632</v>
      </c>
      <c r="J163" s="1">
        <f t="shared" ca="1" si="8"/>
        <v>515.07929778760536</v>
      </c>
      <c r="K163" s="1">
        <f t="shared" ca="1" si="8"/>
        <v>608.26761446640273</v>
      </c>
    </row>
    <row r="164" spans="1:11" x14ac:dyDescent="0.2">
      <c r="A164" t="str">
        <f t="shared" ca="1" si="2"/>
        <v>Motorcyclist</v>
      </c>
      <c r="B164" s="4">
        <f t="shared" ca="1" si="3"/>
        <v>6.0136150244</v>
      </c>
      <c r="C164" s="4">
        <f t="shared" ca="1" si="3"/>
        <v>6.6604607725736278</v>
      </c>
      <c r="D164" s="4">
        <f t="shared" ca="1" si="3"/>
        <v>7.0625309365596385</v>
      </c>
      <c r="E164" s="4">
        <f t="shared" ca="1" si="3"/>
        <v>7.263174365446579</v>
      </c>
      <c r="F164" s="4">
        <f t="shared" ca="1" si="3"/>
        <v>7.4395102410557419</v>
      </c>
      <c r="G164" s="4">
        <f t="shared" ca="1" si="3"/>
        <v>7.5098690049468253</v>
      </c>
      <c r="H164" s="4">
        <f t="shared" ca="1" si="3"/>
        <v>7.540922578844877</v>
      </c>
      <c r="I164" s="1">
        <f t="shared" ref="I164:K164" ca="1" si="9">I10+I21+I32+I43+I54+I65+I76+I87+I98+I109+I120+I131+I142+I153</f>
        <v>7.717270029612294</v>
      </c>
      <c r="J164" s="1">
        <f t="shared" ca="1" si="9"/>
        <v>7.8751551118878105</v>
      </c>
      <c r="K164" s="1">
        <f t="shared" ca="1" si="9"/>
        <v>8.0215807930304273</v>
      </c>
    </row>
    <row r="165" spans="1:11" x14ac:dyDescent="0.2">
      <c r="A165" t="str">
        <f t="shared" ca="1" si="2"/>
        <v>Local Train</v>
      </c>
      <c r="B165" s="4">
        <f t="shared" ca="1" si="3"/>
        <v>11.945939429511251</v>
      </c>
      <c r="C165" s="4">
        <f t="shared" ca="1" si="3"/>
        <v>18.28350902824716</v>
      </c>
      <c r="D165" s="4">
        <f t="shared" ca="1" si="3"/>
        <v>30.821404723242029</v>
      </c>
      <c r="E165" s="4">
        <f t="shared" ca="1" si="3"/>
        <v>43.258563817538075</v>
      </c>
      <c r="F165" s="4">
        <f t="shared" ca="1" si="3"/>
        <v>49.790772153339567</v>
      </c>
      <c r="G165" s="4">
        <f t="shared" ca="1" si="3"/>
        <v>56.322386273074841</v>
      </c>
      <c r="H165" s="4">
        <f t="shared" ca="1" si="3"/>
        <v>62.854052285459268</v>
      </c>
      <c r="I165" s="1">
        <f t="shared" ref="I165:K165" ca="1" si="10">I11+I22+I33+I44+I55+I66+I77+I88+I99+I110+I121+I132+I143+I154</f>
        <v>69.390555503516282</v>
      </c>
      <c r="J165" s="1">
        <f t="shared" ca="1" si="10"/>
        <v>76.337452277829115</v>
      </c>
      <c r="K165" s="1">
        <f t="shared" ca="1" si="10"/>
        <v>84.004147473996582</v>
      </c>
    </row>
    <row r="166" spans="1:11" x14ac:dyDescent="0.2">
      <c r="A166" t="s">
        <v>20</v>
      </c>
      <c r="B166" s="4">
        <f t="shared" ca="1" si="3"/>
        <v>52.97039647611355</v>
      </c>
      <c r="C166" s="4">
        <f t="shared" ca="1" si="3"/>
        <v>55.666213840967622</v>
      </c>
      <c r="D166" s="4">
        <f t="shared" ca="1" si="3"/>
        <v>65.24733502198562</v>
      </c>
      <c r="E166" s="4">
        <f t="shared" ca="1" si="3"/>
        <v>74.79693967166186</v>
      </c>
      <c r="F166" s="4">
        <f t="shared" ca="1" si="3"/>
        <v>80.128997607707092</v>
      </c>
      <c r="G166" s="4">
        <f t="shared" ca="1" si="3"/>
        <v>85.559214816159283</v>
      </c>
      <c r="H166" s="4">
        <f t="shared" ca="1" si="3"/>
        <v>90.891028195335423</v>
      </c>
      <c r="I166" s="1">
        <f t="shared" ref="I166:K166" ca="1" si="11">I12+I23+I34+I45+I56+I67+I78+I89+I100+I111+I122+I133+I144+I155</f>
        <v>96.728763276824523</v>
      </c>
      <c r="J166" s="1">
        <f t="shared" ca="1" si="11"/>
        <v>102.8229297019508</v>
      </c>
      <c r="K166" s="1">
        <f t="shared" ca="1" si="11"/>
        <v>109.41071667154766</v>
      </c>
    </row>
    <row r="167" spans="1:11" x14ac:dyDescent="0.2">
      <c r="A167" t="str">
        <f ca="1">A13</f>
        <v>Local Ferry</v>
      </c>
      <c r="B167" s="4">
        <f t="shared" ca="1" si="3"/>
        <v>1.5789294523033413</v>
      </c>
      <c r="C167" s="4">
        <f t="shared" ca="1" si="3"/>
        <v>1.8688387537152109</v>
      </c>
      <c r="D167" s="4">
        <f t="shared" ca="1" si="3"/>
        <v>2.0871365588375883</v>
      </c>
      <c r="E167" s="4">
        <f t="shared" ca="1" si="3"/>
        <v>2.256117811366158</v>
      </c>
      <c r="F167" s="4">
        <f t="shared" ca="1" si="3"/>
        <v>2.4101478933696567</v>
      </c>
      <c r="G167" s="4">
        <f t="shared" ca="1" si="3"/>
        <v>2.6122199672217836</v>
      </c>
      <c r="H167" s="4">
        <f t="shared" ca="1" si="3"/>
        <v>2.8063784766501572</v>
      </c>
      <c r="I167" s="1">
        <f t="shared" ref="I167:K167" ca="1" si="12">I13+I24+I35+I46+I57+I68+I79+I90+I101+I112+I123+I134+I145+I156</f>
        <v>2.8730635733669176</v>
      </c>
      <c r="J167" s="1">
        <f t="shared" ca="1" si="12"/>
        <v>2.9328931282558726</v>
      </c>
      <c r="K167" s="1">
        <f t="shared" ca="1" si="12"/>
        <v>2.9884677192321885</v>
      </c>
    </row>
    <row r="168" spans="1:11" x14ac:dyDescent="0.2">
      <c r="A168" t="str">
        <f ca="1">A14</f>
        <v>Other Household Travel</v>
      </c>
      <c r="B168" s="4">
        <f t="shared" ca="1" si="3"/>
        <v>5.6740244923000009</v>
      </c>
      <c r="C168" s="4">
        <f t="shared" ca="1" si="3"/>
        <v>6.3947871294241043</v>
      </c>
      <c r="D168" s="4">
        <f t="shared" ca="1" si="3"/>
        <v>6.9319400726152143</v>
      </c>
      <c r="E168" s="4">
        <f t="shared" ca="1" si="3"/>
        <v>7.271356644082454</v>
      </c>
      <c r="F168" s="4">
        <f t="shared" ca="1" si="3"/>
        <v>7.5808719411346468</v>
      </c>
      <c r="G168" s="4">
        <f t="shared" ca="1" si="3"/>
        <v>7.9501484374893403</v>
      </c>
      <c r="H168" s="4">
        <f t="shared" ca="1" si="3"/>
        <v>8.2883809599292384</v>
      </c>
      <c r="I168" s="1">
        <f t="shared" ref="I168:K168" ca="1" si="13">I14+I25+I36+I47+I58+I69+I80+I91+I102+I113+I124+I135+I146+I157</f>
        <v>8.4822080199461549</v>
      </c>
      <c r="J168" s="1">
        <f t="shared" ca="1" si="13"/>
        <v>8.6557427162789917</v>
      </c>
      <c r="K168" s="1">
        <f t="shared" ca="1" si="13"/>
        <v>8.8166821523941223</v>
      </c>
    </row>
    <row r="169" spans="1:11" x14ac:dyDescent="0.2">
      <c r="A169" t="s">
        <v>108</v>
      </c>
      <c r="I169" s="1"/>
      <c r="J169" s="1"/>
      <c r="K169" s="1"/>
    </row>
    <row r="170" spans="1:11" x14ac:dyDescent="0.2">
      <c r="A170" t="s">
        <v>103</v>
      </c>
      <c r="B170" s="1">
        <f ca="1">SUM(B171:B177)</f>
        <v>1563.2845741693282</v>
      </c>
      <c r="C170" s="1">
        <f t="shared" ref="C170:H170" ca="1" si="14">SUM(C171:C177)</f>
        <v>1730.5041659177859</v>
      </c>
      <c r="D170" s="1">
        <f t="shared" ca="1" si="14"/>
        <v>1845.1548858681247</v>
      </c>
      <c r="E170" s="1">
        <f t="shared" ca="1" si="14"/>
        <v>1925.9581905585492</v>
      </c>
      <c r="F170" s="1">
        <f t="shared" ca="1" si="14"/>
        <v>1994.2380583440713</v>
      </c>
      <c r="G170" s="1">
        <f t="shared" ca="1" si="14"/>
        <v>2050.5242512268205</v>
      </c>
      <c r="H170" s="1">
        <f t="shared" ca="1" si="14"/>
        <v>2098.4760519223714</v>
      </c>
      <c r="I170" s="1">
        <f t="shared" ref="I170:K170" ca="1" si="15">SUM(I171:I177)</f>
        <v>2150.7052625556721</v>
      </c>
      <c r="J170" s="1">
        <f t="shared" ca="1" si="15"/>
        <v>2198.1773344458097</v>
      </c>
      <c r="K170" s="1">
        <f t="shared" ca="1" si="15"/>
        <v>2242.982370416114</v>
      </c>
    </row>
    <row r="171" spans="1:11" x14ac:dyDescent="0.2">
      <c r="A171" t="s">
        <v>62</v>
      </c>
      <c r="B171" s="1">
        <f ca="1">B159</f>
        <v>205.0143830817</v>
      </c>
      <c r="C171" s="1">
        <f t="shared" ref="C171:H172" ca="1" si="16">C159</f>
        <v>222.91990429397796</v>
      </c>
      <c r="D171" s="1">
        <f t="shared" ca="1" si="16"/>
        <v>234.04733815605232</v>
      </c>
      <c r="E171" s="1">
        <f t="shared" ca="1" si="16"/>
        <v>242.06965685987822</v>
      </c>
      <c r="F171" s="1">
        <f t="shared" ca="1" si="16"/>
        <v>247.95011516532625</v>
      </c>
      <c r="G171" s="1">
        <f t="shared" ca="1" si="16"/>
        <v>252.92378686839422</v>
      </c>
      <c r="H171" s="1">
        <f t="shared" ca="1" si="16"/>
        <v>256.73138136351884</v>
      </c>
      <c r="I171" s="1">
        <f t="shared" ref="I171:K171" ca="1" si="17">I159</f>
        <v>262.55252950693313</v>
      </c>
      <c r="J171" s="1">
        <f t="shared" ca="1" si="17"/>
        <v>267.72270893548477</v>
      </c>
      <c r="K171" s="1">
        <f t="shared" ca="1" si="17"/>
        <v>272.47228228901895</v>
      </c>
    </row>
    <row r="172" spans="1:11" x14ac:dyDescent="0.2">
      <c r="A172" t="s">
        <v>63</v>
      </c>
      <c r="B172" s="1">
        <f ca="1">B160</f>
        <v>24.928098629399997</v>
      </c>
      <c r="C172" s="1">
        <f t="shared" ca="1" si="16"/>
        <v>27.622354455988603</v>
      </c>
      <c r="D172" s="1">
        <f t="shared" ca="1" si="16"/>
        <v>29.172066876775624</v>
      </c>
      <c r="E172" s="1">
        <f t="shared" ca="1" si="16"/>
        <v>29.992302989736583</v>
      </c>
      <c r="F172" s="1">
        <f t="shared" ca="1" si="16"/>
        <v>30.999793828697218</v>
      </c>
      <c r="G172" s="1">
        <f t="shared" ca="1" si="16"/>
        <v>32.287938477993364</v>
      </c>
      <c r="H172" s="1">
        <f t="shared" ca="1" si="16"/>
        <v>33.54268913605452</v>
      </c>
      <c r="I172" s="1">
        <f t="shared" ref="I172:K172" ca="1" si="18">I160</f>
        <v>34.327098160173314</v>
      </c>
      <c r="J172" s="1">
        <f t="shared" ca="1" si="18"/>
        <v>35.029384939889795</v>
      </c>
      <c r="K172" s="1">
        <f t="shared" ca="1" si="18"/>
        <v>35.680699292046192</v>
      </c>
    </row>
    <row r="173" spans="1:11" x14ac:dyDescent="0.2">
      <c r="A173" t="s">
        <v>104</v>
      </c>
      <c r="B173" s="1">
        <f ca="1">B165</f>
        <v>11.945939429511251</v>
      </c>
      <c r="C173" s="1">
        <f t="shared" ref="C173:H174" ca="1" si="19">C165</f>
        <v>18.28350902824716</v>
      </c>
      <c r="D173" s="1">
        <f t="shared" ca="1" si="19"/>
        <v>30.821404723242029</v>
      </c>
      <c r="E173" s="1">
        <f t="shared" ca="1" si="19"/>
        <v>43.258563817538075</v>
      </c>
      <c r="F173" s="1">
        <f t="shared" ca="1" si="19"/>
        <v>49.790772153339567</v>
      </c>
      <c r="G173" s="1">
        <f t="shared" ca="1" si="19"/>
        <v>56.322386273074841</v>
      </c>
      <c r="H173" s="1">
        <f t="shared" ca="1" si="19"/>
        <v>62.854052285459268</v>
      </c>
      <c r="I173" s="1">
        <f t="shared" ref="I173:K173" ca="1" si="20">I165</f>
        <v>69.390555503516282</v>
      </c>
      <c r="J173" s="1">
        <f t="shared" ca="1" si="20"/>
        <v>76.337452277829115</v>
      </c>
      <c r="K173" s="1">
        <f t="shared" ca="1" si="20"/>
        <v>84.004147473996582</v>
      </c>
    </row>
    <row r="174" spans="1:11" x14ac:dyDescent="0.2">
      <c r="A174" t="s">
        <v>20</v>
      </c>
      <c r="B174" s="1">
        <f ca="1">B166</f>
        <v>52.97039647611355</v>
      </c>
      <c r="C174" s="1">
        <f t="shared" ca="1" si="19"/>
        <v>55.666213840967622</v>
      </c>
      <c r="D174" s="1">
        <f t="shared" ca="1" si="19"/>
        <v>65.24733502198562</v>
      </c>
      <c r="E174" s="1">
        <f t="shared" ca="1" si="19"/>
        <v>74.79693967166186</v>
      </c>
      <c r="F174" s="1">
        <f t="shared" ca="1" si="19"/>
        <v>80.128997607707092</v>
      </c>
      <c r="G174" s="1">
        <f t="shared" ca="1" si="19"/>
        <v>85.559214816159283</v>
      </c>
      <c r="H174" s="1">
        <f t="shared" ca="1" si="19"/>
        <v>90.891028195335423</v>
      </c>
      <c r="I174" s="1">
        <f t="shared" ref="I174:K174" ca="1" si="21">I166</f>
        <v>96.728763276824523</v>
      </c>
      <c r="J174" s="1">
        <f t="shared" ca="1" si="21"/>
        <v>102.8229297019508</v>
      </c>
      <c r="K174" s="1">
        <f t="shared" ca="1" si="21"/>
        <v>109.41071667154766</v>
      </c>
    </row>
    <row r="175" spans="1:11" x14ac:dyDescent="0.2">
      <c r="A175" t="s">
        <v>105</v>
      </c>
      <c r="B175" s="1">
        <f ca="1">'Total Duration Tables Sup #2'!B9+'Total Duration Tables Sup #2'!B20+'Total Duration Tables Sup #2'!B31+'Total Duration Tables Sup #2'!B42+'Total Duration Tables Sup #2'!B53+'Total Duration Tables Sup #2'!B64+'Total Duration Tables Sup #2'!B75+'Total Duration Tables Sup #2'!B86+'Total Duration Tables Sup #2'!B97+'Total Duration Tables Sup #2'!B108+'Total Duration Tables Sup #2'!B119+'Total Duration Tables Sup #2'!B130+'Total Duration Tables Sup #2'!B141+'Total Duration Tables Sup #2'!B152+B164+B167+B168</f>
        <v>17.937008028103342</v>
      </c>
      <c r="C175" s="1">
        <f ca="1">'Total Duration Tables Sup #2'!C9+'Total Duration Tables Sup #2'!C20+'Total Duration Tables Sup #2'!C31+'Total Duration Tables Sup #2'!C42+'Total Duration Tables Sup #2'!C53+'Total Duration Tables Sup #2'!C64+'Total Duration Tables Sup #2'!C75+'Total Duration Tables Sup #2'!C86+'Total Duration Tables Sup #2'!C97+'Total Duration Tables Sup #2'!C108+'Total Duration Tables Sup #2'!C119+'Total Duration Tables Sup #2'!C130+'Total Duration Tables Sup #2'!C141+'Total Duration Tables Sup #2'!C152+C164+C167+C168</f>
        <v>20.412323627739607</v>
      </c>
      <c r="D175" s="1">
        <f ca="1">'Total Duration Tables Sup #2'!D9+'Total Duration Tables Sup #2'!D20+'Total Duration Tables Sup #2'!D31+'Total Duration Tables Sup #2'!D42+'Total Duration Tables Sup #2'!D53+'Total Duration Tables Sup #2'!D64+'Total Duration Tables Sup #2'!D75+'Total Duration Tables Sup #2'!D86+'Total Duration Tables Sup #2'!D97+'Total Duration Tables Sup #2'!D108+'Total Duration Tables Sup #2'!D119+'Total Duration Tables Sup #2'!D130+'Total Duration Tables Sup #2'!D141+'Total Duration Tables Sup #2'!D152+D164+D167+D168</f>
        <v>22.244166693273144</v>
      </c>
      <c r="E175" s="1">
        <f ca="1">'Total Duration Tables Sup #2'!E9+'Total Duration Tables Sup #2'!E20+'Total Duration Tables Sup #2'!E31+'Total Duration Tables Sup #2'!E42+'Total Duration Tables Sup #2'!E53+'Total Duration Tables Sup #2'!E64+'Total Duration Tables Sup #2'!E75+'Total Duration Tables Sup #2'!E86+'Total Duration Tables Sup #2'!E97+'Total Duration Tables Sup #2'!E108+'Total Duration Tables Sup #2'!E119+'Total Duration Tables Sup #2'!E130+'Total Duration Tables Sup #2'!E141+'Total Duration Tables Sup #2'!E152+E164+E167+E168</f>
        <v>23.567880599612081</v>
      </c>
      <c r="F175" s="1">
        <f ca="1">'Total Duration Tables Sup #2'!F9+'Total Duration Tables Sup #2'!F20+'Total Duration Tables Sup #2'!F31+'Total Duration Tables Sup #2'!F42+'Total Duration Tables Sup #2'!F53+'Total Duration Tables Sup #2'!F64+'Total Duration Tables Sup #2'!F75+'Total Duration Tables Sup #2'!F86+'Total Duration Tables Sup #2'!F97+'Total Duration Tables Sup #2'!F108+'Total Duration Tables Sup #2'!F119+'Total Duration Tables Sup #2'!F130+'Total Duration Tables Sup #2'!F141+'Total Duration Tables Sup #2'!F152+F164+F167+F168</f>
        <v>24.776726805786851</v>
      </c>
      <c r="G175" s="1">
        <f ca="1">'Total Duration Tables Sup #2'!G9+'Total Duration Tables Sup #2'!G20+'Total Duration Tables Sup #2'!G31+'Total Duration Tables Sup #2'!G42+'Total Duration Tables Sup #2'!G53+'Total Duration Tables Sup #2'!G64+'Total Duration Tables Sup #2'!G75+'Total Duration Tables Sup #2'!G86+'Total Duration Tables Sup #2'!G97+'Total Duration Tables Sup #2'!G108+'Total Duration Tables Sup #2'!G119+'Total Duration Tables Sup #2'!G130+'Total Duration Tables Sup #2'!G141+'Total Duration Tables Sup #2'!G152+G164+G167+G168</f>
        <v>25.884619241513498</v>
      </c>
      <c r="H175" s="1">
        <f ca="1">'Total Duration Tables Sup #2'!H9+'Total Duration Tables Sup #2'!H20+'Total Duration Tables Sup #2'!H31+'Total Duration Tables Sup #2'!H42+'Total Duration Tables Sup #2'!H53+'Total Duration Tables Sup #2'!H64+'Total Duration Tables Sup #2'!H75+'Total Duration Tables Sup #2'!H86+'Total Duration Tables Sup #2'!H97+'Total Duration Tables Sup #2'!H108+'Total Duration Tables Sup #2'!H119+'Total Duration Tables Sup #2'!H130+'Total Duration Tables Sup #2'!H141+'Total Duration Tables Sup #2'!H152+H164+H167+H168</f>
        <v>26.896646151691606</v>
      </c>
      <c r="I175" s="1">
        <f ca="1">'Total Duration Tables Sup #2'!I9+'Total Duration Tables Sup #2'!I20+'Total Duration Tables Sup #2'!I31+'Total Duration Tables Sup #2'!I42+'Total Duration Tables Sup #2'!I53+'Total Duration Tables Sup #2'!I64+'Total Duration Tables Sup #2'!I75+'Total Duration Tables Sup #2'!I86+'Total Duration Tables Sup #2'!I97+'Total Duration Tables Sup #2'!I108+'Total Duration Tables Sup #2'!I119+'Total Duration Tables Sup #2'!I130+'Total Duration Tables Sup #2'!I141+'Total Duration Tables Sup #2'!I152+I164+I167+I168</f>
        <v>27.526691665967377</v>
      </c>
      <c r="J175" s="1">
        <f ca="1">'Total Duration Tables Sup #2'!J9+'Total Duration Tables Sup #2'!J20+'Total Duration Tables Sup #2'!J31+'Total Duration Tables Sup #2'!J42+'Total Duration Tables Sup #2'!J53+'Total Duration Tables Sup #2'!J64+'Total Duration Tables Sup #2'!J75+'Total Duration Tables Sup #2'!J86+'Total Duration Tables Sup #2'!J97+'Total Duration Tables Sup #2'!J108+'Total Duration Tables Sup #2'!J119+'Total Duration Tables Sup #2'!J130+'Total Duration Tables Sup #2'!J141+'Total Duration Tables Sup #2'!J152+J164+J167+J168</f>
        <v>28.090901666901942</v>
      </c>
      <c r="K175" s="1">
        <f ca="1">'Total Duration Tables Sup #2'!K9+'Total Duration Tables Sup #2'!K20+'Total Duration Tables Sup #2'!K31+'Total Duration Tables Sup #2'!K42+'Total Duration Tables Sup #2'!K53+'Total Duration Tables Sup #2'!K64+'Total Duration Tables Sup #2'!K75+'Total Duration Tables Sup #2'!K86+'Total Duration Tables Sup #2'!K97+'Total Duration Tables Sup #2'!K108+'Total Duration Tables Sup #2'!K119+'Total Duration Tables Sup #2'!K130+'Total Duration Tables Sup #2'!K141+'Total Duration Tables Sup #2'!K152+K164+K167+K168</f>
        <v>28.614248445743144</v>
      </c>
    </row>
    <row r="176" spans="1:11" x14ac:dyDescent="0.2">
      <c r="A176" t="s">
        <v>106</v>
      </c>
      <c r="B176" s="1">
        <f ca="1">B7+B18+B29+B40+B51+B62+B73+B84+B95+B106+B117+B128+B139+B150</f>
        <v>820.39837236829999</v>
      </c>
      <c r="C176" s="1">
        <f ca="1">C7/(1-'Other Assumptions'!G$6)+C18/(1-'Other Assumptions'!G$7)+C29/(1-'Other Assumptions'!G$8)+C40/(1-'Other Assumptions'!G$9)+C51/(1-'Other Assumptions'!G$10)+C62/(1-'Other Assumptions'!G$11)+C73/(1-'Other Assumptions'!G$12)+C84/(1-'Other Assumptions'!G$13)+C95/(1-'Other Assumptions'!G$14)+C106/(1-'Other Assumptions'!G$15)+C117/(1-'Other Assumptions'!G$16)+C128/(1-'Other Assumptions'!G$17)+C139/(1-'Other Assumptions'!G$18)+C150/(1-'Other Assumptions'!G$19)</f>
        <v>924.04645257907862</v>
      </c>
      <c r="D176" s="1">
        <f ca="1">D7/(1-'Other Assumptions'!H$6)+D18/(1-'Other Assumptions'!H$7)+D29/(1-'Other Assumptions'!H$8)+D40/(1-'Other Assumptions'!H$9)+D51/(1-'Other Assumptions'!H$10)+D62/(1-'Other Assumptions'!H$11)+D73/(1-'Other Assumptions'!H$12)+D84/(1-'Other Assumptions'!H$13)+D95/(1-'Other Assumptions'!H$14)+D106/(1-'Other Assumptions'!H$15)+D117/(1-'Other Assumptions'!H$16)+D128/(1-'Other Assumptions'!H$17)+D139/(1-'Other Assumptions'!H$18)+D150/(1-'Other Assumptions'!H$19)</f>
        <v>986.99563863646597</v>
      </c>
      <c r="E176" s="1">
        <f ca="1">E7/(1-'Other Assumptions'!I$6)+E18/(1-'Other Assumptions'!I$7)+E29/(1-'Other Assumptions'!I$8)+E40/(1-'Other Assumptions'!I$9)+E51/(1-'Other Assumptions'!I$10)+E62/(1-'Other Assumptions'!I$11)+E73/(1-'Other Assumptions'!I$12)+E84/(1-'Other Assumptions'!I$13)+E95/(1-'Other Assumptions'!I$14)+E106/(1-'Other Assumptions'!I$15)+E117/(1-'Other Assumptions'!I$16)+E128/(1-'Other Assumptions'!I$17)+E139/(1-'Other Assumptions'!I$18)+E150/(1-'Other Assumptions'!I$19)</f>
        <v>1027.339445994354</v>
      </c>
      <c r="F176" s="1">
        <f ca="1">F7/(1-'Other Assumptions'!J$6)+F18/(1-'Other Assumptions'!J$7)+F29/(1-'Other Assumptions'!J$8)+F40/(1-'Other Assumptions'!J$9)+F51/(1-'Other Assumptions'!J$10)+F62/(1-'Other Assumptions'!J$11)+F73/(1-'Other Assumptions'!J$12)+F84/(1-'Other Assumptions'!J$13)+F95/(1-'Other Assumptions'!J$14)+F106/(1-'Other Assumptions'!J$15)+F117/(1-'Other Assumptions'!J$16)+F128/(1-'Other Assumptions'!J$17)+F139/(1-'Other Assumptions'!J$18)+F150/(1-'Other Assumptions'!J$19)</f>
        <v>1067.2778038939091</v>
      </c>
      <c r="G176" s="1">
        <f ca="1">G7/(1-'Other Assumptions'!K$6)+G18/(1-'Other Assumptions'!K$7)+G29/(1-'Other Assumptions'!K$8)+G40/(1-'Other Assumptions'!K$9)+G51/(1-'Other Assumptions'!K$10)+G62/(1-'Other Assumptions'!K$11)+G73/(1-'Other Assumptions'!K$12)+G84/(1-'Other Assumptions'!K$13)+G95/(1-'Other Assumptions'!K$14)+G106/(1-'Other Assumptions'!K$15)+G117/(1-'Other Assumptions'!K$16)+G128/(1-'Other Assumptions'!K$17)+G139/(1-'Other Assumptions'!K$18)+G150/(1-'Other Assumptions'!K$19)</f>
        <v>1098.3575017747573</v>
      </c>
      <c r="H176" s="1">
        <f ca="1">H7/(1-'Other Assumptions'!L$6)+H18/(1-'Other Assumptions'!L$7)+H29/(1-'Other Assumptions'!L$8)+H40/(1-'Other Assumptions'!L$9)+H51/(1-'Other Assumptions'!L$10)+H62/(1-'Other Assumptions'!L$11)+H73/(1-'Other Assumptions'!L$12)+H84/(1-'Other Assumptions'!L$13)+H95/(1-'Other Assumptions'!L$14)+H106/(1-'Other Assumptions'!L$15)+H117/(1-'Other Assumptions'!L$16)+H128/(1-'Other Assumptions'!L$17)+H139/(1-'Other Assumptions'!L$18)+H150/(1-'Other Assumptions'!L$19)</f>
        <v>1125.3025102306137</v>
      </c>
      <c r="I176" s="1">
        <f ca="1">I7/(1-'Other Assumptions'!M$6)+I18/(1-'Other Assumptions'!M$7)+I29/(1-'Other Assumptions'!M$8)+I40/(1-'Other Assumptions'!M$9)+I51/(1-'Other Assumptions'!M$10)+I62/(1-'Other Assumptions'!M$11)+I73/(1-'Other Assumptions'!M$12)+I84/(1-'Other Assumptions'!M$13)+I95/(1-'Other Assumptions'!M$14)+I106/(1-'Other Assumptions'!M$15)+I117/(1-'Other Assumptions'!M$16)+I128/(1-'Other Assumptions'!M$17)+I139/(1-'Other Assumptions'!M$18)+I150/(1-'Other Assumptions'!M$19)</f>
        <v>1148.8972689312529</v>
      </c>
      <c r="J176" s="1">
        <f ca="1">J7/(1-'Other Assumptions'!N$6)+J18/(1-'Other Assumptions'!N$7)+J29/(1-'Other Assumptions'!N$8)+J40/(1-'Other Assumptions'!N$9)+J51/(1-'Other Assumptions'!N$10)+J62/(1-'Other Assumptions'!N$11)+J73/(1-'Other Assumptions'!N$12)+J84/(1-'Other Assumptions'!N$13)+J95/(1-'Other Assumptions'!N$14)+J106/(1-'Other Assumptions'!N$15)+J117/(1-'Other Assumptions'!N$16)+J128/(1-'Other Assumptions'!N$17)+J139/(1-'Other Assumptions'!N$18)+J150/(1-'Other Assumptions'!N$19)</f>
        <v>1169.4168117818101</v>
      </c>
      <c r="K176" s="1">
        <f ca="1">K7/(1-'Other Assumptions'!O$6)+K18/(1-'Other Assumptions'!O$7)+K29/(1-'Other Assumptions'!O$8)+K40/(1-'Other Assumptions'!O$9)+K51/(1-'Other Assumptions'!O$10)+K62/(1-'Other Assumptions'!O$11)+K73/(1-'Other Assumptions'!O$12)+K84/(1-'Other Assumptions'!O$13)+K95/(1-'Other Assumptions'!O$14)+K106/(1-'Other Assumptions'!O$15)+K117/(1-'Other Assumptions'!O$16)+K128/(1-'Other Assumptions'!O$17)+K139/(1-'Other Assumptions'!O$18)+K150/(1-'Other Assumptions'!O$19)</f>
        <v>1187.7789497492986</v>
      </c>
    </row>
    <row r="177" spans="1:11" x14ac:dyDescent="0.2">
      <c r="A177" t="s">
        <v>107</v>
      </c>
      <c r="B177" s="1">
        <f ca="1">B8+B19+B30+B41+B52+B63+B74+B85+B96+B107+B118+B129+B140+B151</f>
        <v>430.09037615619997</v>
      </c>
      <c r="C177" s="1">
        <f ca="1">C8/(1-'Other Assumptions'!G$6)+C19/(1-'Other Assumptions'!G$7)+C30/(1-'Other Assumptions'!G$8)+C41/(1-'Other Assumptions'!G$9)+C52/(1-'Other Assumptions'!G$10)+C63/(1-'Other Assumptions'!G$11)+C74/(1-'Other Assumptions'!G$12)+C85/(1-'Other Assumptions'!G$13)+C96/(1-'Other Assumptions'!G$14)+C107/(1-'Other Assumptions'!G$15)+C118/(1-'Other Assumptions'!G$16)+C129/(1-'Other Assumptions'!G$17)+C140/(1-'Other Assumptions'!G$18)+C151/(1-'Other Assumptions'!G$19)</f>
        <v>461.55340809178648</v>
      </c>
      <c r="D177" s="1">
        <f ca="1">D8/(1-'Other Assumptions'!H$6)+D19/(1-'Other Assumptions'!H$7)+D30/(1-'Other Assumptions'!H$8)+D41/(1-'Other Assumptions'!H$9)+D52/(1-'Other Assumptions'!H$10)+D63/(1-'Other Assumptions'!H$11)+D74/(1-'Other Assumptions'!H$12)+D85/(1-'Other Assumptions'!H$13)+D96/(1-'Other Assumptions'!H$14)+D107/(1-'Other Assumptions'!H$15)+D118/(1-'Other Assumptions'!H$16)+D129/(1-'Other Assumptions'!H$17)+D140/(1-'Other Assumptions'!H$18)+D151/(1-'Other Assumptions'!H$19)</f>
        <v>476.62693576032979</v>
      </c>
      <c r="E177" s="1">
        <f ca="1">E8/(1-'Other Assumptions'!I$6)+E19/(1-'Other Assumptions'!I$7)+E30/(1-'Other Assumptions'!I$8)+E41/(1-'Other Assumptions'!I$9)+E52/(1-'Other Assumptions'!I$10)+E63/(1-'Other Assumptions'!I$11)+E74/(1-'Other Assumptions'!I$12)+E85/(1-'Other Assumptions'!I$13)+E96/(1-'Other Assumptions'!I$14)+E107/(1-'Other Assumptions'!I$15)+E118/(1-'Other Assumptions'!I$16)+E129/(1-'Other Assumptions'!I$17)+E140/(1-'Other Assumptions'!I$18)+E151/(1-'Other Assumptions'!I$19)</f>
        <v>484.93340062576829</v>
      </c>
      <c r="F177" s="1">
        <f ca="1">F8/(1-'Other Assumptions'!J$6)+F19/(1-'Other Assumptions'!J$7)+F30/(1-'Other Assumptions'!J$8)+F41/(1-'Other Assumptions'!J$9)+F52/(1-'Other Assumptions'!J$10)+F63/(1-'Other Assumptions'!J$11)+F74/(1-'Other Assumptions'!J$12)+F85/(1-'Other Assumptions'!J$13)+F96/(1-'Other Assumptions'!J$14)+F107/(1-'Other Assumptions'!J$15)+F118/(1-'Other Assumptions'!J$16)+F129/(1-'Other Assumptions'!J$17)+F140/(1-'Other Assumptions'!J$18)+F151/(1-'Other Assumptions'!J$19)</f>
        <v>493.31384888930518</v>
      </c>
      <c r="G177" s="1">
        <f ca="1">G8/(1-'Other Assumptions'!K$6)+G19/(1-'Other Assumptions'!K$7)+G30/(1-'Other Assumptions'!K$8)+G41/(1-'Other Assumptions'!K$9)+G52/(1-'Other Assumptions'!K$10)+G63/(1-'Other Assumptions'!K$11)+G74/(1-'Other Assumptions'!K$12)+G85/(1-'Other Assumptions'!K$13)+G96/(1-'Other Assumptions'!K$14)+G107/(1-'Other Assumptions'!K$15)+G118/(1-'Other Assumptions'!K$16)+G129/(1-'Other Assumptions'!K$17)+G140/(1-'Other Assumptions'!K$18)+G151/(1-'Other Assumptions'!K$19)</f>
        <v>499.18880377492781</v>
      </c>
      <c r="H177" s="1">
        <f ca="1">H8/(1-'Other Assumptions'!L$6)+H19/(1-'Other Assumptions'!L$7)+H30/(1-'Other Assumptions'!L$8)+H41/(1-'Other Assumptions'!L$9)+H52/(1-'Other Assumptions'!L$10)+H63/(1-'Other Assumptions'!L$11)+H74/(1-'Other Assumptions'!L$12)+H85/(1-'Other Assumptions'!L$13)+H96/(1-'Other Assumptions'!L$14)+H107/(1-'Other Assumptions'!L$15)+H118/(1-'Other Assumptions'!L$16)+H129/(1-'Other Assumptions'!L$17)+H140/(1-'Other Assumptions'!L$18)+H151/(1-'Other Assumptions'!L$19)</f>
        <v>502.25774455969815</v>
      </c>
      <c r="I177" s="1">
        <f ca="1">I8/(1-'Other Assumptions'!M$6)+I19/(1-'Other Assumptions'!M$7)+I30/(1-'Other Assumptions'!M$8)+I41/(1-'Other Assumptions'!M$9)+I52/(1-'Other Assumptions'!M$10)+I63/(1-'Other Assumptions'!M$11)+I74/(1-'Other Assumptions'!M$12)+I85/(1-'Other Assumptions'!M$13)+I96/(1-'Other Assumptions'!M$14)+I107/(1-'Other Assumptions'!M$15)+I118/(1-'Other Assumptions'!M$16)+I129/(1-'Other Assumptions'!M$17)+I140/(1-'Other Assumptions'!M$18)+I151/(1-'Other Assumptions'!M$19)</f>
        <v>511.28235551100425</v>
      </c>
      <c r="J177" s="1">
        <f ca="1">J8/(1-'Other Assumptions'!N$6)+J19/(1-'Other Assumptions'!N$7)+J30/(1-'Other Assumptions'!N$8)+J41/(1-'Other Assumptions'!N$9)+J52/(1-'Other Assumptions'!N$10)+J63/(1-'Other Assumptions'!N$11)+J74/(1-'Other Assumptions'!N$12)+J85/(1-'Other Assumptions'!N$13)+J96/(1-'Other Assumptions'!N$14)+J107/(1-'Other Assumptions'!N$15)+J118/(1-'Other Assumptions'!N$16)+J129/(1-'Other Assumptions'!N$17)+J140/(1-'Other Assumptions'!N$18)+J151/(1-'Other Assumptions'!N$19)</f>
        <v>518.75714514194328</v>
      </c>
      <c r="K177" s="1">
        <f ca="1">K8/(1-'Other Assumptions'!O$6)+K19/(1-'Other Assumptions'!O$7)+K30/(1-'Other Assumptions'!O$8)+K41/(1-'Other Assumptions'!O$9)+K52/(1-'Other Assumptions'!O$10)+K63/(1-'Other Assumptions'!O$11)+K74/(1-'Other Assumptions'!O$12)+K85/(1-'Other Assumptions'!O$13)+K96/(1-'Other Assumptions'!O$14)+K107/(1-'Other Assumptions'!O$15)+K118/(1-'Other Assumptions'!O$16)+K129/(1-'Other Assumptions'!O$17)+K140/(1-'Other Assumptions'!O$18)+K151/(1-'Other Assumptions'!O$19)</f>
        <v>525.02132649446264</v>
      </c>
    </row>
  </sheetData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K202"/>
  <sheetViews>
    <sheetView topLeftCell="A57" workbookViewId="0">
      <selection activeCell="K24" sqref="K24"/>
    </sheetView>
  </sheetViews>
  <sheetFormatPr defaultRowHeight="12.75" x14ac:dyDescent="0.2"/>
  <cols>
    <col min="1" max="1" width="26.140625" customWidth="1"/>
  </cols>
  <sheetData>
    <row r="2" spans="1:11" x14ac:dyDescent="0.2">
      <c r="A2" s="3" t="s">
        <v>17</v>
      </c>
    </row>
    <row r="3" spans="1:11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">
      <c r="A4" t="str">
        <f ca="1">OFFSET(Northland_Reference,0,0)</f>
        <v>01 NORTHLAND</v>
      </c>
    </row>
    <row r="5" spans="1:11" x14ac:dyDescent="0.2">
      <c r="A5" t="str">
        <f ca="1">OFFSET(Northland_Reference,0,2)</f>
        <v>Pedestrian</v>
      </c>
      <c r="B5" s="4">
        <f ca="1">B159*'Total Trip Tables Sup #1'!B5</f>
        <v>23.706864376999999</v>
      </c>
      <c r="C5" s="4">
        <f ca="1">C159*'Total Trip Tables Sup #1'!C5*(1+'Active Mode Assumptions'!C7)</f>
        <v>25.219977547165872</v>
      </c>
      <c r="D5" s="4">
        <f ca="1">D159*'Total Trip Tables Sup #1'!D5*(1+'Active Mode Assumptions'!D7)</f>
        <v>26.095805431831746</v>
      </c>
      <c r="E5" s="4">
        <f ca="1">E159*'Total Trip Tables Sup #1'!E5*(1+'Active Mode Assumptions'!E7)</f>
        <v>26.67145292834967</v>
      </c>
      <c r="F5" s="4">
        <f ca="1">F159*'Total Trip Tables Sup #1'!F5*(1+'Active Mode Assumptions'!F7)</f>
        <v>26.944132244891232</v>
      </c>
      <c r="G5" s="4">
        <f ca="1">G159*'Total Trip Tables Sup #1'!G5*(1+'Active Mode Assumptions'!G7)</f>
        <v>27.060684494043141</v>
      </c>
      <c r="H5" s="4">
        <f ca="1">H159*'Total Trip Tables Sup #1'!H5*(1+'Active Mode Assumptions'!H7)</f>
        <v>27.028858602579923</v>
      </c>
      <c r="I5" s="1">
        <f ca="1">I159*'Total Trip Tables Sup #1'!I5*(1+'Active Mode Assumptions'!I7)</f>
        <v>27.162973949978763</v>
      </c>
      <c r="J5" s="1">
        <f ca="1">J159*'Total Trip Tables Sup #1'!J5*(1+'Active Mode Assumptions'!J7)</f>
        <v>27.211199915728635</v>
      </c>
      <c r="K5" s="1">
        <f ca="1">K159*'Total Trip Tables Sup #1'!K5*(1+'Active Mode Assumptions'!K7)</f>
        <v>27.201246207279173</v>
      </c>
    </row>
    <row r="6" spans="1:11" x14ac:dyDescent="0.2">
      <c r="A6" t="str">
        <f ca="1">OFFSET(Northland_Reference,7,2)</f>
        <v>Cyclist</v>
      </c>
      <c r="B6" s="4">
        <f ca="1">B160*'Total Trip Tables Sup #1'!B6</f>
        <v>0.66592947719999995</v>
      </c>
      <c r="C6" s="4">
        <f ca="1">C160*'Total Trip Tables Sup #1'!C6*(1+'Active Mode Assumptions'!C16)</f>
        <v>0.70708942722370993</v>
      </c>
      <c r="D6" s="4">
        <f ca="1">D160*'Total Trip Tables Sup #1'!D6*(1+'Active Mode Assumptions'!D16)</f>
        <v>0.72566741021095305</v>
      </c>
      <c r="E6" s="4">
        <f ca="1">E160*'Total Trip Tables Sup #1'!E6*(1+'Active Mode Assumptions'!E16)</f>
        <v>0.73520042863736557</v>
      </c>
      <c r="F6" s="4">
        <f ca="1">F160*'Total Trip Tables Sup #1'!F6*(1+'Active Mode Assumptions'!F16)</f>
        <v>0.74148827306756793</v>
      </c>
      <c r="G6" s="4">
        <f ca="1">G160*'Total Trip Tables Sup #1'!G6*(1+'Active Mode Assumptions'!G16)</f>
        <v>0.74556899554804457</v>
      </c>
      <c r="H6" s="4">
        <f ca="1">H160*'Total Trip Tables Sup #1'!H6*(1+'Active Mode Assumptions'!H16)</f>
        <v>0.7472133837850673</v>
      </c>
      <c r="I6" s="1">
        <f ca="1">I160*'Total Trip Tables Sup #1'!I6*(1+'Active Mode Assumptions'!I16)</f>
        <v>0.75520254846066803</v>
      </c>
      <c r="J6" s="1">
        <f ca="1">J160*'Total Trip Tables Sup #1'!J6*(1+'Active Mode Assumptions'!J16)</f>
        <v>0.76092414411417575</v>
      </c>
      <c r="K6" s="1">
        <f ca="1">K160*'Total Trip Tables Sup #1'!K6*(1+'Active Mode Assumptions'!K16)</f>
        <v>0.76511741911830078</v>
      </c>
    </row>
    <row r="7" spans="1:11" x14ac:dyDescent="0.2">
      <c r="A7" t="str">
        <f ca="1">OFFSET(Northland_Reference,14,2)</f>
        <v>Light Vehicle Driver</v>
      </c>
      <c r="B7" s="4">
        <f ca="1">B161*'Total Trip Tables Sup #1'!B7</f>
        <v>86.333691700000003</v>
      </c>
      <c r="C7" s="4">
        <f ca="1">C161*'Total Trip Tables Sup #1'!C7-(C5*'Active Mode Assumptions'!C7*'Active Mode Assumptions'!C14/(1+'Active Mode Assumptions'!C7))-(C6*'Active Mode Assumptions'!C16*'Active Mode Assumptions'!C23/(1+'Active Mode Assumptions'!C16))</f>
        <v>94.323512862564428</v>
      </c>
      <c r="D7" s="4">
        <f ca="1">D161*'Total Trip Tables Sup #1'!D7-(D5*'Active Mode Assumptions'!D7*'Active Mode Assumptions'!D14/(1+'Active Mode Assumptions'!D7))-(D6*'Active Mode Assumptions'!D16*'Active Mode Assumptions'!D23/(1+'Active Mode Assumptions'!D16))</f>
        <v>99.224584797122461</v>
      </c>
      <c r="E7" s="4">
        <f ca="1">E161*'Total Trip Tables Sup #1'!E7-(E5*'Active Mode Assumptions'!E7*'Active Mode Assumptions'!E14/(1+'Active Mode Assumptions'!E7))-(E6*'Active Mode Assumptions'!E16*'Active Mode Assumptions'!E23/(1+'Active Mode Assumptions'!E16))</f>
        <v>102.16285082648352</v>
      </c>
      <c r="F7" s="4">
        <f ca="1">F161*'Total Trip Tables Sup #1'!F7-(F5*'Active Mode Assumptions'!F7*'Active Mode Assumptions'!F14/(1+'Active Mode Assumptions'!F7))-(F6*'Active Mode Assumptions'!F16*'Active Mode Assumptions'!F23/(1+'Active Mode Assumptions'!F16))</f>
        <v>104.42467110007256</v>
      </c>
      <c r="G7" s="4">
        <f ca="1">G161*'Total Trip Tables Sup #1'!G7-(G5*'Active Mode Assumptions'!G7*'Active Mode Assumptions'!G14/(1+'Active Mode Assumptions'!G7))-(G6*'Active Mode Assumptions'!G16*'Active Mode Assumptions'!G23/(1+'Active Mode Assumptions'!G16))</f>
        <v>105.56521209243985</v>
      </c>
      <c r="H7" s="4">
        <f ca="1">H161*'Total Trip Tables Sup #1'!H7-(H5*'Active Mode Assumptions'!H7*'Active Mode Assumptions'!H14/(1+'Active Mode Assumptions'!H7))-(H6*'Active Mode Assumptions'!H16*'Active Mode Assumptions'!H23/(1+'Active Mode Assumptions'!H16))</f>
        <v>106.14546428745221</v>
      </c>
      <c r="I7" s="1">
        <f ca="1">I161*'Total Trip Tables Sup #1'!I7-(I5*'Active Mode Assumptions'!I7*'Active Mode Assumptions'!I14/(1+'Active Mode Assumptions'!I7))-(I6*'Active Mode Assumptions'!I16*'Active Mode Assumptions'!I23/(1+'Active Mode Assumptions'!I16))</f>
        <v>106.7102929055267</v>
      </c>
      <c r="J7" s="1">
        <f ca="1">J161*'Total Trip Tables Sup #1'!J7-(J5*'Active Mode Assumptions'!J7*'Active Mode Assumptions'!J14/(1+'Active Mode Assumptions'!J7))-(J6*'Active Mode Assumptions'!J16*'Active Mode Assumptions'!J23/(1+'Active Mode Assumptions'!J16))</f>
        <v>106.9369516174403</v>
      </c>
      <c r="K7" s="1">
        <f ca="1">K161*'Total Trip Tables Sup #1'!K7-(K5*'Active Mode Assumptions'!K7*'Active Mode Assumptions'!K14/(1+'Active Mode Assumptions'!K7))-(K6*'Active Mode Assumptions'!K16*'Active Mode Assumptions'!K23/(1+'Active Mode Assumptions'!K16))</f>
        <v>106.93406531728775</v>
      </c>
    </row>
    <row r="8" spans="1:11" x14ac:dyDescent="0.2">
      <c r="A8" t="str">
        <f ca="1">OFFSET(Northland_Reference,21,2)</f>
        <v>Light Vehicle Passenger</v>
      </c>
      <c r="B8" s="4">
        <f ca="1">B162*'Total Trip Tables Sup #1'!B8</f>
        <v>50.299563868000014</v>
      </c>
      <c r="C8" s="4">
        <f ca="1">C162*'Total Trip Tables Sup #1'!C8-(C5*'Active Mode Assumptions'!C7*'Active Mode Assumptions'!C15/(1+'Active Mode Assumptions'!C7))-(C6*'Active Mode Assumptions'!C16*'Active Mode Assumptions'!C24/(1+'Active Mode Assumptions'!C16))</f>
        <v>52.271814460134308</v>
      </c>
      <c r="D8" s="4">
        <f ca="1">D162*'Total Trip Tables Sup #1'!D8-(D5*'Active Mode Assumptions'!D7*'Active Mode Assumptions'!D15/(1+'Active Mode Assumptions'!D7))-(D6*'Active Mode Assumptions'!D16*'Active Mode Assumptions'!D24/(1+'Active Mode Assumptions'!D16))</f>
        <v>53.341990114209182</v>
      </c>
      <c r="E8" s="4">
        <f ca="1">E162*'Total Trip Tables Sup #1'!E8-(E5*'Active Mode Assumptions'!E7*'Active Mode Assumptions'!E15/(1+'Active Mode Assumptions'!E7))-(E6*'Active Mode Assumptions'!E16*'Active Mode Assumptions'!E24/(1+'Active Mode Assumptions'!E16))</f>
        <v>53.803557640951276</v>
      </c>
      <c r="F8" s="4">
        <f ca="1">F162*'Total Trip Tables Sup #1'!F8-(F5*'Active Mode Assumptions'!F7*'Active Mode Assumptions'!F15/(1+'Active Mode Assumptions'!F7))-(F6*'Active Mode Assumptions'!F16*'Active Mode Assumptions'!F24/(1+'Active Mode Assumptions'!F16))</f>
        <v>54.020494878720584</v>
      </c>
      <c r="G8" s="4">
        <f ca="1">G162*'Total Trip Tables Sup #1'!G8-(G5*'Active Mode Assumptions'!G7*'Active Mode Assumptions'!G15/(1+'Active Mode Assumptions'!G7))-(G6*'Active Mode Assumptions'!G16*'Active Mode Assumptions'!G24/(1+'Active Mode Assumptions'!G16))</f>
        <v>53.908797710258426</v>
      </c>
      <c r="H8" s="4">
        <f ca="1">H162*'Total Trip Tables Sup #1'!H8-(H5*'Active Mode Assumptions'!H7*'Active Mode Assumptions'!H15/(1+'Active Mode Assumptions'!H7))-(H6*'Active Mode Assumptions'!H16*'Active Mode Assumptions'!H24/(1+'Active Mode Assumptions'!H16))</f>
        <v>53.454211789270005</v>
      </c>
      <c r="I8" s="1">
        <f ca="1">I162*'Total Trip Tables Sup #1'!I8-(I5*'Active Mode Assumptions'!I7*'Active Mode Assumptions'!I15/(1+'Active Mode Assumptions'!I7))-(I6*'Active Mode Assumptions'!I16*'Active Mode Assumptions'!I24/(1+'Active Mode Assumptions'!I16))</f>
        <v>53.739089559612459</v>
      </c>
      <c r="J8" s="1">
        <f ca="1">J162*'Total Trip Tables Sup #1'!J8-(J5*'Active Mode Assumptions'!J7*'Active Mode Assumptions'!J15/(1+'Active Mode Assumptions'!J7))-(J6*'Active Mode Assumptions'!J16*'Active Mode Assumptions'!J24/(1+'Active Mode Assumptions'!J16))</f>
        <v>53.853454116356446</v>
      </c>
      <c r="K8" s="1">
        <f ca="1">K162*'Total Trip Tables Sup #1'!K8-(K5*'Active Mode Assumptions'!K7*'Active Mode Assumptions'!K15/(1+'Active Mode Assumptions'!K7))-(K6*'Active Mode Assumptions'!K16*'Active Mode Assumptions'!K24/(1+'Active Mode Assumptions'!K16))</f>
        <v>53.852004142613659</v>
      </c>
    </row>
    <row r="9" spans="1:11" x14ac:dyDescent="0.2">
      <c r="A9" t="str">
        <f ca="1">OFFSET(Northland_Reference,28,2)</f>
        <v>Taxi/Vehicle Share</v>
      </c>
      <c r="B9" s="4">
        <f ca="1">B163*'Total Trip Tables Sup #1'!B9</f>
        <v>0.18126348840000001</v>
      </c>
      <c r="C9" s="4">
        <f ca="1">C163*'Total Trip Tables Sup #1'!C9</f>
        <v>0.20697269200172258</v>
      </c>
      <c r="D9" s="4">
        <f ca="1">D163*'Total Trip Tables Sup #1'!D9</f>
        <v>0.22604552489924962</v>
      </c>
      <c r="E9" s="4">
        <f ca="1">E163*'Total Trip Tables Sup #1'!E9</f>
        <v>0.24272451141556703</v>
      </c>
      <c r="F9" s="4">
        <f ca="1">F163*'Total Trip Tables Sup #1'!F9</f>
        <v>0.25653357744205874</v>
      </c>
      <c r="G9" s="4">
        <f ca="1">G163*'Total Trip Tables Sup #1'!G9</f>
        <v>0.26667863753056803</v>
      </c>
      <c r="H9" s="4">
        <f ca="1">H163*'Total Trip Tables Sup #1'!H9</f>
        <v>0.27579902172011866</v>
      </c>
      <c r="I9" s="1">
        <f ca="1">I163*'Total Trip Tables Sup #1'!I9</f>
        <v>0.27682016329207237</v>
      </c>
      <c r="J9" s="1">
        <f ca="1">J163*'Total Trip Tables Sup #1'!J9</f>
        <v>0.27695088738688073</v>
      </c>
      <c r="K9" s="1">
        <f ca="1">K163*'Total Trip Tables Sup #1'!K9</f>
        <v>0.27647691587727941</v>
      </c>
    </row>
    <row r="10" spans="1:11" x14ac:dyDescent="0.2">
      <c r="A10" t="str">
        <f ca="1">OFFSET(Northland_Reference,35,2)</f>
        <v>Motorcyclist</v>
      </c>
      <c r="B10" s="4">
        <f ca="1">B164*'Total Trip Tables Sup #1'!B10</f>
        <v>1.4141085707000001</v>
      </c>
      <c r="C10" s="4">
        <f ca="1">C164*'Total Trip Tables Sup #1'!C10</f>
        <v>1.517308783715819</v>
      </c>
      <c r="D10" s="4">
        <f ca="1">D164*'Total Trip Tables Sup #1'!D10</f>
        <v>1.5709172305795487</v>
      </c>
      <c r="E10" s="4">
        <f ca="1">E164*'Total Trip Tables Sup #1'!E10</f>
        <v>1.5922743321215429</v>
      </c>
      <c r="F10" s="4">
        <f ca="1">F164*'Total Trip Tables Sup #1'!F10</f>
        <v>1.6014283931899078</v>
      </c>
      <c r="G10" s="4">
        <f ca="1">G164*'Total Trip Tables Sup #1'!G10</f>
        <v>1.5809753500732158</v>
      </c>
      <c r="H10" s="4">
        <f ca="1">H164*'Total Trip Tables Sup #1'!H10</f>
        <v>1.5502660663025905</v>
      </c>
      <c r="I10" s="1">
        <f ca="1">I164*'Total Trip Tables Sup #1'!I10</f>
        <v>1.5667277699799675</v>
      </c>
      <c r="J10" s="1">
        <f ca="1">J164*'Total Trip Tables Sup #1'!J10</f>
        <v>1.5783528985038111</v>
      </c>
      <c r="K10" s="1">
        <f ca="1">K164*'Total Trip Tables Sup #1'!K10</f>
        <v>1.5866706799441948</v>
      </c>
    </row>
    <row r="11" spans="1:11" x14ac:dyDescent="0.2">
      <c r="A11" t="str">
        <f ca="1">OFFSET(Auckland_Reference,42,2)</f>
        <v>Local Train</v>
      </c>
      <c r="B11" s="4">
        <f ca="1">B165*'Total Trip Tables Sup #1'!B11</f>
        <v>0</v>
      </c>
      <c r="C11" s="4">
        <f ca="1">C165*'Total Trip Tables Sup #1'!C11</f>
        <v>0</v>
      </c>
      <c r="D11" s="4">
        <f ca="1">D165*'Total Trip Tables Sup #1'!D11</f>
        <v>0</v>
      </c>
      <c r="E11" s="4">
        <f ca="1">E165*'Total Trip Tables Sup #1'!E11</f>
        <v>0</v>
      </c>
      <c r="F11" s="4">
        <f ca="1">F165*'Total Trip Tables Sup #1'!F11</f>
        <v>0</v>
      </c>
      <c r="G11" s="4">
        <f ca="1">G165*'Total Trip Tables Sup #1'!G11</f>
        <v>0</v>
      </c>
      <c r="H11" s="4">
        <f ca="1">H165*'Total Trip Tables Sup #1'!H11</f>
        <v>0</v>
      </c>
      <c r="I11" s="1">
        <f ca="1">I165*'Total Trip Tables Sup #1'!I11</f>
        <v>0</v>
      </c>
      <c r="J11" s="1">
        <f ca="1">J165*'Total Trip Tables Sup #1'!J11</f>
        <v>0</v>
      </c>
      <c r="K11" s="1">
        <f ca="1">K165*'Total Trip Tables Sup #1'!K11</f>
        <v>0</v>
      </c>
    </row>
    <row r="12" spans="1:11" x14ac:dyDescent="0.2">
      <c r="A12" t="str">
        <f ca="1">OFFSET(Northland_Reference,42,2)</f>
        <v>Local Bus</v>
      </c>
      <c r="B12" s="4">
        <f ca="1">B166*'Total Trip Tables Sup #1'!B12</f>
        <v>3.6339219343</v>
      </c>
      <c r="C12" s="4">
        <f ca="1">C166*'Total Trip Tables Sup #1'!C12</f>
        <v>3.6180607448880719</v>
      </c>
      <c r="D12" s="4">
        <f ca="1">D166*'Total Trip Tables Sup #1'!D12</f>
        <v>3.5833015078333657</v>
      </c>
      <c r="E12" s="4">
        <f ca="1">E166*'Total Trip Tables Sup #1'!E12</f>
        <v>3.5674375031380805</v>
      </c>
      <c r="F12" s="4">
        <f ca="1">F166*'Total Trip Tables Sup #1'!F12</f>
        <v>3.5076159782333254</v>
      </c>
      <c r="G12" s="4">
        <f ca="1">G166*'Total Trip Tables Sup #1'!G12</f>
        <v>3.4689512110891929</v>
      </c>
      <c r="H12" s="4">
        <f ca="1">H166*'Total Trip Tables Sup #1'!H12</f>
        <v>3.4098893535825812</v>
      </c>
      <c r="I12" s="1">
        <f ca="1">I166*'Total Trip Tables Sup #1'!I12</f>
        <v>3.4305706833868728</v>
      </c>
      <c r="J12" s="1">
        <f ca="1">J166*'Total Trip Tables Sup #1'!J12</f>
        <v>3.440411902470109</v>
      </c>
      <c r="K12" s="1">
        <f ca="1">K166*'Total Trip Tables Sup #1'!K12</f>
        <v>3.442886415593204</v>
      </c>
    </row>
    <row r="13" spans="1:11" x14ac:dyDescent="0.2">
      <c r="A13" t="str">
        <f ca="1">OFFSET(Northland_Reference,49,2)</f>
        <v>Local Ferry</v>
      </c>
      <c r="B13" s="4">
        <f ca="1">B167*'Total Trip Tables Sup #1'!B13</f>
        <v>4.69171767E-2</v>
      </c>
      <c r="C13" s="4">
        <f ca="1">C167*'Total Trip Tables Sup #1'!C13</f>
        <v>5.2263599163229653E-2</v>
      </c>
      <c r="D13" s="4">
        <f ca="1">D167*'Total Trip Tables Sup #1'!D13</f>
        <v>5.6133444604013746E-2</v>
      </c>
      <c r="E13" s="4">
        <f ca="1">E167*'Total Trip Tables Sup #1'!E13</f>
        <v>5.8838215071844689E-2</v>
      </c>
      <c r="F13" s="4">
        <f ca="1">F167*'Total Trip Tables Sup #1'!F13</f>
        <v>6.0855934108393045E-2</v>
      </c>
      <c r="G13" s="4">
        <f ca="1">G167*'Total Trip Tables Sup #1'!G13</f>
        <v>6.4141797606901349E-2</v>
      </c>
      <c r="H13" s="4">
        <f ca="1">H167*'Total Trip Tables Sup #1'!H13</f>
        <v>6.700102355907897E-2</v>
      </c>
      <c r="I13" s="1">
        <f ca="1">I167*'Total Trip Tables Sup #1'!I13</f>
        <v>6.6271170647843686E-2</v>
      </c>
      <c r="J13" s="1">
        <f ca="1">J167*'Total Trip Tables Sup #1'!J13</f>
        <v>6.5354992843644835E-2</v>
      </c>
      <c r="K13" s="1">
        <f ca="1">K167*'Total Trip Tables Sup #1'!K13</f>
        <v>6.4327178860252757E-2</v>
      </c>
    </row>
    <row r="14" spans="1:11" x14ac:dyDescent="0.2">
      <c r="A14" t="str">
        <f ca="1">OFFSET(Northland_Reference,56,2)</f>
        <v>Other Household Travel</v>
      </c>
      <c r="B14" s="4">
        <f ca="1">B168*'Total Trip Tables Sup #1'!B14</f>
        <v>0.1184310407</v>
      </c>
      <c r="C14" s="4">
        <f ca="1">C168*'Total Trip Tables Sup #1'!C14</f>
        <v>0.12762480187441319</v>
      </c>
      <c r="D14" s="4">
        <f ca="1">D168*'Total Trip Tables Sup #1'!D14</f>
        <v>0.13555957324543855</v>
      </c>
      <c r="E14" s="4">
        <f ca="1">E168*'Total Trip Tables Sup #1'!E14</f>
        <v>0.14332916984424382</v>
      </c>
      <c r="F14" s="4">
        <f ca="1">F168*'Total Trip Tables Sup #1'!F14</f>
        <v>0.1510220227168588</v>
      </c>
      <c r="G14" s="4">
        <f ca="1">G168*'Total Trip Tables Sup #1'!G14</f>
        <v>0.15867767655594017</v>
      </c>
      <c r="H14" s="4">
        <f ca="1">H168*'Total Trip Tables Sup #1'!H14</f>
        <v>0.16501408673799467</v>
      </c>
      <c r="I14" s="1">
        <f ca="1">I168*'Total Trip Tables Sup #1'!I14</f>
        <v>0.16641238660826352</v>
      </c>
      <c r="J14" s="1">
        <f ca="1">J168*'Total Trip Tables Sup #1'!J14</f>
        <v>0.16729272209857612</v>
      </c>
      <c r="K14" s="1">
        <f ca="1">K168*'Total Trip Tables Sup #1'!K14</f>
        <v>0.16782048520558132</v>
      </c>
    </row>
    <row r="15" spans="1:11" x14ac:dyDescent="0.2">
      <c r="A15" t="str">
        <f ca="1">OFFSET(Auckland_Reference,0,0)</f>
        <v>02 AUCKLAND</v>
      </c>
      <c r="I15" s="1"/>
      <c r="J15" s="1"/>
      <c r="K15" s="1"/>
    </row>
    <row r="16" spans="1:11" x14ac:dyDescent="0.2">
      <c r="A16" t="str">
        <f ca="1">OFFSET(Auckland_Reference,0,2)</f>
        <v>Pedestrian</v>
      </c>
      <c r="B16" s="56">
        <f ca="1">(B159*'Total Trip Tables Sup #1'!B16)*(1+'Active Mode Assumptions'!B7)-('PT Assumptions'!B14*'Total Trip Tables Sup #2'!B170+'PT Assumptions'!B26*'Total Trip Tables Sup #2'!B173)</f>
        <v>324.81096006000001</v>
      </c>
      <c r="C16" s="4">
        <f ca="1">(C159*'Total Trip Tables Sup #1'!C16)*(1+'Active Mode Assumptions'!C7)-('PT Assumptions'!C14*'Total Trip Tables Sup #2'!C170+'PT Assumptions'!C26*'Total Trip Tables Sup #2'!C173)</f>
        <v>367.61549139230277</v>
      </c>
      <c r="D16" s="4">
        <f ca="1">(D159*'Total Trip Tables Sup #1'!D16)*(1+'Active Mode Assumptions'!D7)-('PT Assumptions'!D14*'Total Trip Tables Sup #2'!D170+'PT Assumptions'!D26*'Total Trip Tables Sup #2'!D173)</f>
        <v>399.48446553198016</v>
      </c>
      <c r="E16" s="4">
        <f ca="1">(E159*'Total Trip Tables Sup #1'!E16)*(1+'Active Mode Assumptions'!E7)-('PT Assumptions'!E14*'Total Trip Tables Sup #2'!E170+'PT Assumptions'!E26*'Total Trip Tables Sup #2'!E173)</f>
        <v>424.56144013878372</v>
      </c>
      <c r="F16" s="4">
        <f ca="1">(F159*'Total Trip Tables Sup #1'!F16)*(1+'Active Mode Assumptions'!F7)-('PT Assumptions'!F14*'Total Trip Tables Sup #2'!F170+'PT Assumptions'!F26*'Total Trip Tables Sup #2'!F173)</f>
        <v>445.72621644720874</v>
      </c>
      <c r="G16" s="4">
        <f ca="1">(G159*'Total Trip Tables Sup #1'!G16)*(1+'Active Mode Assumptions'!G7)-('PT Assumptions'!G14*'Total Trip Tables Sup #2'!G170+'PT Assumptions'!G26*'Total Trip Tables Sup #2'!G173)</f>
        <v>464.61412576606983</v>
      </c>
      <c r="H16" s="4">
        <f ca="1">(H159*'Total Trip Tables Sup #1'!H16)*(1+'Active Mode Assumptions'!H7)-('PT Assumptions'!H14*'Total Trip Tables Sup #2'!H170+'PT Assumptions'!H26*'Total Trip Tables Sup #2'!H173)</f>
        <v>481.48288894602388</v>
      </c>
      <c r="I16" s="1">
        <f ca="1">(I159*'Total Trip Tables Sup #1'!I16)*(1+'Active Mode Assumptions'!I7)-('PT Assumptions'!I14*'Total Trip Tables Sup #2'!I170+'PT Assumptions'!I26*'Total Trip Tables Sup #2'!I173)</f>
        <v>502.11116124705137</v>
      </c>
      <c r="J16" s="1">
        <f ca="1">(J159*'Total Trip Tables Sup #1'!J16)*(1+'Active Mode Assumptions'!J7)-('PT Assumptions'!J14*'Total Trip Tables Sup #2'!J170+'PT Assumptions'!J26*'Total Trip Tables Sup #2'!J173)</f>
        <v>521.95088721304728</v>
      </c>
      <c r="K16" s="1">
        <f ca="1">(K159*'Total Trip Tables Sup #1'!K16)*(1+'Active Mode Assumptions'!K7)-('PT Assumptions'!K14*'Total Trip Tables Sup #2'!K170+'PT Assumptions'!K26*'Total Trip Tables Sup #2'!K173)</f>
        <v>541.39440262167329</v>
      </c>
    </row>
    <row r="17" spans="1:11" x14ac:dyDescent="0.2">
      <c r="A17" t="str">
        <f ca="1">OFFSET(Auckland_Reference,7,2)</f>
        <v>Cyclist</v>
      </c>
      <c r="B17" s="56">
        <f ca="1">(B160*'Total Trip Tables Sup #1'!B17)*(1+'Active Mode Assumptions'!B16)-('PT Assumptions'!B15*'Total Trip Tables Sup #2'!B170+'PT Assumptions'!B27*'Total Trip Tables Sup #2'!B173)</f>
        <v>7.0506319707999996</v>
      </c>
      <c r="C17" s="4">
        <f ca="1">(C160*'Total Trip Tables Sup #1'!C17)*(1+'Active Mode Assumptions'!C16)-('PT Assumptions'!C15*'Total Trip Tables Sup #2'!C170+'PT Assumptions'!C27*'Total Trip Tables Sup #2'!C173)</f>
        <v>7.9710179298493253</v>
      </c>
      <c r="D17" s="4">
        <f ca="1">(D160*'Total Trip Tables Sup #1'!D17)*(1+'Active Mode Assumptions'!D16)-('PT Assumptions'!D15*'Total Trip Tables Sup #2'!D170+'PT Assumptions'!D27*'Total Trip Tables Sup #2'!D173)</f>
        <v>8.5960720753262656</v>
      </c>
      <c r="E17" s="4">
        <f ca="1">(E160*'Total Trip Tables Sup #1'!E17)*(1+'Active Mode Assumptions'!E16)-('PT Assumptions'!E15*'Total Trip Tables Sup #2'!E170+'PT Assumptions'!E27*'Total Trip Tables Sup #2'!E173)</f>
        <v>9.0597119045104666</v>
      </c>
      <c r="F17" s="4">
        <f ca="1">(F160*'Total Trip Tables Sup #1'!F17)*(1+'Active Mode Assumptions'!F16)-('PT Assumptions'!F15*'Total Trip Tables Sup #2'!F170+'PT Assumptions'!F27*'Total Trip Tables Sup #2'!F173)</f>
        <v>9.5004218868017869</v>
      </c>
      <c r="G17" s="4">
        <f ca="1">(G160*'Total Trip Tables Sup #1'!G17)*(1+'Active Mode Assumptions'!G16)-('PT Assumptions'!G15*'Total Trip Tables Sup #2'!G170+'PT Assumptions'!G27*'Total Trip Tables Sup #2'!G173)</f>
        <v>9.9194329076852803</v>
      </c>
      <c r="H17" s="4">
        <f ca="1">(H160*'Total Trip Tables Sup #1'!H17)*(1+'Active Mode Assumptions'!H16)-('PT Assumptions'!H15*'Total Trip Tables Sup #2'!H170+'PT Assumptions'!H27*'Total Trip Tables Sup #2'!H173)</f>
        <v>10.319597491555546</v>
      </c>
      <c r="I17" s="1">
        <f ca="1">(I160*'Total Trip Tables Sup #1'!I17)*(1+'Active Mode Assumptions'!I16)-('PT Assumptions'!I15*'Total Trip Tables Sup #2'!I170+'PT Assumptions'!I27*'Total Trip Tables Sup #2'!I173)</f>
        <v>10.826813960826335</v>
      </c>
      <c r="J17" s="1">
        <f ca="1">(J160*'Total Trip Tables Sup #1'!J17)*(1+'Active Mode Assumptions'!J16)-('PT Assumptions'!J15*'Total Trip Tables Sup #2'!J170+'PT Assumptions'!J27*'Total Trip Tables Sup #2'!J173)</f>
        <v>11.323943746872697</v>
      </c>
      <c r="K17" s="1">
        <f ca="1">(K160*'Total Trip Tables Sup #1'!K17)*(1+'Active Mode Assumptions'!K16)-('PT Assumptions'!K15*'Total Trip Tables Sup #2'!K170+'PT Assumptions'!K27*'Total Trip Tables Sup #2'!K173)</f>
        <v>11.819620691921191</v>
      </c>
    </row>
    <row r="18" spans="1:11" x14ac:dyDescent="0.2">
      <c r="A18" t="str">
        <f ca="1">OFFSET(Auckland_Reference,14,2)</f>
        <v>Light Vehicle Driver</v>
      </c>
      <c r="B18" s="56">
        <f ca="1">(B161*'Total Trip Tables Sup #1'!B18-'PT Assumptions'!B16*'Total Trip Tables Sup #2'!B170-'PT Assumptions'!B28*'Total Trip Tables Sup #2'!B173)-(B159*'Total Trip Tables Sup #1'!B16)*'Active Mode Assumptions'!B7*'Active Mode Assumptions'!B14-(B160*'Total Trip Tables Sup #1'!B17)*'Active Mode Assumptions'!B16*'Active Mode Assumptions'!B23</f>
        <v>981.24355252999999</v>
      </c>
      <c r="C18" s="4">
        <f ca="1">(C161*'Total Trip Tables Sup #1'!C18-'PT Assumptions'!C16*'Total Trip Tables Sup #2'!C170-'PT Assumptions'!C28*'Total Trip Tables Sup #2'!C173)-(C159*'Total Trip Tables Sup #1'!C16)*'Active Mode Assumptions'!C7*'Active Mode Assumptions'!C14-(C160*'Total Trip Tables Sup #1'!C17)*'Active Mode Assumptions'!C16*'Active Mode Assumptions'!C23</f>
        <v>1136.1685532657011</v>
      </c>
      <c r="D18" s="4">
        <f ca="1">(D161*'Total Trip Tables Sup #1'!D18-'PT Assumptions'!D16*'Total Trip Tables Sup #2'!D170-'PT Assumptions'!D28*'Total Trip Tables Sup #2'!D173)-(D159*'Total Trip Tables Sup #1'!D16)*'Active Mode Assumptions'!D7*'Active Mode Assumptions'!D14-(D160*'Total Trip Tables Sup #1'!D17)*'Active Mode Assumptions'!D16*'Active Mode Assumptions'!D23</f>
        <v>1250.4200862826428</v>
      </c>
      <c r="E18" s="4">
        <f ca="1">(E161*'Total Trip Tables Sup #1'!E18-'PT Assumptions'!E16*'Total Trip Tables Sup #2'!E170-'PT Assumptions'!E28*'Total Trip Tables Sup #2'!E173)-(E159*'Total Trip Tables Sup #1'!E16)*'Active Mode Assumptions'!E7*'Active Mode Assumptions'!E14-(E160*'Total Trip Tables Sup #1'!E17)*'Active Mode Assumptions'!E16*'Active Mode Assumptions'!E23</f>
        <v>1334.3407960220827</v>
      </c>
      <c r="F18" s="4">
        <f ca="1">(F161*'Total Trip Tables Sup #1'!F18-'PT Assumptions'!F16*'Total Trip Tables Sup #2'!F170-'PT Assumptions'!F28*'Total Trip Tables Sup #2'!F173)-(F159*'Total Trip Tables Sup #1'!F16)*'Active Mode Assumptions'!F7*'Active Mode Assumptions'!F14-(F160*'Total Trip Tables Sup #1'!F17)*'Active Mode Assumptions'!F16*'Active Mode Assumptions'!F23</f>
        <v>1415.1335198198933</v>
      </c>
      <c r="G18" s="4">
        <f ca="1">(G161*'Total Trip Tables Sup #1'!G18-'PT Assumptions'!G16*'Total Trip Tables Sup #2'!G170-'PT Assumptions'!G28*'Total Trip Tables Sup #2'!G173)-(G159*'Total Trip Tables Sup #1'!G16)*'Active Mode Assumptions'!G7*'Active Mode Assumptions'!G14-(G160*'Total Trip Tables Sup #1'!G17)*'Active Mode Assumptions'!G16*'Active Mode Assumptions'!G23</f>
        <v>1482.4223028905419</v>
      </c>
      <c r="H18" s="4">
        <f ca="1">(H161*'Total Trip Tables Sup #1'!H18-'PT Assumptions'!H16*'Total Trip Tables Sup #2'!H170-'PT Assumptions'!H28*'Total Trip Tables Sup #2'!H173)-(H159*'Total Trip Tables Sup #1'!H16)*'Active Mode Assumptions'!H7*'Active Mode Assumptions'!H14-(H160*'Total Trip Tables Sup #1'!H17)*'Active Mode Assumptions'!H16*'Active Mode Assumptions'!H23</f>
        <v>1544.0608529679112</v>
      </c>
      <c r="I18" s="1">
        <f ca="1">(I161*'Total Trip Tables Sup #1'!I18-'PT Assumptions'!I16*'Total Trip Tables Sup #2'!I170-'PT Assumptions'!I28*'Total Trip Tables Sup #2'!I173)-(I159*'Total Trip Tables Sup #1'!I16)*'Active Mode Assumptions'!I7*'Active Mode Assumptions'!I14-(I160*'Total Trip Tables Sup #1'!I17)*'Active Mode Assumptions'!I16*'Active Mode Assumptions'!I23</f>
        <v>1608.731065025243</v>
      </c>
      <c r="J18" s="1">
        <f ca="1">(J161*'Total Trip Tables Sup #1'!J18-'PT Assumptions'!J16*'Total Trip Tables Sup #2'!J170-'PT Assumptions'!J28*'Total Trip Tables Sup #2'!J173)-(J159*'Total Trip Tables Sup #1'!J16)*'Active Mode Assumptions'!J7*'Active Mode Assumptions'!J14-(J160*'Total Trip Tables Sup #1'!J17)*'Active Mode Assumptions'!J16*'Active Mode Assumptions'!J23</f>
        <v>1670.6216976665366</v>
      </c>
      <c r="K18" s="1">
        <f ca="1">(K161*'Total Trip Tables Sup #1'!K18-'PT Assumptions'!K16*'Total Trip Tables Sup #2'!K170-'PT Assumptions'!K28*'Total Trip Tables Sup #2'!K173)-(K159*'Total Trip Tables Sup #1'!K16)*'Active Mode Assumptions'!K7*'Active Mode Assumptions'!K14-(K160*'Total Trip Tables Sup #1'!K17)*'Active Mode Assumptions'!K16*'Active Mode Assumptions'!K23</f>
        <v>1730.8650587396285</v>
      </c>
    </row>
    <row r="19" spans="1:11" x14ac:dyDescent="0.2">
      <c r="A19" t="str">
        <f ca="1">OFFSET(Auckland_Reference,21,2)</f>
        <v>Light Vehicle Passenger</v>
      </c>
      <c r="B19" s="56">
        <f ca="1">(B162*'Total Trip Tables Sup #1'!B19-'PT Assumptions'!B17*'Total Trip Tables Sup #2'!B170-'PT Assumptions'!B29*'Total Trip Tables Sup #2'!B173)-(B159*'Total Trip Tables Sup #1'!B16)*'Active Mode Assumptions'!B7*'Active Mode Assumptions'!B15-(B160*'Total Trip Tables Sup #1'!B17)*'Active Mode Assumptions'!B16*'Active Mode Assumptions'!B24</f>
        <v>488.06073575000011</v>
      </c>
      <c r="C19" s="4">
        <f ca="1">(C162*'Total Trip Tables Sup #1'!C19-'PT Assumptions'!C17*'Total Trip Tables Sup #2'!C170-'PT Assumptions'!C29*'Total Trip Tables Sup #2'!C173)-(C159*'Total Trip Tables Sup #1'!C16)*'Active Mode Assumptions'!C7*'Active Mode Assumptions'!C15-(C160*'Total Trip Tables Sup #1'!C17)*'Active Mode Assumptions'!C16*'Active Mode Assumptions'!C24</f>
        <v>534.74934501456414</v>
      </c>
      <c r="D19" s="4">
        <f ca="1">(D162*'Total Trip Tables Sup #1'!D19-'PT Assumptions'!D17*'Total Trip Tables Sup #2'!D170-'PT Assumptions'!D29*'Total Trip Tables Sup #2'!D173)-(D159*'Total Trip Tables Sup #1'!D16)*'Active Mode Assumptions'!D7*'Active Mode Assumptions'!D15-(D160*'Total Trip Tables Sup #1'!D17)*'Active Mode Assumptions'!D16*'Active Mode Assumptions'!D24</f>
        <v>567.73915608481798</v>
      </c>
      <c r="E19" s="4">
        <f ca="1">(E162*'Total Trip Tables Sup #1'!E19-'PT Assumptions'!E17*'Total Trip Tables Sup #2'!E170-'PT Assumptions'!E29*'Total Trip Tables Sup #2'!E173)-(E159*'Total Trip Tables Sup #1'!E16)*'Active Mode Assumptions'!E7*'Active Mode Assumptions'!E15-(E160*'Total Trip Tables Sup #1'!E17)*'Active Mode Assumptions'!E16*'Active Mode Assumptions'!E24</f>
        <v>590.512298912088</v>
      </c>
      <c r="F19" s="4">
        <f ca="1">(F162*'Total Trip Tables Sup #1'!F19-'PT Assumptions'!F17*'Total Trip Tables Sup #2'!F170-'PT Assumptions'!F29*'Total Trip Tables Sup #2'!F173)-(F159*'Total Trip Tables Sup #1'!F16)*'Active Mode Assumptions'!F7*'Active Mode Assumptions'!F15-(F160*'Total Trip Tables Sup #1'!F17)*'Active Mode Assumptions'!F16*'Active Mode Assumptions'!F24</f>
        <v>613.17377687396674</v>
      </c>
      <c r="G19" s="4">
        <f ca="1">(G162*'Total Trip Tables Sup #1'!G19-'PT Assumptions'!G17*'Total Trip Tables Sup #2'!G170-'PT Assumptions'!G29*'Total Trip Tables Sup #2'!G173)-(G159*'Total Trip Tables Sup #1'!G16)*'Active Mode Assumptions'!G7*'Active Mode Assumptions'!G15-(G160*'Total Trip Tables Sup #1'!G17)*'Active Mode Assumptions'!G16*'Active Mode Assumptions'!G24</f>
        <v>632.02413649441246</v>
      </c>
      <c r="H19" s="4">
        <f ca="1">(H162*'Total Trip Tables Sup #1'!H19-'PT Assumptions'!H17*'Total Trip Tables Sup #2'!H170-'PT Assumptions'!H29*'Total Trip Tables Sup #2'!H173)-(H159*'Total Trip Tables Sup #1'!H16)*'Active Mode Assumptions'!H7*'Active Mode Assumptions'!H15-(H160*'Total Trip Tables Sup #1'!H17)*'Active Mode Assumptions'!H16*'Active Mode Assumptions'!H24</f>
        <v>646.94703802091215</v>
      </c>
      <c r="I19" s="1">
        <f ca="1">(I162*'Total Trip Tables Sup #1'!I19-'PT Assumptions'!I17*'Total Trip Tables Sup #2'!I170-'PT Assumptions'!I29*'Total Trip Tables Sup #2'!I173)-(I159*'Total Trip Tables Sup #1'!I16)*'Active Mode Assumptions'!I7*'Active Mode Assumptions'!I15-(I160*'Total Trip Tables Sup #1'!I17)*'Active Mode Assumptions'!I16*'Active Mode Assumptions'!I24</f>
        <v>672.53053047412925</v>
      </c>
      <c r="J19" s="1">
        <f ca="1">(J162*'Total Trip Tables Sup #1'!J19-'PT Assumptions'!J17*'Total Trip Tables Sup #2'!J170-'PT Assumptions'!J29*'Total Trip Tables Sup #2'!J173)-(J159*'Total Trip Tables Sup #1'!J16)*'Active Mode Assumptions'!J7*'Active Mode Assumptions'!J15-(J160*'Total Trip Tables Sup #1'!J17)*'Active Mode Assumptions'!J16*'Active Mode Assumptions'!J24</f>
        <v>696.73564136946698</v>
      </c>
      <c r="K19" s="1">
        <f ca="1">(K162*'Total Trip Tables Sup #1'!K19-'PT Assumptions'!K17*'Total Trip Tables Sup #2'!K170-'PT Assumptions'!K29*'Total Trip Tables Sup #2'!K173)-(K159*'Total Trip Tables Sup #1'!K16)*'Active Mode Assumptions'!K7*'Active Mode Assumptions'!K15-(K160*'Total Trip Tables Sup #1'!K17)*'Active Mode Assumptions'!K16*'Active Mode Assumptions'!K24</f>
        <v>719.94802253144951</v>
      </c>
    </row>
    <row r="20" spans="1:11" x14ac:dyDescent="0.2">
      <c r="A20" t="str">
        <f ca="1">OFFSET(Auckland_Reference,28,2)</f>
        <v>Taxi/Vehicle Share</v>
      </c>
      <c r="B20" s="56">
        <f ca="1">B163*'Total Trip Tables Sup #1'!B20</f>
        <v>6.0232688673999997</v>
      </c>
      <c r="C20" s="4">
        <f ca="1">C163*'Total Trip Tables Sup #1'!C20</f>
        <v>7.3227566216956212</v>
      </c>
      <c r="D20" s="4">
        <f ca="1">D163*'Total Trip Tables Sup #1'!D20</f>
        <v>8.4038917920381255</v>
      </c>
      <c r="E20" s="4">
        <f ca="1">E163*'Total Trip Tables Sup #1'!E20</f>
        <v>9.387379618852945</v>
      </c>
      <c r="F20" s="4">
        <f ca="1">F163*'Total Trip Tables Sup #1'!F20</f>
        <v>10.315847932204221</v>
      </c>
      <c r="G20" s="4">
        <f ca="1">G163*'Total Trip Tables Sup #1'!G20</f>
        <v>11.13549024120419</v>
      </c>
      <c r="H20" s="4">
        <f ca="1">H163*'Total Trip Tables Sup #1'!H20</f>
        <v>11.954542126132344</v>
      </c>
      <c r="I20" s="1">
        <f ca="1">I163*'Total Trip Tables Sup #1'!I20</f>
        <v>12.455382160070359</v>
      </c>
      <c r="J20" s="1">
        <f ca="1">J163*'Total Trip Tables Sup #1'!J20</f>
        <v>12.935440097325273</v>
      </c>
      <c r="K20" s="1">
        <f ca="1">K163*'Total Trip Tables Sup #1'!K20</f>
        <v>13.404679532632079</v>
      </c>
    </row>
    <row r="21" spans="1:11" x14ac:dyDescent="0.2">
      <c r="A21" t="str">
        <f ca="1">OFFSET(Auckland_Reference,35,2)</f>
        <v>Motorcyclist</v>
      </c>
      <c r="B21" s="56">
        <f ca="1">B164*'Total Trip Tables Sup #1'!B21</f>
        <v>4.1170216905999997</v>
      </c>
      <c r="C21" s="4">
        <f ca="1">C164*'Total Trip Tables Sup #1'!C21</f>
        <v>4.703422673640727</v>
      </c>
      <c r="D21" s="4">
        <f ca="1">D164*'Total Trip Tables Sup #1'!D21</f>
        <v>5.1170107121785131</v>
      </c>
      <c r="E21" s="4">
        <f ca="1">E164*'Total Trip Tables Sup #1'!E21</f>
        <v>5.3954431894724442</v>
      </c>
      <c r="F21" s="4">
        <f ca="1">F164*'Total Trip Tables Sup #1'!F21</f>
        <v>5.6421772152360985</v>
      </c>
      <c r="G21" s="4">
        <f ca="1">G164*'Total Trip Tables Sup #1'!G21</f>
        <v>5.7839522279522875</v>
      </c>
      <c r="H21" s="4">
        <f ca="1">H164*'Total Trip Tables Sup #1'!H21</f>
        <v>5.8874190786854221</v>
      </c>
      <c r="I21" s="1">
        <f ca="1">I164*'Total Trip Tables Sup #1'!I21</f>
        <v>6.1763423791381085</v>
      </c>
      <c r="J21" s="1">
        <f ca="1">J164*'Total Trip Tables Sup #1'!J21</f>
        <v>6.4589369463010611</v>
      </c>
      <c r="K21" s="1">
        <f ca="1">K164*'Total Trip Tables Sup #1'!K21</f>
        <v>6.7400456902187793</v>
      </c>
    </row>
    <row r="22" spans="1:11" x14ac:dyDescent="0.2">
      <c r="A22" t="str">
        <f ca="1">OFFSET(Auckland_Reference,42,2)</f>
        <v>Local Train</v>
      </c>
      <c r="B22" s="56">
        <f ca="1" xml:space="preserve"> 'Total Trip Tables Sup #1'!B22*(1+'PT Assumptions'!B7)</f>
        <v>10.038805999999999</v>
      </c>
      <c r="C22" s="4">
        <f ca="1" xml:space="preserve"> 'Total Trip Tables Sup #1'!C22*(1+'PT Assumptions'!C7)</f>
        <v>23.030051148231347</v>
      </c>
      <c r="D22" s="4">
        <f ca="1" xml:space="preserve"> 'Total Trip Tables Sup #1'!D22*(1+'PT Assumptions'!D7)</f>
        <v>40.204551889388078</v>
      </c>
      <c r="E22" s="4">
        <f ca="1" xml:space="preserve"> 'Total Trip Tables Sup #1'!E22*(1+'PT Assumptions'!E7)</f>
        <v>57.379052630544813</v>
      </c>
      <c r="F22" s="4">
        <f ca="1" xml:space="preserve"> 'Total Trip Tables Sup #1'!F22*(1+'PT Assumptions'!F7)</f>
        <v>65.919788123534445</v>
      </c>
      <c r="G22" s="4">
        <f ca="1" xml:space="preserve"> 'Total Trip Tables Sup #1'!G22*(1+'PT Assumptions'!G7)</f>
        <v>74.460523616524071</v>
      </c>
      <c r="H22" s="4">
        <f ca="1" xml:space="preserve"> 'Total Trip Tables Sup #1'!H22*(1+'PT Assumptions'!H7)</f>
        <v>83.001259109513697</v>
      </c>
      <c r="I22" s="1">
        <f ca="1" xml:space="preserve"> 'Total Trip Tables Sup #1'!I22*(1+'PT Assumptions'!I7)</f>
        <v>91.541994602503323</v>
      </c>
      <c r="J22" s="1">
        <f ca="1" xml:space="preserve"> 'Total Trip Tables Sup #1'!J22*(1+'PT Assumptions'!J7)</f>
        <v>100.58245310451453</v>
      </c>
      <c r="K22" s="1">
        <f ca="1" xml:space="preserve"> 'Total Trip Tables Sup #1'!K22*(1+'PT Assumptions'!K7)</f>
        <v>110.51572468408075</v>
      </c>
    </row>
    <row r="23" spans="1:11" x14ac:dyDescent="0.2">
      <c r="A23" t="str">
        <f ca="1">OFFSET(Auckland_Reference,49,2)</f>
        <v>Local Bus</v>
      </c>
      <c r="B23" s="56">
        <f ca="1" xml:space="preserve"> 'Total Trip Tables Sup #1'!B23*(1+'PT Assumptions'!B19)</f>
        <v>53.530078000000003</v>
      </c>
      <c r="C23" s="4">
        <f ca="1" xml:space="preserve"> 'Total Trip Tables Sup #1'!C23*(1+'PT Assumptions'!C19)</f>
        <v>64.26598828507818</v>
      </c>
      <c r="D23" s="4">
        <f ca="1" xml:space="preserve"> 'Total Trip Tables Sup #1'!D23*(1+'PT Assumptions'!D19)</f>
        <v>72.108264710469086</v>
      </c>
      <c r="E23" s="4">
        <f ca="1" xml:space="preserve"> 'Total Trip Tables Sup #1'!E23*(1+'PT Assumptions'!E19)</f>
        <v>79.950541135859993</v>
      </c>
      <c r="F23" s="4">
        <f ca="1" xml:space="preserve"> 'Total Trip Tables Sup #1'!F23*(1+'PT Assumptions'!F19)</f>
        <v>87.877894843709996</v>
      </c>
      <c r="G23" s="4">
        <f ca="1" xml:space="preserve"> 'Total Trip Tables Sup #1'!G23*(1+'PT Assumptions'!G19)</f>
        <v>95.805248551559998</v>
      </c>
      <c r="H23" s="4">
        <f ca="1" xml:space="preserve"> 'Total Trip Tables Sup #1'!H23*(1+'PT Assumptions'!H19)</f>
        <v>103.73260225940999</v>
      </c>
      <c r="I23" s="1">
        <f ca="1" xml:space="preserve"> 'Total Trip Tables Sup #1'!I23*(1+'PT Assumptions'!I19)</f>
        <v>111.65995596725999</v>
      </c>
      <c r="J23" s="1">
        <f ca="1" xml:space="preserve"> 'Total Trip Tables Sup #1'!J23*(1+'PT Assumptions'!J19)</f>
        <v>119.93650742298864</v>
      </c>
      <c r="K23" s="1">
        <f ca="1" xml:space="preserve"> 'Total Trip Tables Sup #1'!K23*(1+'PT Assumptions'!K19)</f>
        <v>128.82654025980801</v>
      </c>
    </row>
    <row r="24" spans="1:11" x14ac:dyDescent="0.2">
      <c r="A24" t="str">
        <f ca="1">OFFSET(Auckland_Reference,56,2)</f>
        <v>Local Ferry</v>
      </c>
      <c r="B24" s="56">
        <f ca="1">B167*'Total Trip Tables Sup #1'!B24*(1+'PT Assumptions'!B30)</f>
        <v>4.957052</v>
      </c>
      <c r="C24" s="4">
        <f ca="1">C167*'Total Trip Tables Sup #1'!C24*(1+'PT Assumptions'!C30)</f>
        <v>5.8793667899714759</v>
      </c>
      <c r="D24" s="4">
        <f ca="1">D167*'Total Trip Tables Sup #1'!D24*(1+'PT Assumptions'!D30)</f>
        <v>6.6355346336977679</v>
      </c>
      <c r="E24" s="4">
        <f ca="1">E167*'Total Trip Tables Sup #1'!E24*(1+'PT Assumptions'!E30)</f>
        <v>7.2353563138551857</v>
      </c>
      <c r="F24" s="4">
        <f ca="1">F167*'Total Trip Tables Sup #1'!F24*(1+'PT Assumptions'!F30)</f>
        <v>7.7809627400979959</v>
      </c>
      <c r="G24" s="4">
        <f ca="1">G167*'Total Trip Tables Sup #1'!G24*(1+'PT Assumptions'!G30)</f>
        <v>8.5159269977960808</v>
      </c>
      <c r="H24" s="4">
        <f ca="1">H167*'Total Trip Tables Sup #1'!H24*(1+'PT Assumptions'!H30)</f>
        <v>9.2340314944802184</v>
      </c>
      <c r="I24" s="1">
        <f ca="1">I167*'Total Trip Tables Sup #1'!I24*(1+'PT Assumptions'!I30)</f>
        <v>9.480989546176664</v>
      </c>
      <c r="J24" s="1">
        <f ca="1">J167*'Total Trip Tables Sup #1'!J24*(1+'PT Assumptions'!J30)</f>
        <v>9.705701005093573</v>
      </c>
      <c r="K24" s="1">
        <f ca="1">K167*'Total Trip Tables Sup #1'!K24*(1+'PT Assumptions'!K30)</f>
        <v>9.9165762033681695</v>
      </c>
    </row>
    <row r="25" spans="1:11" x14ac:dyDescent="0.2">
      <c r="A25" t="str">
        <f ca="1">OFFSET(Auckland_Reference,63,2)</f>
        <v>Other Household Travel</v>
      </c>
      <c r="B25" s="56">
        <f ca="1">B168*'Total Trip Tables Sup #1'!B25</f>
        <v>2.2145179384000002</v>
      </c>
      <c r="C25" s="4">
        <f ca="1">C168*'Total Trip Tables Sup #1'!C25</f>
        <v>2.5409046832373572</v>
      </c>
      <c r="D25" s="4">
        <f ca="1">D168*'Total Trip Tables Sup #1'!D25</f>
        <v>2.8360016042532763</v>
      </c>
      <c r="E25" s="4">
        <f ca="1">E168*'Total Trip Tables Sup #1'!E25</f>
        <v>3.119299471570995</v>
      </c>
      <c r="F25" s="4">
        <f ca="1">F168*'Total Trip Tables Sup #1'!F25</f>
        <v>3.4173757837401864</v>
      </c>
      <c r="G25" s="4">
        <f ca="1">G168*'Total Trip Tables Sup #1'!G25</f>
        <v>3.7284531271981249</v>
      </c>
      <c r="H25" s="4">
        <f ca="1">H168*'Total Trip Tables Sup #1'!H25</f>
        <v>4.0248804625826562</v>
      </c>
      <c r="I25" s="1">
        <f ca="1">I168*'Total Trip Tables Sup #1'!I25</f>
        <v>4.2134391551922921</v>
      </c>
      <c r="J25" s="1">
        <f ca="1">J168*'Total Trip Tables Sup #1'!J25</f>
        <v>4.3969065652266037</v>
      </c>
      <c r="K25" s="1">
        <f ca="1">K168*'Total Trip Tables Sup #1'!K25</f>
        <v>4.5786165403755481</v>
      </c>
    </row>
    <row r="26" spans="1:11" x14ac:dyDescent="0.2">
      <c r="A26" t="str">
        <f ca="1">OFFSET(Waikato_Reference,0,0)</f>
        <v>03 WAIKATO</v>
      </c>
      <c r="I26" s="1"/>
      <c r="J26" s="1"/>
      <c r="K26" s="1"/>
    </row>
    <row r="27" spans="1:11" x14ac:dyDescent="0.2">
      <c r="A27" t="str">
        <f ca="1">OFFSET(Waikato_Reference,0,2)</f>
        <v>Pedestrian</v>
      </c>
      <c r="B27" s="4">
        <f ca="1">B159*'Total Trip Tables Sup #1'!B27</f>
        <v>68.689195601999998</v>
      </c>
      <c r="C27" s="4">
        <f ca="1">C159*'Total Trip Tables Sup #1'!C27*(1+'Active Mode Assumptions'!C7)</f>
        <v>75.199698333214869</v>
      </c>
      <c r="D27" s="4">
        <f ca="1">D159*'Total Trip Tables Sup #1'!D27*(1+'Active Mode Assumptions'!D7)</f>
        <v>78.962942265794666</v>
      </c>
      <c r="E27" s="4">
        <f ca="1">E159*'Total Trip Tables Sup #1'!E27*(1+'Active Mode Assumptions'!E7)</f>
        <v>81.790467902858467</v>
      </c>
      <c r="F27" s="4">
        <f ca="1">F159*'Total Trip Tables Sup #1'!F27*(1+'Active Mode Assumptions'!F7)</f>
        <v>83.847207129414244</v>
      </c>
      <c r="G27" s="4">
        <f ca="1">G159*'Total Trip Tables Sup #1'!G27*(1+'Active Mode Assumptions'!G7)</f>
        <v>85.503927715463945</v>
      </c>
      <c r="H27" s="4">
        <f ca="1">H159*'Total Trip Tables Sup #1'!H27*(1+'Active Mode Assumptions'!H7)</f>
        <v>86.809020588934274</v>
      </c>
      <c r="I27" s="1">
        <f ca="1">I159*'Total Trip Tables Sup #1'!I27*(1+'Active Mode Assumptions'!I7)</f>
        <v>88.675639681601126</v>
      </c>
      <c r="J27" s="1">
        <f ca="1">J159*'Total Trip Tables Sup #1'!J27*(1+'Active Mode Assumptions'!J7)</f>
        <v>90.295180145332736</v>
      </c>
      <c r="K27" s="1">
        <f ca="1">K159*'Total Trip Tables Sup #1'!K27*(1+'Active Mode Assumptions'!K7)</f>
        <v>91.747774824073801</v>
      </c>
    </row>
    <row r="28" spans="1:11" x14ac:dyDescent="0.2">
      <c r="A28" t="str">
        <f ca="1">OFFSET(Waikato_Reference,7,2)</f>
        <v>Cyclist</v>
      </c>
      <c r="B28" s="4">
        <f ca="1">B160*'Total Trip Tables Sup #1'!B28</f>
        <v>5.8956498267999997</v>
      </c>
      <c r="C28" s="4">
        <f ca="1">C160*'Total Trip Tables Sup #1'!C28*(1+'Active Mode Assumptions'!C16)</f>
        <v>6.4422099213567634</v>
      </c>
      <c r="D28" s="4">
        <f ca="1">D160*'Total Trip Tables Sup #1'!D28*(1+'Active Mode Assumptions'!D16)</f>
        <v>6.7093332254392983</v>
      </c>
      <c r="E28" s="4">
        <f ca="1">E160*'Total Trip Tables Sup #1'!E28*(1+'Active Mode Assumptions'!E16)</f>
        <v>6.8889161037804989</v>
      </c>
      <c r="F28" s="4">
        <f ca="1">F160*'Total Trip Tables Sup #1'!F28*(1+'Active Mode Assumptions'!F16)</f>
        <v>7.0504658403139473</v>
      </c>
      <c r="G28" s="4">
        <f ca="1">G160*'Total Trip Tables Sup #1'!G28*(1+'Active Mode Assumptions'!G16)</f>
        <v>7.1982056947920894</v>
      </c>
      <c r="H28" s="4">
        <f ca="1">H160*'Total Trip Tables Sup #1'!H28*(1+'Active Mode Assumptions'!H16)</f>
        <v>7.3328182077407336</v>
      </c>
      <c r="I28" s="1">
        <f ca="1">I160*'Total Trip Tables Sup #1'!I28*(1+'Active Mode Assumptions'!I16)</f>
        <v>7.5332015271036443</v>
      </c>
      <c r="J28" s="1">
        <f ca="1">J160*'Total Trip Tables Sup #1'!J28*(1+'Active Mode Assumptions'!J16)</f>
        <v>7.7152031545520616</v>
      </c>
      <c r="K28" s="1">
        <f ca="1">K160*'Total Trip Tables Sup #1'!K28*(1+'Active Mode Assumptions'!K16)</f>
        <v>7.8854040961746739</v>
      </c>
    </row>
    <row r="29" spans="1:11" x14ac:dyDescent="0.2">
      <c r="A29" t="str">
        <f ca="1">OFFSET(Waikato_Reference,14,2)</f>
        <v>Light Vehicle Driver</v>
      </c>
      <c r="B29" s="4">
        <f ca="1">B161*'Total Trip Tables Sup #1'!B29</f>
        <v>305.41478153000003</v>
      </c>
      <c r="C29" s="4">
        <f ca="1">C161*'Total Trip Tables Sup #1'!C29-(C27*'Active Mode Assumptions'!C7*'Active Mode Assumptions'!C14/(1+'Active Mode Assumptions'!C7))-(C28*'Active Mode Assumptions'!C16*'Active Mode Assumptions'!C23/(1+'Active Mode Assumptions'!C16))</f>
        <v>343.38932841683805</v>
      </c>
      <c r="D29" s="4">
        <f ca="1">D161*'Total Trip Tables Sup #1'!D29-(D27*'Active Mode Assumptions'!D7*'Active Mode Assumptions'!D14/(1+'Active Mode Assumptions'!D7))-(D28*'Active Mode Assumptions'!D16*'Active Mode Assumptions'!D23/(1+'Active Mode Assumptions'!D16))</f>
        <v>366.57878874195251</v>
      </c>
      <c r="E29" s="4">
        <f ca="1">E161*'Total Trip Tables Sup #1'!E29-(E27*'Active Mode Assumptions'!E7*'Active Mode Assumptions'!E14/(1+'Active Mode Assumptions'!E7))-(E28*'Active Mode Assumptions'!E16*'Active Mode Assumptions'!E23/(1+'Active Mode Assumptions'!E16))</f>
        <v>382.51145578599488</v>
      </c>
      <c r="F29" s="4">
        <f ca="1">F161*'Total Trip Tables Sup #1'!F29-(F27*'Active Mode Assumptions'!F7*'Active Mode Assumptions'!F14/(1+'Active Mode Assumptions'!F7))-(F28*'Active Mode Assumptions'!F16*'Active Mode Assumptions'!F23/(1+'Active Mode Assumptions'!F16))</f>
        <v>396.75548624845896</v>
      </c>
      <c r="G29" s="4">
        <f ca="1">G161*'Total Trip Tables Sup #1'!G29-(G27*'Active Mode Assumptions'!G7*'Active Mode Assumptions'!G14/(1+'Active Mode Assumptions'!G7))-(G28*'Active Mode Assumptions'!G16*'Active Mode Assumptions'!G23/(1+'Active Mode Assumptions'!G16))</f>
        <v>407.25229150258895</v>
      </c>
      <c r="H29" s="4">
        <f ca="1">H161*'Total Trip Tables Sup #1'!H29-(H27*'Active Mode Assumptions'!H7*'Active Mode Assumptions'!H14/(1+'Active Mode Assumptions'!H7))-(H28*'Active Mode Assumptions'!H16*'Active Mode Assumptions'!H23/(1+'Active Mode Assumptions'!H16))</f>
        <v>416.23061043434251</v>
      </c>
      <c r="I29" s="1">
        <f ca="1">I161*'Total Trip Tables Sup #1'!I29-(I27*'Active Mode Assumptions'!I7*'Active Mode Assumptions'!I14/(1+'Active Mode Assumptions'!I7))-(I28*'Active Mode Assumptions'!I16*'Active Mode Assumptions'!I23/(1+'Active Mode Assumptions'!I16))</f>
        <v>425.33267725648631</v>
      </c>
      <c r="J29" s="1">
        <f ca="1">J161*'Total Trip Tables Sup #1'!J29-(J27*'Active Mode Assumptions'!J7*'Active Mode Assumptions'!J14/(1+'Active Mode Assumptions'!J7))-(J28*'Active Mode Assumptions'!J16*'Active Mode Assumptions'!J23/(1+'Active Mode Assumptions'!J16))</f>
        <v>433.25152536347463</v>
      </c>
      <c r="K29" s="1">
        <f ca="1">K161*'Total Trip Tables Sup #1'!K29-(K27*'Active Mode Assumptions'!K7*'Active Mode Assumptions'!K14/(1+'Active Mode Assumptions'!K7))-(K28*'Active Mode Assumptions'!K16*'Active Mode Assumptions'!K23/(1+'Active Mode Assumptions'!K16))</f>
        <v>440.37052324342744</v>
      </c>
    </row>
    <row r="30" spans="1:11" x14ac:dyDescent="0.2">
      <c r="A30" t="str">
        <f ca="1">OFFSET(Waikato_Reference,21,2)</f>
        <v>Light Vehicle Passenger</v>
      </c>
      <c r="B30" s="4">
        <f ca="1">B162*'Total Trip Tables Sup #1'!B30</f>
        <v>139.07206360000004</v>
      </c>
      <c r="C30" s="4">
        <f ca="1">C162*'Total Trip Tables Sup #1'!C30-(C27*'Active Mode Assumptions'!C7*'Active Mode Assumptions'!C15/(1+'Active Mode Assumptions'!C7))-(C28*'Active Mode Assumptions'!C16*'Active Mode Assumptions'!C24/(1+'Active Mode Assumptions'!C16))</f>
        <v>148.73060431585503</v>
      </c>
      <c r="D30" s="4">
        <f ca="1">D162*'Total Trip Tables Sup #1'!D30-(D27*'Active Mode Assumptions'!D7*'Active Mode Assumptions'!D15/(1+'Active Mode Assumptions'!D7))-(D28*'Active Mode Assumptions'!D16*'Active Mode Assumptions'!D24/(1+'Active Mode Assumptions'!D16))</f>
        <v>154.02215496524934</v>
      </c>
      <c r="E30" s="4">
        <f ca="1">E162*'Total Trip Tables Sup #1'!E30-(E27*'Active Mode Assumptions'!E7*'Active Mode Assumptions'!E15/(1+'Active Mode Assumptions'!E7))-(E28*'Active Mode Assumptions'!E16*'Active Mode Assumptions'!E24/(1+'Active Mode Assumptions'!E16))</f>
        <v>157.44481961045054</v>
      </c>
      <c r="F30" s="4">
        <f ca="1">F162*'Total Trip Tables Sup #1'!F30-(F27*'Active Mode Assumptions'!F7*'Active Mode Assumptions'!F15/(1+'Active Mode Assumptions'!F7))-(F28*'Active Mode Assumptions'!F16*'Active Mode Assumptions'!F24/(1+'Active Mode Assumptions'!F16))</f>
        <v>160.41475872516776</v>
      </c>
      <c r="G30" s="4">
        <f ca="1">G162*'Total Trip Tables Sup #1'!G30-(G27*'Active Mode Assumptions'!G7*'Active Mode Assumptions'!G15/(1+'Active Mode Assumptions'!G7))-(G28*'Active Mode Assumptions'!G16*'Active Mode Assumptions'!G24/(1+'Active Mode Assumptions'!G16))</f>
        <v>162.54300987777833</v>
      </c>
      <c r="H30" s="4">
        <f ca="1">H162*'Total Trip Tables Sup #1'!H30-(H27*'Active Mode Assumptions'!H7*'Active Mode Assumptions'!H15/(1+'Active Mode Assumptions'!H7))-(H28*'Active Mode Assumptions'!H16*'Active Mode Assumptions'!H24/(1+'Active Mode Assumptions'!H16))</f>
        <v>163.82510093987673</v>
      </c>
      <c r="I30" s="1">
        <f ca="1">I162*'Total Trip Tables Sup #1'!I30-(I27*'Active Mode Assumptions'!I7*'Active Mode Assumptions'!I15/(1+'Active Mode Assumptions'!I7))-(I28*'Active Mode Assumptions'!I16*'Active Mode Assumptions'!I24/(1+'Active Mode Assumptions'!I16))</f>
        <v>167.40895345502256</v>
      </c>
      <c r="J30" s="1">
        <f ca="1">J162*'Total Trip Tables Sup #1'!J30-(J27*'Active Mode Assumptions'!J7*'Active Mode Assumptions'!J15/(1+'Active Mode Assumptions'!J7))-(J28*'Active Mode Assumptions'!J16*'Active Mode Assumptions'!J24/(1+'Active Mode Assumptions'!J16))</f>
        <v>170.52647067843927</v>
      </c>
      <c r="K30" s="1">
        <f ca="1">K162*'Total Trip Tables Sup #1'!K30-(K27*'Active Mode Assumptions'!K7*'Active Mode Assumptions'!K15/(1+'Active Mode Assumptions'!K7))-(K28*'Active Mode Assumptions'!K16*'Active Mode Assumptions'!K24/(1+'Active Mode Assumptions'!K16))</f>
        <v>173.32849787614833</v>
      </c>
    </row>
    <row r="31" spans="1:11" x14ac:dyDescent="0.2">
      <c r="A31" t="str">
        <f ca="1">OFFSET(Waikato_Reference,28,2)</f>
        <v>Taxi/Vehicle Share</v>
      </c>
      <c r="B31" s="4">
        <f ca="1">B163*'Total Trip Tables Sup #1'!B31</f>
        <v>0.69122996950000004</v>
      </c>
      <c r="C31" s="4">
        <f ca="1">C163*'Total Trip Tables Sup #1'!C31</f>
        <v>0.81223623793735822</v>
      </c>
      <c r="D31" s="4">
        <f ca="1">D163*'Total Trip Tables Sup #1'!D31</f>
        <v>0.9002154053932987</v>
      </c>
      <c r="E31" s="4">
        <f ca="1">E163*'Total Trip Tables Sup #1'!E31</f>
        <v>0.97964237870890303</v>
      </c>
      <c r="F31" s="4">
        <f ca="1">F163*'Total Trip Tables Sup #1'!F31</f>
        <v>1.05067047404795</v>
      </c>
      <c r="G31" s="4">
        <f ca="1">G163*'Total Trip Tables Sup #1'!G31</f>
        <v>1.1090047984972569</v>
      </c>
      <c r="H31" s="4">
        <f ca="1">H163*'Total Trip Tables Sup #1'!H31</f>
        <v>1.1658100150616069</v>
      </c>
      <c r="I31" s="1">
        <f ca="1">I163*'Total Trip Tables Sup #1'!I31</f>
        <v>1.1893855115460314</v>
      </c>
      <c r="J31" s="1">
        <f ca="1">J163*'Total Trip Tables Sup #1'!J31</f>
        <v>1.209532513760146</v>
      </c>
      <c r="K31" s="1">
        <f ca="1">K163*'Total Trip Tables Sup #1'!K31</f>
        <v>1.227336147680242</v>
      </c>
    </row>
    <row r="32" spans="1:11" x14ac:dyDescent="0.2">
      <c r="A32" t="str">
        <f ca="1">OFFSET(Waikato_Reference,35,2)</f>
        <v>Motorcyclist</v>
      </c>
      <c r="B32" s="4">
        <f ca="1">B164*'Total Trip Tables Sup #1'!B32</f>
        <v>1.8680965575999999</v>
      </c>
      <c r="C32" s="4">
        <f ca="1">C164*'Total Trip Tables Sup #1'!C32</f>
        <v>2.0627548890009915</v>
      </c>
      <c r="D32" s="4">
        <f ca="1">D164*'Total Trip Tables Sup #1'!D32</f>
        <v>2.1672458017759113</v>
      </c>
      <c r="E32" s="4">
        <f ca="1">E164*'Total Trip Tables Sup #1'!E32</f>
        <v>2.2262614325455869</v>
      </c>
      <c r="F32" s="4">
        <f ca="1">F164*'Total Trip Tables Sup #1'!F32</f>
        <v>2.2721352240516528</v>
      </c>
      <c r="G32" s="4">
        <f ca="1">G164*'Total Trip Tables Sup #1'!G32</f>
        <v>2.2775852216307659</v>
      </c>
      <c r="H32" s="4">
        <f ca="1">H164*'Total Trip Tables Sup #1'!H32</f>
        <v>2.2701034111793779</v>
      </c>
      <c r="I32" s="1">
        <f ca="1">I164*'Total Trip Tables Sup #1'!I32</f>
        <v>2.3319691702379521</v>
      </c>
      <c r="J32" s="1">
        <f ca="1">J164*'Total Trip Tables Sup #1'!J32</f>
        <v>2.3879390534630227</v>
      </c>
      <c r="K32" s="1">
        <f ca="1">K164*'Total Trip Tables Sup #1'!K32</f>
        <v>2.4400334804118144</v>
      </c>
    </row>
    <row r="33" spans="1:11" x14ac:dyDescent="0.2">
      <c r="A33" t="str">
        <f ca="1">OFFSET(Waikato_Reference,42,2)</f>
        <v>Local Train</v>
      </c>
      <c r="B33" s="4">
        <f ca="1">B165*'Total Trip Tables Sup #1'!B33</f>
        <v>0</v>
      </c>
      <c r="C33" s="4">
        <f ca="1">C165*'Total Trip Tables Sup #1'!C33</f>
        <v>0</v>
      </c>
      <c r="D33" s="4">
        <f ca="1">D165*'Total Trip Tables Sup #1'!D33</f>
        <v>0</v>
      </c>
      <c r="E33" s="4">
        <f ca="1">E165*'Total Trip Tables Sup #1'!E33</f>
        <v>0</v>
      </c>
      <c r="F33" s="4">
        <f ca="1">F165*'Total Trip Tables Sup #1'!F33</f>
        <v>0</v>
      </c>
      <c r="G33" s="4">
        <f ca="1">G165*'Total Trip Tables Sup #1'!G33</f>
        <v>0</v>
      </c>
      <c r="H33" s="4">
        <f ca="1">H165*'Total Trip Tables Sup #1'!H33</f>
        <v>0</v>
      </c>
      <c r="I33" s="1">
        <f ca="1">I165*'Total Trip Tables Sup #1'!I33</f>
        <v>0</v>
      </c>
      <c r="J33" s="1">
        <f ca="1">J165*'Total Trip Tables Sup #1'!J33</f>
        <v>0</v>
      </c>
      <c r="K33" s="1">
        <f ca="1">K165*'Total Trip Tables Sup #1'!K33</f>
        <v>0</v>
      </c>
    </row>
    <row r="34" spans="1:11" x14ac:dyDescent="0.2">
      <c r="A34" t="str">
        <f ca="1">OFFSET(Waikato_Reference,49,2)</f>
        <v>Local Bus</v>
      </c>
      <c r="B34" s="4">
        <f ca="1">B166*'Total Trip Tables Sup #1'!B34</f>
        <v>5.7199103379</v>
      </c>
      <c r="C34" s="4">
        <f ca="1">C166*'Total Trip Tables Sup #1'!C34</f>
        <v>5.8606605715387783</v>
      </c>
      <c r="D34" s="4">
        <f ca="1">D166*'Total Trip Tables Sup #1'!D34</f>
        <v>5.8902710697753866</v>
      </c>
      <c r="E34" s="4">
        <f ca="1">E166*'Total Trip Tables Sup #1'!E34</f>
        <v>5.9430817487033529</v>
      </c>
      <c r="F34" s="4">
        <f ca="1">F166*'Total Trip Tables Sup #1'!F34</f>
        <v>5.9297413742498515</v>
      </c>
      <c r="G34" s="4">
        <f ca="1">G166*'Total Trip Tables Sup #1'!G34</f>
        <v>5.9544930318673703</v>
      </c>
      <c r="H34" s="4">
        <f ca="1">H166*'Total Trip Tables Sup #1'!H34</f>
        <v>5.9494490464260341</v>
      </c>
      <c r="I34" s="1">
        <f ca="1">I166*'Total Trip Tables Sup #1'!I34</f>
        <v>6.0840489177209465</v>
      </c>
      <c r="J34" s="1">
        <f ca="1">J166*'Total Trip Tables Sup #1'!J34</f>
        <v>6.2019267087583545</v>
      </c>
      <c r="K34" s="1">
        <f ca="1">K166*'Total Trip Tables Sup #1'!K34</f>
        <v>6.3085383302212694</v>
      </c>
    </row>
    <row r="35" spans="1:11" x14ac:dyDescent="0.2">
      <c r="A35" t="str">
        <f ca="1">OFFSET(Waikato_Reference,56,2)</f>
        <v>Local Ferry</v>
      </c>
      <c r="B35" s="4">
        <f ca="1">B167*'Total Trip Tables Sup #1'!B35</f>
        <v>0.2446181519</v>
      </c>
      <c r="C35" s="4">
        <f ca="1">C167*'Total Trip Tables Sup #1'!C35</f>
        <v>0.28042272973010818</v>
      </c>
      <c r="D35" s="4">
        <f ca="1">D167*'Total Trip Tables Sup #1'!D35</f>
        <v>0.30564465501356958</v>
      </c>
      <c r="E35" s="4">
        <f ca="1">E167*'Total Trip Tables Sup #1'!E35</f>
        <v>0.32468184333209549</v>
      </c>
      <c r="F35" s="4">
        <f ca="1">F167*'Total Trip Tables Sup #1'!F35</f>
        <v>0.34077664920183387</v>
      </c>
      <c r="G35" s="4">
        <f ca="1">G167*'Total Trip Tables Sup #1'!G35</f>
        <v>0.36469592415945823</v>
      </c>
      <c r="H35" s="4">
        <f ca="1">H167*'Total Trip Tables Sup #1'!H35</f>
        <v>0.3872229442573476</v>
      </c>
      <c r="I35" s="1">
        <f ca="1">I167*'Total Trip Tables Sup #1'!I35</f>
        <v>0.3893087371237588</v>
      </c>
      <c r="J35" s="1">
        <f ca="1">J167*'Total Trip Tables Sup #1'!J35</f>
        <v>0.39024571454395074</v>
      </c>
      <c r="K35" s="1">
        <f ca="1">K167*'Total Trip Tables Sup #1'!K35</f>
        <v>0.39043050218768577</v>
      </c>
    </row>
    <row r="36" spans="1:11" x14ac:dyDescent="0.2">
      <c r="A36" t="str">
        <f ca="1">OFFSET(Waikato_Reference,63,2)</f>
        <v>Other Household Travel</v>
      </c>
      <c r="B36" s="4">
        <f ca="1">B168*'Total Trip Tables Sup #1'!B36</f>
        <v>1.8854250596</v>
      </c>
      <c r="C36" s="4">
        <f ca="1">C168*'Total Trip Tables Sup #1'!C36</f>
        <v>2.0909126872745318</v>
      </c>
      <c r="D36" s="4">
        <f ca="1">D168*'Total Trip Tables Sup #1'!D36</f>
        <v>2.2537836491423353</v>
      </c>
      <c r="E36" s="4">
        <f ca="1">E168*'Total Trip Tables Sup #1'!E36</f>
        <v>2.415016029813605</v>
      </c>
      <c r="F36" s="4">
        <f ca="1">F168*'Total Trip Tables Sup #1'!F36</f>
        <v>2.5822250905998292</v>
      </c>
      <c r="G36" s="4">
        <f ca="1">G168*'Total Trip Tables Sup #1'!G36</f>
        <v>2.7548156022701749</v>
      </c>
      <c r="H36" s="4">
        <f ca="1">H168*'Total Trip Tables Sup #1'!H36</f>
        <v>2.9119746125478625</v>
      </c>
      <c r="I36" s="1">
        <f ca="1">I168*'Total Trip Tables Sup #1'!I36</f>
        <v>2.9849844711820577</v>
      </c>
      <c r="J36" s="1">
        <f ca="1">J168*'Total Trip Tables Sup #1'!J36</f>
        <v>3.0501650309126829</v>
      </c>
      <c r="K36" s="1">
        <f ca="1">K168*'Total Trip Tables Sup #1'!K36</f>
        <v>3.1101484957979157</v>
      </c>
    </row>
    <row r="37" spans="1:11" x14ac:dyDescent="0.2">
      <c r="A37" t="str">
        <f ca="1">OFFSET(BOP_Reference,0,0)</f>
        <v>04 BAY OF PLENTY</v>
      </c>
      <c r="I37" s="1"/>
      <c r="J37" s="1"/>
      <c r="K37" s="1"/>
    </row>
    <row r="38" spans="1:11" x14ac:dyDescent="0.2">
      <c r="A38" t="str">
        <f ca="1">OFFSET(BOP_Reference,0,2)</f>
        <v>Pedestrian</v>
      </c>
      <c r="B38" s="4">
        <f ca="1">B159*'Total Trip Tables Sup #1'!B38</f>
        <v>43.402809341999998</v>
      </c>
      <c r="C38" s="4">
        <f ca="1">C159*'Total Trip Tables Sup #1'!C38*(1+'Active Mode Assumptions'!C7)</f>
        <v>46.858555196318498</v>
      </c>
      <c r="D38" s="4">
        <f ca="1">D159*'Total Trip Tables Sup #1'!D38*(1+'Active Mode Assumptions'!D7)</f>
        <v>48.868179276322422</v>
      </c>
      <c r="E38" s="4">
        <f ca="1">E159*'Total Trip Tables Sup #1'!E38*(1+'Active Mode Assumptions'!E7)</f>
        <v>50.280605169804176</v>
      </c>
      <c r="F38" s="4">
        <f ca="1">F159*'Total Trip Tables Sup #1'!F38*(1+'Active Mode Assumptions'!F7)</f>
        <v>51.214173006063326</v>
      </c>
      <c r="G38" s="4">
        <f ca="1">G159*'Total Trip Tables Sup #1'!G38*(1+'Active Mode Assumptions'!G7)</f>
        <v>51.871722155630458</v>
      </c>
      <c r="H38" s="4">
        <f ca="1">H159*'Total Trip Tables Sup #1'!H38*(1+'Active Mode Assumptions'!H7)</f>
        <v>52.307735941348405</v>
      </c>
      <c r="I38" s="1">
        <f ca="1">I159*'Total Trip Tables Sup #1'!I38*(1+'Active Mode Assumptions'!I7)</f>
        <v>53.071560865507394</v>
      </c>
      <c r="J38" s="1">
        <f ca="1">J159*'Total Trip Tables Sup #1'!J38*(1+'Active Mode Assumptions'!J7)</f>
        <v>53.675804665320911</v>
      </c>
      <c r="K38" s="1">
        <f ca="1">K159*'Total Trip Tables Sup #1'!K38*(1+'Active Mode Assumptions'!K7)</f>
        <v>54.170893549572455</v>
      </c>
    </row>
    <row r="39" spans="1:11" x14ac:dyDescent="0.2">
      <c r="A39" t="str">
        <f ca="1">OFFSET(BOP_Reference,7,2)</f>
        <v>Cyclist</v>
      </c>
      <c r="B39" s="4">
        <f ca="1">B160*'Total Trip Tables Sup #1'!B39</f>
        <v>5.1579391552000002</v>
      </c>
      <c r="C39" s="4">
        <f ca="1">C160*'Total Trip Tables Sup #1'!C39*(1+'Active Mode Assumptions'!C16)</f>
        <v>5.5580543752365967</v>
      </c>
      <c r="D39" s="4">
        <f ca="1">D160*'Total Trip Tables Sup #1'!D39*(1+'Active Mode Assumptions'!D16)</f>
        <v>5.7490663611307777</v>
      </c>
      <c r="E39" s="4">
        <f ca="1">E160*'Total Trip Tables Sup #1'!E39*(1+'Active Mode Assumptions'!E16)</f>
        <v>5.8635930685064217</v>
      </c>
      <c r="F39" s="4">
        <f ca="1">F160*'Total Trip Tables Sup #1'!F39*(1+'Active Mode Assumptions'!F16)</f>
        <v>5.9625838481511799</v>
      </c>
      <c r="G39" s="4">
        <f ca="1">G160*'Total Trip Tables Sup #1'!G39*(1+'Active Mode Assumptions'!G16)</f>
        <v>6.0462204568600404</v>
      </c>
      <c r="H39" s="4">
        <f ca="1">H160*'Total Trip Tables Sup #1'!H39*(1+'Active Mode Assumptions'!H16)</f>
        <v>6.1176849543870997</v>
      </c>
      <c r="I39" s="1">
        <f ca="1">I160*'Total Trip Tables Sup #1'!I39*(1+'Active Mode Assumptions'!I16)</f>
        <v>6.2424092862604796</v>
      </c>
      <c r="J39" s="1">
        <f ca="1">J160*'Total Trip Tables Sup #1'!J39*(1+'Active Mode Assumptions'!J16)</f>
        <v>6.3500403481291707</v>
      </c>
      <c r="K39" s="1">
        <f ca="1">K160*'Total Trip Tables Sup #1'!K39*(1+'Active Mode Assumptions'!K16)</f>
        <v>6.4462855134419801</v>
      </c>
    </row>
    <row r="40" spans="1:11" x14ac:dyDescent="0.2">
      <c r="A40" t="str">
        <f ca="1">OFFSET(BOP_Reference,14,2)</f>
        <v>Light Vehicle Driver</v>
      </c>
      <c r="B40" s="4">
        <f ca="1">B161*'Total Trip Tables Sup #1'!B40</f>
        <v>178.59124365</v>
      </c>
      <c r="C40" s="4">
        <f ca="1">C161*'Total Trip Tables Sup #1'!C40-(C38*'Active Mode Assumptions'!C7*'Active Mode Assumptions'!C14/(1+'Active Mode Assumptions'!C7))-(C39*'Active Mode Assumptions'!C16*'Active Mode Assumptions'!C23/(1+'Active Mode Assumptions'!C16))</f>
        <v>198.01600230192091</v>
      </c>
      <c r="D40" s="4">
        <f ca="1">D161*'Total Trip Tables Sup #1'!D40-(D38*'Active Mode Assumptions'!D7*'Active Mode Assumptions'!D14/(1+'Active Mode Assumptions'!D7))-(D39*'Active Mode Assumptions'!D16*'Active Mode Assumptions'!D23/(1+'Active Mode Assumptions'!D16))</f>
        <v>209.94757691993001</v>
      </c>
      <c r="E40" s="4">
        <f ca="1">E161*'Total Trip Tables Sup #1'!E40-(E38*'Active Mode Assumptions'!E7*'Active Mode Assumptions'!E14/(1+'Active Mode Assumptions'!E7))-(E39*'Active Mode Assumptions'!E16*'Active Mode Assumptions'!E23/(1+'Active Mode Assumptions'!E16))</f>
        <v>217.61205413305163</v>
      </c>
      <c r="F40" s="4">
        <f ca="1">F161*'Total Trip Tables Sup #1'!F40-(F38*'Active Mode Assumptions'!F7*'Active Mode Assumptions'!F14/(1+'Active Mode Assumptions'!F7))-(F39*'Active Mode Assumptions'!F16*'Active Mode Assumptions'!F23/(1+'Active Mode Assumptions'!F16))</f>
        <v>224.26691164320746</v>
      </c>
      <c r="G40" s="4">
        <f ca="1">G161*'Total Trip Tables Sup #1'!G40-(G38*'Active Mode Assumptions'!G7*'Active Mode Assumptions'!G14/(1+'Active Mode Assumptions'!G7))-(G39*'Active Mode Assumptions'!G16*'Active Mode Assumptions'!G23/(1+'Active Mode Assumptions'!G16))</f>
        <v>228.63822364162431</v>
      </c>
      <c r="H40" s="4">
        <f ca="1">H161*'Total Trip Tables Sup #1'!H40-(H38*'Active Mode Assumptions'!H7*'Active Mode Assumptions'!H14/(1+'Active Mode Assumptions'!H7))-(H39*'Active Mode Assumptions'!H16*'Active Mode Assumptions'!H23/(1+'Active Mode Assumptions'!H16))</f>
        <v>232.10034228572832</v>
      </c>
      <c r="I40" s="1">
        <f ca="1">I161*'Total Trip Tables Sup #1'!I40-(I38*'Active Mode Assumptions'!I7*'Active Mode Assumptions'!I14/(1+'Active Mode Assumptions'!I7))-(I39*'Active Mode Assumptions'!I16*'Active Mode Assumptions'!I23/(1+'Active Mode Assumptions'!I16))</f>
        <v>235.57379542580955</v>
      </c>
      <c r="J40" s="1">
        <f ca="1">J161*'Total Trip Tables Sup #1'!J40-(J38*'Active Mode Assumptions'!J7*'Active Mode Assumptions'!J14/(1+'Active Mode Assumptions'!J7))-(J39*'Active Mode Assumptions'!J16*'Active Mode Assumptions'!J23/(1+'Active Mode Assumptions'!J16))</f>
        <v>238.33882506960114</v>
      </c>
      <c r="K40" s="1">
        <f ca="1">K161*'Total Trip Tables Sup #1'!K40-(K38*'Active Mode Assumptions'!K7*'Active Mode Assumptions'!K14/(1+'Active Mode Assumptions'!K7))-(K39*'Active Mode Assumptions'!K16*'Active Mode Assumptions'!K23/(1+'Active Mode Assumptions'!K16))</f>
        <v>240.61871282164003</v>
      </c>
    </row>
    <row r="41" spans="1:11" x14ac:dyDescent="0.2">
      <c r="A41" t="str">
        <f ca="1">OFFSET(BOP_Reference,21,2)</f>
        <v>Light Vehicle Passenger</v>
      </c>
      <c r="B41" s="4">
        <f ca="1">B162*'Total Trip Tables Sup #1'!B41</f>
        <v>98.719582360000032</v>
      </c>
      <c r="C41" s="4">
        <f ca="1">C162*'Total Trip Tables Sup #1'!C41-(C38*'Active Mode Assumptions'!C7*'Active Mode Assumptions'!C15/(1+'Active Mode Assumptions'!C7))-(C39*'Active Mode Assumptions'!C16*'Active Mode Assumptions'!C24/(1+'Active Mode Assumptions'!C16))</f>
        <v>104.11352189019352</v>
      </c>
      <c r="D41" s="4">
        <f ca="1">D162*'Total Trip Tables Sup #1'!D41-(D38*'Active Mode Assumptions'!D7*'Active Mode Assumptions'!D15/(1+'Active Mode Assumptions'!D7))-(D39*'Active Mode Assumptions'!D16*'Active Mode Assumptions'!D24/(1+'Active Mode Assumptions'!D16))</f>
        <v>107.08287713143633</v>
      </c>
      <c r="E41" s="4">
        <f ca="1">E162*'Total Trip Tables Sup #1'!E41-(E38*'Active Mode Assumptions'!E7*'Active Mode Assumptions'!E15/(1+'Active Mode Assumptions'!E7))-(E39*'Active Mode Assumptions'!E16*'Active Mode Assumptions'!E24/(1+'Active Mode Assumptions'!E16))</f>
        <v>108.73270166680425</v>
      </c>
      <c r="F41" s="4">
        <f ca="1">F162*'Total Trip Tables Sup #1'!F41-(F38*'Active Mode Assumptions'!F7*'Active Mode Assumptions'!F15/(1+'Active Mode Assumptions'!F7))-(F39*'Active Mode Assumptions'!F16*'Active Mode Assumptions'!F24/(1+'Active Mode Assumptions'!F16))</f>
        <v>110.07276736059823</v>
      </c>
      <c r="G41" s="4">
        <f ca="1">G162*'Total Trip Tables Sup #1'!G41-(G38*'Active Mode Assumptions'!G7*'Active Mode Assumptions'!G15/(1+'Active Mode Assumptions'!G7))-(G39*'Active Mode Assumptions'!G16*'Active Mode Assumptions'!G24/(1+'Active Mode Assumptions'!G16))</f>
        <v>110.77631122954924</v>
      </c>
      <c r="H41" s="4">
        <f ca="1">H162*'Total Trip Tables Sup #1'!H41-(H38*'Active Mode Assumptions'!H7*'Active Mode Assumptions'!H15/(1+'Active Mode Assumptions'!H7))-(H39*'Active Mode Assumptions'!H16*'Active Mode Assumptions'!H24/(1+'Active Mode Assumptions'!H16))</f>
        <v>110.89590524250936</v>
      </c>
      <c r="I41" s="1">
        <f ca="1">I162*'Total Trip Tables Sup #1'!I41-(I38*'Active Mode Assumptions'!I7*'Active Mode Assumptions'!I15/(1+'Active Mode Assumptions'!I7))-(I39*'Active Mode Assumptions'!I16*'Active Mode Assumptions'!I24/(1+'Active Mode Assumptions'!I16))</f>
        <v>112.55640461107924</v>
      </c>
      <c r="J41" s="1">
        <f ca="1">J162*'Total Trip Tables Sup #1'!J41-(J38*'Active Mode Assumptions'!J7*'Active Mode Assumptions'!J15/(1+'Active Mode Assumptions'!J7))-(J39*'Active Mode Assumptions'!J16*'Active Mode Assumptions'!J24/(1+'Active Mode Assumptions'!J16))</f>
        <v>113.87799145632661</v>
      </c>
      <c r="K41" s="1">
        <f ca="1">K162*'Total Trip Tables Sup #1'!K41-(K38*'Active Mode Assumptions'!K7*'Active Mode Assumptions'!K15/(1+'Active Mode Assumptions'!K7))-(K39*'Active Mode Assumptions'!K16*'Active Mode Assumptions'!K24/(1+'Active Mode Assumptions'!K16))</f>
        <v>114.96732657798033</v>
      </c>
    </row>
    <row r="42" spans="1:11" x14ac:dyDescent="0.2">
      <c r="A42" t="str">
        <f ca="1">OFFSET(BOP_Reference,28,2)</f>
        <v>Taxi/Vehicle Share</v>
      </c>
      <c r="B42" s="4">
        <f ca="1">B163*'Total Trip Tables Sup #1'!B42</f>
        <v>0.15552198610000001</v>
      </c>
      <c r="C42" s="4">
        <f ca="1">C163*'Total Trip Tables Sup #1'!C42</f>
        <v>0.18021667833142499</v>
      </c>
      <c r="D42" s="4">
        <f ca="1">D163*'Total Trip Tables Sup #1'!D42</f>
        <v>0.19837598700899189</v>
      </c>
      <c r="E42" s="4">
        <f ca="1">E163*'Total Trip Tables Sup #1'!E42</f>
        <v>0.21443970019035957</v>
      </c>
      <c r="F42" s="4">
        <f ca="1">F163*'Total Trip Tables Sup #1'!F42</f>
        <v>0.2285114229033455</v>
      </c>
      <c r="G42" s="4">
        <f ca="1">G163*'Total Trip Tables Sup #1'!G42</f>
        <v>0.23956195631934077</v>
      </c>
      <c r="H42" s="4">
        <f ca="1">H163*'Total Trip Tables Sup #1'!H42</f>
        <v>0.25013166379700852</v>
      </c>
      <c r="I42" s="1">
        <f ca="1">I163*'Total Trip Tables Sup #1'!I42</f>
        <v>0.25346616752187967</v>
      </c>
      <c r="J42" s="1">
        <f ca="1">J163*'Total Trip Tables Sup #1'!J42</f>
        <v>0.25601851014672994</v>
      </c>
      <c r="K42" s="1">
        <f ca="1">K163*'Total Trip Tables Sup #1'!K42</f>
        <v>0.25803214244956757</v>
      </c>
    </row>
    <row r="43" spans="1:11" x14ac:dyDescent="0.2">
      <c r="A43" t="str">
        <f ca="1">OFFSET(BOP_Reference,35,2)</f>
        <v>Motorcyclist</v>
      </c>
      <c r="B43" s="4">
        <f ca="1">B164*'Total Trip Tables Sup #1'!B43</f>
        <v>0.90641599910000004</v>
      </c>
      <c r="C43" s="4">
        <f ca="1">C164*'Total Trip Tables Sup #1'!C43</f>
        <v>0.98700477189122815</v>
      </c>
      <c r="D43" s="4">
        <f ca="1">D164*'Total Trip Tables Sup #1'!D43</f>
        <v>1.0299350508242344</v>
      </c>
      <c r="E43" s="4">
        <f ca="1">E164*'Total Trip Tables Sup #1'!E43</f>
        <v>1.0509276005640051</v>
      </c>
      <c r="F43" s="4">
        <f ca="1">F164*'Total Trip Tables Sup #1'!F43</f>
        <v>1.0656990271929776</v>
      </c>
      <c r="G43" s="4">
        <f ca="1">G164*'Total Trip Tables Sup #1'!G43</f>
        <v>1.0610065623883844</v>
      </c>
      <c r="H43" s="4">
        <f ca="1">H164*'Total Trip Tables Sup #1'!H43</f>
        <v>1.0503778126574477</v>
      </c>
      <c r="I43" s="1">
        <f ca="1">I164*'Total Trip Tables Sup #1'!I43</f>
        <v>1.0717146491745861</v>
      </c>
      <c r="J43" s="1">
        <f ca="1">J164*'Total Trip Tables Sup #1'!J43</f>
        <v>1.0900240121811724</v>
      </c>
      <c r="K43" s="1">
        <f ca="1">K164*'Total Trip Tables Sup #1'!K43</f>
        <v>1.1062800398912542</v>
      </c>
    </row>
    <row r="44" spans="1:11" x14ac:dyDescent="0.2">
      <c r="A44" t="str">
        <f ca="1">OFFSET(Auckland_Reference,42,2)</f>
        <v>Local Train</v>
      </c>
      <c r="B44" s="4">
        <f ca="1">B165*'Total Trip Tables Sup #1'!B44</f>
        <v>0</v>
      </c>
      <c r="C44" s="4">
        <f ca="1">C165*'Total Trip Tables Sup #1'!C44</f>
        <v>0</v>
      </c>
      <c r="D44" s="4">
        <f ca="1">D165*'Total Trip Tables Sup #1'!D44</f>
        <v>0</v>
      </c>
      <c r="E44" s="4">
        <f ca="1">E165*'Total Trip Tables Sup #1'!E44</f>
        <v>0</v>
      </c>
      <c r="F44" s="4">
        <f ca="1">F165*'Total Trip Tables Sup #1'!F44</f>
        <v>0</v>
      </c>
      <c r="G44" s="4">
        <f ca="1">G165*'Total Trip Tables Sup #1'!G44</f>
        <v>0</v>
      </c>
      <c r="H44" s="4">
        <f ca="1">H165*'Total Trip Tables Sup #1'!H44</f>
        <v>0</v>
      </c>
      <c r="I44" s="1">
        <f ca="1">I165*'Total Trip Tables Sup #1'!I44</f>
        <v>0</v>
      </c>
      <c r="J44" s="1">
        <f ca="1">J165*'Total Trip Tables Sup #1'!J44</f>
        <v>0</v>
      </c>
      <c r="K44" s="1">
        <f ca="1">K165*'Total Trip Tables Sup #1'!K44</f>
        <v>0</v>
      </c>
    </row>
    <row r="45" spans="1:11" x14ac:dyDescent="0.2">
      <c r="A45" t="str">
        <f ca="1">OFFSET(BOP_Reference,42,2)</f>
        <v>Local Bus</v>
      </c>
      <c r="B45" s="4">
        <f ca="1">B166*'Total Trip Tables Sup #1'!B45</f>
        <v>7.4672006229000001</v>
      </c>
      <c r="C45" s="4">
        <f ca="1">C166*'Total Trip Tables Sup #1'!C45</f>
        <v>7.5449879893988694</v>
      </c>
      <c r="D45" s="4">
        <f ca="1">D166*'Total Trip Tables Sup #1'!D45</f>
        <v>7.5314276014687458</v>
      </c>
      <c r="E45" s="4">
        <f ca="1">E166*'Total Trip Tables Sup #1'!E45</f>
        <v>7.5482920614597324</v>
      </c>
      <c r="F45" s="4">
        <f ca="1">F166*'Total Trip Tables Sup #1'!F45</f>
        <v>7.4830130585913288</v>
      </c>
      <c r="G45" s="4">
        <f ca="1">G166*'Total Trip Tables Sup #1'!G45</f>
        <v>7.4632601701104084</v>
      </c>
      <c r="H45" s="4">
        <f ca="1">H166*'Total Trip Tables Sup #1'!H45</f>
        <v>7.4065678181753247</v>
      </c>
      <c r="I45" s="1">
        <f ca="1">I166*'Total Trip Tables Sup #1'!I45</f>
        <v>7.5229714907665279</v>
      </c>
      <c r="J45" s="1">
        <f ca="1">J166*'Total Trip Tables Sup #1'!J45</f>
        <v>7.6169273397740387</v>
      </c>
      <c r="K45" s="1">
        <f ca="1">K166*'Total Trip Tables Sup #1'!K45</f>
        <v>7.6955274840190606</v>
      </c>
    </row>
    <row r="46" spans="1:11" x14ac:dyDescent="0.2">
      <c r="A46" t="str">
        <f ca="1">OFFSET(Waikato_Reference,56,2)</f>
        <v>Local Ferry</v>
      </c>
      <c r="B46" s="4">
        <f ca="1">B167*'Total Trip Tables Sup #1'!B46</f>
        <v>0</v>
      </c>
      <c r="C46" s="4">
        <f ca="1">C167*'Total Trip Tables Sup #1'!C46</f>
        <v>0</v>
      </c>
      <c r="D46" s="4">
        <f ca="1">D167*'Total Trip Tables Sup #1'!D46</f>
        <v>0</v>
      </c>
      <c r="E46" s="4">
        <f ca="1">E167*'Total Trip Tables Sup #1'!E46</f>
        <v>0</v>
      </c>
      <c r="F46" s="4">
        <f ca="1">F167*'Total Trip Tables Sup #1'!F46</f>
        <v>0</v>
      </c>
      <c r="G46" s="4">
        <f ca="1">G167*'Total Trip Tables Sup #1'!G46</f>
        <v>0</v>
      </c>
      <c r="H46" s="4">
        <f ca="1">H167*'Total Trip Tables Sup #1'!H46</f>
        <v>0</v>
      </c>
      <c r="I46" s="1">
        <f ca="1">I167*'Total Trip Tables Sup #1'!I46</f>
        <v>0</v>
      </c>
      <c r="J46" s="1">
        <f ca="1">J167*'Total Trip Tables Sup #1'!J46</f>
        <v>0</v>
      </c>
      <c r="K46" s="1">
        <f ca="1">K167*'Total Trip Tables Sup #1'!K46</f>
        <v>0</v>
      </c>
    </row>
    <row r="47" spans="1:11" x14ac:dyDescent="0.2">
      <c r="A47" t="str">
        <f ca="1">OFFSET(BOP_Reference,49,2)</f>
        <v>Other Household Travel</v>
      </c>
      <c r="B47" s="4">
        <f ca="1">B168*'Total Trip Tables Sup #1'!B47</f>
        <v>0.59853678389999998</v>
      </c>
      <c r="C47" s="4">
        <f ca="1">C168*'Total Trip Tables Sup #1'!C47</f>
        <v>0.65457716865781235</v>
      </c>
      <c r="D47" s="4">
        <f ca="1">D168*'Total Trip Tables Sup #1'!D47</f>
        <v>0.70075663739437</v>
      </c>
      <c r="E47" s="4">
        <f ca="1">E168*'Total Trip Tables Sup #1'!E47</f>
        <v>0.74588175031453841</v>
      </c>
      <c r="F47" s="4">
        <f ca="1">F168*'Total Trip Tables Sup #1'!F47</f>
        <v>0.79240611759461477</v>
      </c>
      <c r="G47" s="4">
        <f ca="1">G168*'Total Trip Tables Sup #1'!G47</f>
        <v>0.8396326070749861</v>
      </c>
      <c r="H47" s="4">
        <f ca="1">H168*'Total Trip Tables Sup #1'!H47</f>
        <v>0.88153753877049978</v>
      </c>
      <c r="I47" s="1">
        <f ca="1">I168*'Total Trip Tables Sup #1'!I47</f>
        <v>0.89753577219908942</v>
      </c>
      <c r="J47" s="1">
        <f ca="1">J168*'Total Trip Tables Sup #1'!J47</f>
        <v>0.91093941293711578</v>
      </c>
      <c r="K47" s="1">
        <f ca="1">K168*'Total Trip Tables Sup #1'!K47</f>
        <v>0.92257938171549525</v>
      </c>
    </row>
    <row r="48" spans="1:11" x14ac:dyDescent="0.2">
      <c r="A48" t="str">
        <f ca="1">OFFSET(Gisborne_Reference,0,0)</f>
        <v>05 GISBORNE</v>
      </c>
      <c r="I48" s="1"/>
      <c r="J48" s="1"/>
      <c r="K48" s="1"/>
    </row>
    <row r="49" spans="1:11" x14ac:dyDescent="0.2">
      <c r="A49" t="str">
        <f ca="1">OFFSET(Gisborne_Reference,0,2)</f>
        <v>Pedestrian</v>
      </c>
      <c r="B49" s="4">
        <f ca="1">B159*'Total Trip Tables Sup #1'!B49</f>
        <v>12.564280467</v>
      </c>
      <c r="C49" s="4">
        <f ca="1">C159*'Total Trip Tables Sup #1'!C49*(1+'Active Mode Assumptions'!C7)</f>
        <v>12.899899495625053</v>
      </c>
      <c r="D49" s="4">
        <f ca="1">D159*'Total Trip Tables Sup #1'!D49*(1+'Active Mode Assumptions'!D7)</f>
        <v>13.061541603143624</v>
      </c>
      <c r="E49" s="4">
        <f ca="1">E159*'Total Trip Tables Sup #1'!E49*(1+'Active Mode Assumptions'!E7)</f>
        <v>13.132101745876975</v>
      </c>
      <c r="F49" s="4">
        <f ca="1">F159*'Total Trip Tables Sup #1'!F49*(1+'Active Mode Assumptions'!F7)</f>
        <v>13.075572138106658</v>
      </c>
      <c r="G49" s="4">
        <f ca="1">G159*'Total Trip Tables Sup #1'!G49*(1+'Active Mode Assumptions'!G7)</f>
        <v>12.931368088720918</v>
      </c>
      <c r="H49" s="4">
        <f ca="1">H159*'Total Trip Tables Sup #1'!H49*(1+'Active Mode Assumptions'!H7)</f>
        <v>12.734536440046005</v>
      </c>
      <c r="I49" s="1">
        <f ca="1">I159*'Total Trip Tables Sup #1'!I49*(1+'Active Mode Assumptions'!I7)</f>
        <v>12.617766587169683</v>
      </c>
      <c r="J49" s="1">
        <f ca="1">J159*'Total Trip Tables Sup #1'!J49*(1+'Active Mode Assumptions'!J7)</f>
        <v>12.462426302264253</v>
      </c>
      <c r="K49" s="1">
        <f ca="1">K159*'Total Trip Tables Sup #1'!K49*(1+'Active Mode Assumptions'!K7)</f>
        <v>12.28268882623836</v>
      </c>
    </row>
    <row r="50" spans="1:11" x14ac:dyDescent="0.2">
      <c r="A50" t="str">
        <f ca="1">OFFSET(Gisborne_Reference,7,2)</f>
        <v>Cyclist</v>
      </c>
      <c r="B50" s="4">
        <f ca="1">B160*'Total Trip Tables Sup #1'!B50</f>
        <v>1.1119455742</v>
      </c>
      <c r="C50" s="4">
        <f ca="1">C160*'Total Trip Tables Sup #1'!C50*(1+'Active Mode Assumptions'!C16)</f>
        <v>1.1394827596377461</v>
      </c>
      <c r="D50" s="4">
        <f ca="1">D160*'Total Trip Tables Sup #1'!D50*(1+'Active Mode Assumptions'!D16)</f>
        <v>1.1443348804028384</v>
      </c>
      <c r="E50" s="4">
        <f ca="1">E160*'Total Trip Tables Sup #1'!E50*(1+'Active Mode Assumptions'!E16)</f>
        <v>1.1404732416121546</v>
      </c>
      <c r="F50" s="4">
        <f ca="1">F160*'Total Trip Tables Sup #1'!F50*(1+'Active Mode Assumptions'!F16)</f>
        <v>1.1336854443342796</v>
      </c>
      <c r="G50" s="4">
        <f ca="1">G160*'Total Trip Tables Sup #1'!G50*(1+'Active Mode Assumptions'!G16)</f>
        <v>1.1224973384577315</v>
      </c>
      <c r="H50" s="4">
        <f ca="1">H160*'Total Trip Tables Sup #1'!H50*(1+'Active Mode Assumptions'!H16)</f>
        <v>1.109154027353497</v>
      </c>
      <c r="I50" s="1">
        <f ca="1">I160*'Total Trip Tables Sup #1'!I50*(1+'Active Mode Assumptions'!I16)</f>
        <v>1.1052496932977951</v>
      </c>
      <c r="J50" s="1">
        <f ca="1">J160*'Total Trip Tables Sup #1'!J50*(1+'Active Mode Assumptions'!J16)</f>
        <v>1.0979638936682832</v>
      </c>
      <c r="K50" s="1">
        <f ca="1">K160*'Total Trip Tables Sup #1'!K50*(1+'Active Mode Assumptions'!K16)</f>
        <v>1.0884901957496003</v>
      </c>
    </row>
    <row r="51" spans="1:11" x14ac:dyDescent="0.2">
      <c r="A51" t="str">
        <f ca="1">OFFSET(Gisborne_Reference,14,2)</f>
        <v>Light Vehicle Driver</v>
      </c>
      <c r="B51" s="4">
        <f ca="1">B161*'Total Trip Tables Sup #1'!B51</f>
        <v>28.776347379000001</v>
      </c>
      <c r="C51" s="4">
        <f ca="1">C161*'Total Trip Tables Sup #1'!C51-(C49*'Active Mode Assumptions'!C7*'Active Mode Assumptions'!C14/(1+'Active Mode Assumptions'!C7))-(C50*'Active Mode Assumptions'!C16*'Active Mode Assumptions'!C23/(1+'Active Mode Assumptions'!C16))</f>
        <v>30.342645696085157</v>
      </c>
      <c r="D51" s="4">
        <f ca="1">D161*'Total Trip Tables Sup #1'!D51-(D49*'Active Mode Assumptions'!D7*'Active Mode Assumptions'!D14/(1+'Active Mode Assumptions'!D7))-(D50*'Active Mode Assumptions'!D16*'Active Mode Assumptions'!D23/(1+'Active Mode Assumptions'!D16))</f>
        <v>31.234522490508741</v>
      </c>
      <c r="E51" s="4">
        <f ca="1">E161*'Total Trip Tables Sup #1'!E51-(E49*'Active Mode Assumptions'!E7*'Active Mode Assumptions'!E14/(1+'Active Mode Assumptions'!E7))-(E50*'Active Mode Assumptions'!E16*'Active Mode Assumptions'!E23/(1+'Active Mode Assumptions'!E16))</f>
        <v>31.635333406419655</v>
      </c>
      <c r="F51" s="4">
        <f ca="1">F161*'Total Trip Tables Sup #1'!F51-(F49*'Active Mode Assumptions'!F7*'Active Mode Assumptions'!F14/(1+'Active Mode Assumptions'!F7))-(F50*'Active Mode Assumptions'!F16*'Active Mode Assumptions'!F23/(1+'Active Mode Assumptions'!F16))</f>
        <v>31.870689844301509</v>
      </c>
      <c r="G51" s="4">
        <f ca="1">G161*'Total Trip Tables Sup #1'!G51-(G49*'Active Mode Assumptions'!G7*'Active Mode Assumptions'!G14/(1+'Active Mode Assumptions'!G7))-(G50*'Active Mode Assumptions'!G16*'Active Mode Assumptions'!G23/(1+'Active Mode Assumptions'!G16))</f>
        <v>31.726222741859146</v>
      </c>
      <c r="H51" s="4">
        <f ca="1">H161*'Total Trip Tables Sup #1'!H51-(H49*'Active Mode Assumptions'!H7*'Active Mode Assumptions'!H14/(1+'Active Mode Assumptions'!H7))-(H50*'Active Mode Assumptions'!H16*'Active Mode Assumptions'!H23/(1+'Active Mode Assumptions'!H16))</f>
        <v>31.45203305075697</v>
      </c>
      <c r="I51" s="1">
        <f ca="1">I161*'Total Trip Tables Sup #1'!I51-(I49*'Active Mode Assumptions'!I7*'Active Mode Assumptions'!I14/(1+'Active Mode Assumptions'!I7))-(I50*'Active Mode Assumptions'!I16*'Active Mode Assumptions'!I23/(1+'Active Mode Assumptions'!I16))</f>
        <v>31.174775329621976</v>
      </c>
      <c r="J51" s="1">
        <f ca="1">J161*'Total Trip Tables Sup #1'!J51-(J49*'Active Mode Assumptions'!J7*'Active Mode Assumptions'!J14/(1+'Active Mode Assumptions'!J7))-(J50*'Active Mode Assumptions'!J16*'Active Mode Assumptions'!J23/(1+'Active Mode Assumptions'!J16))</f>
        <v>30.801690879570753</v>
      </c>
      <c r="K51" s="1">
        <f ca="1">K161*'Total Trip Tables Sup #1'!K51-(K49*'Active Mode Assumptions'!K7*'Active Mode Assumptions'!K14/(1+'Active Mode Assumptions'!K7))-(K50*'Active Mode Assumptions'!K16*'Active Mode Assumptions'!K23/(1+'Active Mode Assumptions'!K16))</f>
        <v>30.36774709605735</v>
      </c>
    </row>
    <row r="52" spans="1:11" x14ac:dyDescent="0.2">
      <c r="A52" t="str">
        <f ca="1">OFFSET(Gisborne_Reference,21,2)</f>
        <v>Light Vehicle Passenger</v>
      </c>
      <c r="B52" s="4">
        <f ca="1">B162*'Total Trip Tables Sup #1'!B52</f>
        <v>18.791024854000003</v>
      </c>
      <c r="C52" s="4">
        <f ca="1">C162*'Total Trip Tables Sup #1'!C52-(C49*'Active Mode Assumptions'!C7*'Active Mode Assumptions'!C15/(1+'Active Mode Assumptions'!C7))-(C50*'Active Mode Assumptions'!C16*'Active Mode Assumptions'!C24/(1+'Active Mode Assumptions'!C16))</f>
        <v>18.846553731578016</v>
      </c>
      <c r="D52" s="4">
        <f ca="1">D162*'Total Trip Tables Sup #1'!D52-(D49*'Active Mode Assumptions'!D7*'Active Mode Assumptions'!D15/(1+'Active Mode Assumptions'!D7))-(D50*'Active Mode Assumptions'!D16*'Active Mode Assumptions'!D24/(1+'Active Mode Assumptions'!D16))</f>
        <v>18.819829617832106</v>
      </c>
      <c r="E52" s="4">
        <f ca="1">E162*'Total Trip Tables Sup #1'!E52-(E49*'Active Mode Assumptions'!E7*'Active Mode Assumptions'!E15/(1+'Active Mode Assumptions'!E7))-(E50*'Active Mode Assumptions'!E16*'Active Mode Assumptions'!E24/(1+'Active Mode Assumptions'!E16))</f>
        <v>18.673309612313115</v>
      </c>
      <c r="F52" s="4">
        <f ca="1">F162*'Total Trip Tables Sup #1'!F52-(F49*'Active Mode Assumptions'!F7*'Active Mode Assumptions'!F15/(1+'Active Mode Assumptions'!F7))-(F50*'Active Mode Assumptions'!F16*'Active Mode Assumptions'!F24/(1+'Active Mode Assumptions'!F16))</f>
        <v>18.478971616558489</v>
      </c>
      <c r="G52" s="4">
        <f ca="1">G162*'Total Trip Tables Sup #1'!G52-(G49*'Active Mode Assumptions'!G7*'Active Mode Assumptions'!G15/(1+'Active Mode Assumptions'!G7))-(G50*'Active Mode Assumptions'!G16*'Active Mode Assumptions'!G24/(1+'Active Mode Assumptions'!G16))</f>
        <v>18.158839191756922</v>
      </c>
      <c r="H52" s="4">
        <f ca="1">H162*'Total Trip Tables Sup #1'!H52-(H49*'Active Mode Assumptions'!H7*'Active Mode Assumptions'!H15/(1+'Active Mode Assumptions'!H7))-(H50*'Active Mode Assumptions'!H16*'Active Mode Assumptions'!H24/(1+'Active Mode Assumptions'!H16))</f>
        <v>17.752523838321441</v>
      </c>
      <c r="I52" s="1">
        <f ca="1">I162*'Total Trip Tables Sup #1'!I52-(I49*'Active Mode Assumptions'!I7*'Active Mode Assumptions'!I15/(1+'Active Mode Assumptions'!I7))-(I50*'Active Mode Assumptions'!I16*'Active Mode Assumptions'!I24/(1+'Active Mode Assumptions'!I16))</f>
        <v>17.596172742860904</v>
      </c>
      <c r="J52" s="1">
        <f ca="1">J162*'Total Trip Tables Sup #1'!J52-(J49*'Active Mode Assumptions'!J7*'Active Mode Assumptions'!J15/(1+'Active Mode Assumptions'!J7))-(J50*'Active Mode Assumptions'!J16*'Active Mode Assumptions'!J24/(1+'Active Mode Assumptions'!J16))</f>
        <v>17.385661282544174</v>
      </c>
      <c r="K52" s="1">
        <f ca="1">K162*'Total Trip Tables Sup #1'!K52-(K49*'Active Mode Assumptions'!K7*'Active Mode Assumptions'!K15/(1+'Active Mode Assumptions'!K7))-(K50*'Active Mode Assumptions'!K16*'Active Mode Assumptions'!K24/(1+'Active Mode Assumptions'!K16))</f>
        <v>17.140727824409275</v>
      </c>
    </row>
    <row r="53" spans="1:11" x14ac:dyDescent="0.2">
      <c r="A53" t="str">
        <f ca="1">OFFSET(Gisborne_Reference,28,2)</f>
        <v>Taxi/Vehicle Share</v>
      </c>
      <c r="B53" s="4">
        <f ca="1">B163*'Total Trip Tables Sup #1'!B53</f>
        <v>2.27015811E-2</v>
      </c>
      <c r="C53" s="4">
        <f ca="1">C163*'Total Trip Tables Sup #1'!C53</f>
        <v>2.5017098825534514E-2</v>
      </c>
      <c r="D53" s="4">
        <f ca="1">D163*'Total Trip Tables Sup #1'!D53</f>
        <v>2.673633724688023E-2</v>
      </c>
      <c r="E53" s="4">
        <f ca="1">E163*'Total Trip Tables Sup #1'!E53</f>
        <v>2.8241220692972656E-2</v>
      </c>
      <c r="F53" s="4">
        <f ca="1">F163*'Total Trip Tables Sup #1'!F53</f>
        <v>2.9418666428921405E-2</v>
      </c>
      <c r="G53" s="4">
        <f ca="1">G163*'Total Trip Tables Sup #1'!G53</f>
        <v>3.011453686792875E-2</v>
      </c>
      <c r="H53" s="4">
        <f ca="1">H163*'Total Trip Tables Sup #1'!H53</f>
        <v>3.0706507273734515E-2</v>
      </c>
      <c r="I53" s="1">
        <f ca="1">I163*'Total Trip Tables Sup #1'!I53</f>
        <v>3.0386813285540788E-2</v>
      </c>
      <c r="J53" s="1">
        <f ca="1">J163*'Total Trip Tables Sup #1'!J53</f>
        <v>2.9973670981273723E-2</v>
      </c>
      <c r="K53" s="1">
        <f ca="1">K163*'Total Trip Tables Sup #1'!K53</f>
        <v>2.9501614853168361E-2</v>
      </c>
    </row>
    <row r="54" spans="1:11" x14ac:dyDescent="0.2">
      <c r="A54" t="str">
        <f ca="1">OFFSET(Gisborne_Reference,35,2)</f>
        <v>Motorcyclist</v>
      </c>
      <c r="B54" s="4">
        <f ca="1">B164*'Total Trip Tables Sup #1'!B54</f>
        <v>0.20072163900000001</v>
      </c>
      <c r="C54" s="4">
        <f ca="1">C164*'Total Trip Tables Sup #1'!C54</f>
        <v>0.20785646448924675</v>
      </c>
      <c r="D54" s="4">
        <f ca="1">D164*'Total Trip Tables Sup #1'!D54</f>
        <v>0.21058380498103935</v>
      </c>
      <c r="E54" s="4">
        <f ca="1">E164*'Total Trip Tables Sup #1'!E54</f>
        <v>0.20996813537183262</v>
      </c>
      <c r="F54" s="4">
        <f ca="1">F164*'Total Trip Tables Sup #1'!F54</f>
        <v>0.20813827781498723</v>
      </c>
      <c r="G54" s="4">
        <f ca="1">G164*'Total Trip Tables Sup #1'!G54</f>
        <v>0.20233859393356282</v>
      </c>
      <c r="H54" s="4">
        <f ca="1">H164*'Total Trip Tables Sup #1'!H54</f>
        <v>0.19561835744080142</v>
      </c>
      <c r="I54" s="1">
        <f ca="1">I164*'Total Trip Tables Sup #1'!I54</f>
        <v>0.19491562116853772</v>
      </c>
      <c r="J54" s="1">
        <f ca="1">J164*'Total Trip Tables Sup #1'!J54</f>
        <v>0.19360071419138586</v>
      </c>
      <c r="K54" s="1">
        <f ca="1">K164*'Total Trip Tables Sup #1'!K54</f>
        <v>0.19188427138478178</v>
      </c>
    </row>
    <row r="55" spans="1:11" x14ac:dyDescent="0.2">
      <c r="A55" t="str">
        <f ca="1">OFFSET(Gisborne_Reference,42,2)</f>
        <v>Local Train</v>
      </c>
      <c r="B55" s="4">
        <f ca="1">B165*'Total Trip Tables Sup #1'!B55</f>
        <v>0</v>
      </c>
      <c r="C55" s="4">
        <f ca="1">C165*'Total Trip Tables Sup #1'!C55</f>
        <v>0</v>
      </c>
      <c r="D55" s="4">
        <f ca="1">D165*'Total Trip Tables Sup #1'!D55</f>
        <v>0</v>
      </c>
      <c r="E55" s="4">
        <f ca="1">E165*'Total Trip Tables Sup #1'!E55</f>
        <v>0</v>
      </c>
      <c r="F55" s="4">
        <f ca="1">F165*'Total Trip Tables Sup #1'!F55</f>
        <v>0</v>
      </c>
      <c r="G55" s="4">
        <f ca="1">G165*'Total Trip Tables Sup #1'!G55</f>
        <v>0</v>
      </c>
      <c r="H55" s="4">
        <f ca="1">H165*'Total Trip Tables Sup #1'!H55</f>
        <v>0</v>
      </c>
      <c r="I55" s="1">
        <f ca="1">I165*'Total Trip Tables Sup #1'!I55</f>
        <v>0</v>
      </c>
      <c r="J55" s="1">
        <f ca="1">J165*'Total Trip Tables Sup #1'!J55</f>
        <v>0</v>
      </c>
      <c r="K55" s="1">
        <f ca="1">K165*'Total Trip Tables Sup #1'!K55</f>
        <v>0</v>
      </c>
    </row>
    <row r="56" spans="1:11" x14ac:dyDescent="0.2">
      <c r="A56" t="str">
        <f ca="1">OFFSET(Gisborne_Reference,49,2)</f>
        <v>Local Bus</v>
      </c>
      <c r="B56" s="4">
        <f ca="1">B166*'Total Trip Tables Sup #1'!B56</f>
        <v>0.39415976190000002</v>
      </c>
      <c r="C56" s="4">
        <f ca="1">C166*'Total Trip Tables Sup #1'!C56</f>
        <v>0.37874828199728566</v>
      </c>
      <c r="D56" s="4">
        <f ca="1">D166*'Total Trip Tables Sup #1'!D56</f>
        <v>0.36706271374934935</v>
      </c>
      <c r="E56" s="4">
        <f ca="1">E166*'Total Trip Tables Sup #1'!E56</f>
        <v>0.35948197937051712</v>
      </c>
      <c r="F56" s="4">
        <f ca="1">F166*'Total Trip Tables Sup #1'!F56</f>
        <v>0.34837078389846732</v>
      </c>
      <c r="G56" s="4">
        <f ca="1">G166*'Total Trip Tables Sup #1'!G56</f>
        <v>0.33926345014214243</v>
      </c>
      <c r="H56" s="4">
        <f ca="1">H166*'Total Trip Tables Sup #1'!H56</f>
        <v>0.32879780337572262</v>
      </c>
      <c r="I56" s="1">
        <f ca="1">I166*'Total Trip Tables Sup #1'!I56</f>
        <v>0.32614049830473119</v>
      </c>
      <c r="J56" s="1">
        <f ca="1">J166*'Total Trip Tables Sup #1'!J56</f>
        <v>0.32247684628219792</v>
      </c>
      <c r="K56" s="1">
        <f ca="1">K166*'Total Trip Tables Sup #1'!K56</f>
        <v>0.31817095352467051</v>
      </c>
    </row>
    <row r="57" spans="1:11" x14ac:dyDescent="0.2">
      <c r="A57" t="str">
        <f ca="1">OFFSET(Gisborne_Reference,56,2)</f>
        <v>Local Ferry</v>
      </c>
      <c r="B57" s="4">
        <f ca="1">B167*'Total Trip Tables Sup #1'!B57</f>
        <v>1.5651153399999999E-2</v>
      </c>
      <c r="C57" s="4">
        <f ca="1">C167*'Total Trip Tables Sup #1'!C57</f>
        <v>1.6826427410116678E-2</v>
      </c>
      <c r="D57" s="4">
        <f ca="1">D167*'Total Trip Tables Sup #1'!D57</f>
        <v>1.7684647049292623E-2</v>
      </c>
      <c r="E57" s="4">
        <f ca="1">E167*'Total Trip Tables Sup #1'!E57</f>
        <v>1.8234674891820984E-2</v>
      </c>
      <c r="F57" s="4">
        <f ca="1">F167*'Total Trip Tables Sup #1'!F57</f>
        <v>1.8588759283023427E-2</v>
      </c>
      <c r="G57" s="4">
        <f ca="1">G167*'Total Trip Tables Sup #1'!G57</f>
        <v>1.9292912477587496E-2</v>
      </c>
      <c r="H57" s="4">
        <f ca="1">H167*'Total Trip Tables Sup #1'!H57</f>
        <v>1.9869541349225944E-2</v>
      </c>
      <c r="I57" s="1">
        <f ca="1">I167*'Total Trip Tables Sup #1'!I57</f>
        <v>1.937674327174476E-2</v>
      </c>
      <c r="J57" s="1">
        <f ca="1">J167*'Total Trip Tables Sup #1'!J57</f>
        <v>1.8840162846573617E-2</v>
      </c>
      <c r="K57" s="1">
        <f ca="1">K167*'Total Trip Tables Sup #1'!K57</f>
        <v>1.8283112189539333E-2</v>
      </c>
    </row>
    <row r="58" spans="1:11" x14ac:dyDescent="0.2">
      <c r="A58" t="str">
        <f ca="1">OFFSET(Gisborne_Reference,63,2)</f>
        <v>Other Household Travel</v>
      </c>
      <c r="B58" s="4">
        <f ca="1">B168*'Total Trip Tables Sup #1'!B58</f>
        <v>3.13358953E-2</v>
      </c>
      <c r="C58" s="4">
        <f ca="1">C168*'Total Trip Tables Sup #1'!C58</f>
        <v>3.2590405687196455E-2</v>
      </c>
      <c r="D58" s="4">
        <f ca="1">D168*'Total Trip Tables Sup #1'!D58</f>
        <v>3.3874038751515942E-2</v>
      </c>
      <c r="E58" s="4">
        <f ca="1">E168*'Total Trip Tables Sup #1'!E58</f>
        <v>3.5231830222690261E-2</v>
      </c>
      <c r="F58" s="4">
        <f ca="1">F168*'Total Trip Tables Sup #1'!F58</f>
        <v>3.6588940763976209E-2</v>
      </c>
      <c r="G58" s="4">
        <f ca="1">G168*'Total Trip Tables Sup #1'!G58</f>
        <v>3.7855987846307219E-2</v>
      </c>
      <c r="H58" s="4">
        <f ca="1">H168*'Total Trip Tables Sup #1'!H58</f>
        <v>3.8814098974309708E-2</v>
      </c>
      <c r="I58" s="1">
        <f ca="1">I168*'Total Trip Tables Sup #1'!I58</f>
        <v>3.8592585575606186E-2</v>
      </c>
      <c r="J58" s="1">
        <f ca="1">J168*'Total Trip Tables Sup #1'!J58</f>
        <v>3.8251195449215035E-2</v>
      </c>
      <c r="K58" s="1">
        <f ca="1">K168*'Total Trip Tables Sup #1'!K58</f>
        <v>3.7832293919033678E-2</v>
      </c>
    </row>
    <row r="59" spans="1:11" x14ac:dyDescent="0.2">
      <c r="A59" t="str">
        <f ca="1">OFFSET(Hawkes_Bay_Reference,0,0)</f>
        <v>06 HAWKE`S BAY</v>
      </c>
      <c r="I59" s="1"/>
      <c r="J59" s="1"/>
      <c r="K59" s="1"/>
    </row>
    <row r="60" spans="1:11" x14ac:dyDescent="0.2">
      <c r="A60" t="str">
        <f ca="1">OFFSET(Hawkes_Bay_Reference,0,2)</f>
        <v>Pedestrian</v>
      </c>
      <c r="B60" s="4">
        <f ca="1">B159*'Total Trip Tables Sup #1'!B60</f>
        <v>26.538300281000001</v>
      </c>
      <c r="C60" s="4">
        <f ca="1">C159*'Total Trip Tables Sup #1'!C60*(1+'Active Mode Assumptions'!C7)</f>
        <v>27.423912940206382</v>
      </c>
      <c r="D60" s="4">
        <f ca="1">D159*'Total Trip Tables Sup #1'!D60*(1+'Active Mode Assumptions'!D7)</f>
        <v>27.80988514293098</v>
      </c>
      <c r="E60" s="4">
        <f ca="1">E159*'Total Trip Tables Sup #1'!E60*(1+'Active Mode Assumptions'!E7)</f>
        <v>28.037150047095615</v>
      </c>
      <c r="F60" s="4">
        <f ca="1">F159*'Total Trip Tables Sup #1'!F60*(1+'Active Mode Assumptions'!F7)</f>
        <v>27.962289564107735</v>
      </c>
      <c r="G60" s="4">
        <f ca="1">G159*'Total Trip Tables Sup #1'!G60*(1+'Active Mode Assumptions'!G7)</f>
        <v>27.74136502091547</v>
      </c>
      <c r="H60" s="4">
        <f ca="1">H159*'Total Trip Tables Sup #1'!H60*(1+'Active Mode Assumptions'!H7)</f>
        <v>27.387142002524886</v>
      </c>
      <c r="I60" s="1">
        <f ca="1">I159*'Total Trip Tables Sup #1'!I60*(1+'Active Mode Assumptions'!I7)</f>
        <v>27.203593878971514</v>
      </c>
      <c r="J60" s="1">
        <f ca="1">J159*'Total Trip Tables Sup #1'!J60*(1+'Active Mode Assumptions'!J7)</f>
        <v>26.935597689180454</v>
      </c>
      <c r="K60" s="1">
        <f ca="1">K159*'Total Trip Tables Sup #1'!K60*(1+'Active Mode Assumptions'!K7)</f>
        <v>26.613235890662313</v>
      </c>
    </row>
    <row r="61" spans="1:11" x14ac:dyDescent="0.2">
      <c r="A61" t="str">
        <f ca="1">OFFSET(Hawkes_Bay_Reference,7,2)</f>
        <v>Cyclist</v>
      </c>
      <c r="B61" s="4">
        <f ca="1">B160*'Total Trip Tables Sup #1'!B61</f>
        <v>3.1819840940000002</v>
      </c>
      <c r="C61" s="4">
        <f ca="1">C160*'Total Trip Tables Sup #1'!C61*(1+'Active Mode Assumptions'!C16)</f>
        <v>3.2819340212736554</v>
      </c>
      <c r="D61" s="4">
        <f ca="1">D160*'Total Trip Tables Sup #1'!D61*(1+'Active Mode Assumptions'!D16)</f>
        <v>3.3009343372071567</v>
      </c>
      <c r="E61" s="4">
        <f ca="1">E160*'Total Trip Tables Sup #1'!E61*(1+'Active Mode Assumptions'!E16)</f>
        <v>3.2988587423782176</v>
      </c>
      <c r="F61" s="4">
        <f ca="1">F160*'Total Trip Tables Sup #1'!F61*(1+'Active Mode Assumptions'!F16)</f>
        <v>3.2846083357880227</v>
      </c>
      <c r="G61" s="4">
        <f ca="1">G160*'Total Trip Tables Sup #1'!G61*(1+'Active Mode Assumptions'!G16)</f>
        <v>3.262478551226359</v>
      </c>
      <c r="H61" s="4">
        <f ca="1">H160*'Total Trip Tables Sup #1'!H61*(1+'Active Mode Assumptions'!H16)</f>
        <v>3.231725209091739</v>
      </c>
      <c r="I61" s="1">
        <f ca="1">I160*'Total Trip Tables Sup #1'!I61*(1+'Active Mode Assumptions'!I16)</f>
        <v>3.228369152029098</v>
      </c>
      <c r="J61" s="1">
        <f ca="1">J160*'Total Trip Tables Sup #1'!J61*(1+'Active Mode Assumptions'!J16)</f>
        <v>3.2150746765305889</v>
      </c>
      <c r="K61" s="1">
        <f ca="1">K160*'Total Trip Tables Sup #1'!K61*(1+'Active Mode Assumptions'!K16)</f>
        <v>3.1952713691665577</v>
      </c>
    </row>
    <row r="62" spans="1:11" x14ac:dyDescent="0.2">
      <c r="A62" t="str">
        <f ca="1">OFFSET(Hawkes_Bay_Reference,14,2)</f>
        <v>Light Vehicle Driver</v>
      </c>
      <c r="B62" s="4">
        <f ca="1">B161*'Total Trip Tables Sup #1'!B62</f>
        <v>111.16933473</v>
      </c>
      <c r="C62" s="4">
        <f ca="1">C161*'Total Trip Tables Sup #1'!C62-(C60*'Active Mode Assumptions'!C7*'Active Mode Assumptions'!C14/(1+'Active Mode Assumptions'!C7))-(C61*'Active Mode Assumptions'!C16*'Active Mode Assumptions'!C23/(1+'Active Mode Assumptions'!C16))</f>
        <v>117.98054516115759</v>
      </c>
      <c r="D62" s="4">
        <f ca="1">D161*'Total Trip Tables Sup #1'!D62-(D60*'Active Mode Assumptions'!D7*'Active Mode Assumptions'!D14/(1+'Active Mode Assumptions'!D7))-(D61*'Active Mode Assumptions'!D16*'Active Mode Assumptions'!D23/(1+'Active Mode Assumptions'!D16))</f>
        <v>121.63357900558486</v>
      </c>
      <c r="E62" s="4">
        <f ca="1">E161*'Total Trip Tables Sup #1'!E62-(E60*'Active Mode Assumptions'!E7*'Active Mode Assumptions'!E14/(1+'Active Mode Assumptions'!E7))-(E61*'Active Mode Assumptions'!E16*'Active Mode Assumptions'!E23/(1+'Active Mode Assumptions'!E16))</f>
        <v>123.53382836624722</v>
      </c>
      <c r="F62" s="4">
        <f ca="1">F161*'Total Trip Tables Sup #1'!F62-(F60*'Active Mode Assumptions'!F7*'Active Mode Assumptions'!F14/(1+'Active Mode Assumptions'!F7))-(F61*'Active Mode Assumptions'!F16*'Active Mode Assumptions'!F23/(1+'Active Mode Assumptions'!F16))</f>
        <v>124.65719474363245</v>
      </c>
      <c r="G62" s="4">
        <f ca="1">G161*'Total Trip Tables Sup #1'!G62-(G60*'Active Mode Assumptions'!G7*'Active Mode Assumptions'!G14/(1+'Active Mode Assumptions'!G7))-(G61*'Active Mode Assumptions'!G16*'Active Mode Assumptions'!G23/(1+'Active Mode Assumptions'!G16))</f>
        <v>124.4845860891829</v>
      </c>
      <c r="H62" s="4">
        <f ca="1">H161*'Total Trip Tables Sup #1'!H62-(H60*'Active Mode Assumptions'!H7*'Active Mode Assumptions'!H14/(1+'Active Mode Assumptions'!H7))-(H61*'Active Mode Assumptions'!H16*'Active Mode Assumptions'!H23/(1+'Active Mode Assumptions'!H16))</f>
        <v>123.71608101353483</v>
      </c>
      <c r="I62" s="1">
        <f ca="1">I161*'Total Trip Tables Sup #1'!I62-(I60*'Active Mode Assumptions'!I7*'Active Mode Assumptions'!I14/(1+'Active Mode Assumptions'!I7))-(I61*'Active Mode Assumptions'!I16*'Active Mode Assumptions'!I23/(1+'Active Mode Assumptions'!I16))</f>
        <v>122.93087801121321</v>
      </c>
      <c r="J62" s="1">
        <f ca="1">J161*'Total Trip Tables Sup #1'!J62-(J60*'Active Mode Assumptions'!J7*'Active Mode Assumptions'!J14/(1+'Active Mode Assumptions'!J7))-(J61*'Active Mode Assumptions'!J16*'Active Mode Assumptions'!J23/(1+'Active Mode Assumptions'!J16))</f>
        <v>121.76218407824639</v>
      </c>
      <c r="K62" s="1">
        <f ca="1">K161*'Total Trip Tables Sup #1'!K62-(K60*'Active Mode Assumptions'!K7*'Active Mode Assumptions'!K14/(1+'Active Mode Assumptions'!K7))-(K61*'Active Mode Assumptions'!K16*'Active Mode Assumptions'!K23/(1+'Active Mode Assumptions'!K16))</f>
        <v>120.34572448334033</v>
      </c>
    </row>
    <row r="63" spans="1:11" x14ac:dyDescent="0.2">
      <c r="A63" t="str">
        <f ca="1">OFFSET(Hawkes_Bay_Reference,21,2)</f>
        <v>Light Vehicle Passenger</v>
      </c>
      <c r="B63" s="4">
        <f ca="1">B162*'Total Trip Tables Sup #1'!B63</f>
        <v>58.497679762000011</v>
      </c>
      <c r="C63" s="4">
        <f ca="1">C162*'Total Trip Tables Sup #1'!C63-(C60*'Active Mode Assumptions'!C7*'Active Mode Assumptions'!C15/(1+'Active Mode Assumptions'!C7))-(C61*'Active Mode Assumptions'!C16*'Active Mode Assumptions'!C24/(1+'Active Mode Assumptions'!C16))</f>
        <v>59.051064932849378</v>
      </c>
      <c r="D63" s="4">
        <f ca="1">D162*'Total Trip Tables Sup #1'!D63-(D60*'Active Mode Assumptions'!D7*'Active Mode Assumptions'!D15/(1+'Active Mode Assumptions'!D7))-(D61*'Active Mode Assumptions'!D16*'Active Mode Assumptions'!D24/(1+'Active Mode Assumptions'!D16))</f>
        <v>59.057238649143045</v>
      </c>
      <c r="E63" s="4">
        <f ca="1">E162*'Total Trip Tables Sup #1'!E63-(E60*'Active Mode Assumptions'!E7*'Active Mode Assumptions'!E15/(1+'Active Mode Assumptions'!E7))-(E61*'Active Mode Assumptions'!E16*'Active Mode Assumptions'!E24/(1+'Active Mode Assumptions'!E16))</f>
        <v>58.758894633585989</v>
      </c>
      <c r="F63" s="4">
        <f ca="1">F162*'Total Trip Tables Sup #1'!F63-(F60*'Active Mode Assumptions'!F7*'Active Mode Assumptions'!F15/(1+'Active Mode Assumptions'!F7))-(F61*'Active Mode Assumptions'!F16*'Active Mode Assumptions'!F24/(1+'Active Mode Assumptions'!F16))</f>
        <v>58.242836613897936</v>
      </c>
      <c r="G63" s="4">
        <f ca="1">G162*'Total Trip Tables Sup #1'!G63-(G60*'Active Mode Assumptions'!G7*'Active Mode Assumptions'!G15/(1+'Active Mode Assumptions'!G7))-(G61*'Active Mode Assumptions'!G16*'Active Mode Assumptions'!G24/(1+'Active Mode Assumptions'!G16))</f>
        <v>57.41483589064643</v>
      </c>
      <c r="H63" s="4">
        <f ca="1">H162*'Total Trip Tables Sup #1'!H63-(H60*'Active Mode Assumptions'!H7*'Active Mode Assumptions'!H15/(1+'Active Mode Assumptions'!H7))-(H61*'Active Mode Assumptions'!H16*'Active Mode Assumptions'!H24/(1+'Active Mode Assumptions'!H16))</f>
        <v>56.269929354500704</v>
      </c>
      <c r="I63" s="1">
        <f ca="1">I162*'Total Trip Tables Sup #1'!I63-(I60*'Active Mode Assumptions'!I7*'Active Mode Assumptions'!I15/(1+'Active Mode Assumptions'!I7))-(I61*'Active Mode Assumptions'!I16*'Active Mode Assumptions'!I24/(1+'Active Mode Assumptions'!I16))</f>
        <v>55.913245601483851</v>
      </c>
      <c r="J63" s="1">
        <f ca="1">J162*'Total Trip Tables Sup #1'!J63-(J60*'Active Mode Assumptions'!J7*'Active Mode Assumptions'!J15/(1+'Active Mode Assumptions'!J7))-(J61*'Active Mode Assumptions'!J16*'Active Mode Assumptions'!J24/(1+'Active Mode Assumptions'!J16))</f>
        <v>55.381908808332625</v>
      </c>
      <c r="K63" s="1">
        <f ca="1">K162*'Total Trip Tables Sup #1'!K63-(K60*'Active Mode Assumptions'!K7*'Active Mode Assumptions'!K15/(1+'Active Mode Assumptions'!K7))-(K61*'Active Mode Assumptions'!K16*'Active Mode Assumptions'!K24/(1+'Active Mode Assumptions'!K16))</f>
        <v>54.737654640081615</v>
      </c>
    </row>
    <row r="64" spans="1:11" x14ac:dyDescent="0.2">
      <c r="A64" t="str">
        <f ca="1">OFFSET(Hawkes_Bay_Reference,28,2)</f>
        <v>Taxi/Vehicle Share</v>
      </c>
      <c r="B64" s="4">
        <f ca="1">B163*'Total Trip Tables Sup #1'!B64</f>
        <v>0.32519619989999998</v>
      </c>
      <c r="C64" s="4">
        <f ca="1">C163*'Total Trip Tables Sup #1'!C64</f>
        <v>0.36068984397201681</v>
      </c>
      <c r="D64" s="4">
        <f ca="1">D163*'Total Trip Tables Sup #1'!D64</f>
        <v>0.38606509935232908</v>
      </c>
      <c r="E64" s="4">
        <f ca="1">E163*'Total Trip Tables Sup #1'!E64</f>
        <v>0.40891869536063818</v>
      </c>
      <c r="F64" s="4">
        <f ca="1">F163*'Total Trip Tables Sup #1'!F64</f>
        <v>0.4266668333216958</v>
      </c>
      <c r="G64" s="4">
        <f ca="1">G163*'Total Trip Tables Sup #1'!G64</f>
        <v>0.43814051694957051</v>
      </c>
      <c r="H64" s="4">
        <f ca="1">H163*'Total Trip Tables Sup #1'!H64</f>
        <v>0.44786576725853533</v>
      </c>
      <c r="I64" s="1">
        <f ca="1">I163*'Total Trip Tables Sup #1'!I64</f>
        <v>0.44430666251034567</v>
      </c>
      <c r="J64" s="1">
        <f ca="1">J163*'Total Trip Tables Sup #1'!J64</f>
        <v>0.43935727749565967</v>
      </c>
      <c r="K64" s="1">
        <f ca="1">K163*'Total Trip Tables Sup #1'!K64</f>
        <v>0.43351476925945021</v>
      </c>
    </row>
    <row r="65" spans="1:11" x14ac:dyDescent="0.2">
      <c r="A65" t="str">
        <f ca="1">OFFSET(Hawkes_Bay_Reference,35,2)</f>
        <v>Motorcyclist</v>
      </c>
      <c r="B65" s="4">
        <f ca="1">B164*'Total Trip Tables Sup #1'!B65</f>
        <v>0.65061969099999994</v>
      </c>
      <c r="C65" s="4">
        <f ca="1">C164*'Total Trip Tables Sup #1'!C65</f>
        <v>0.67811625962670852</v>
      </c>
      <c r="D65" s="4">
        <f ca="1">D164*'Total Trip Tables Sup #1'!D65</f>
        <v>0.68806149191531352</v>
      </c>
      <c r="E65" s="4">
        <f ca="1">E164*'Total Trip Tables Sup #1'!E65</f>
        <v>0.68793997375198879</v>
      </c>
      <c r="F65" s="4">
        <f ca="1">F164*'Total Trip Tables Sup #1'!F65</f>
        <v>0.68306418014327985</v>
      </c>
      <c r="G65" s="4">
        <f ca="1">G164*'Total Trip Tables Sup #1'!G65</f>
        <v>0.6661309426063512</v>
      </c>
      <c r="H65" s="4">
        <f ca="1">H164*'Total Trip Tables Sup #1'!H65</f>
        <v>0.64561068304403546</v>
      </c>
      <c r="I65" s="1">
        <f ca="1">I164*'Total Trip Tables Sup #1'!I65</f>
        <v>0.64489345121333175</v>
      </c>
      <c r="J65" s="1">
        <f ca="1">J164*'Total Trip Tables Sup #1'!J65</f>
        <v>0.64213818453892535</v>
      </c>
      <c r="K65" s="1">
        <f ca="1">K164*'Total Trip Tables Sup #1'!K65</f>
        <v>0.63803005706922578</v>
      </c>
    </row>
    <row r="66" spans="1:11" x14ac:dyDescent="0.2">
      <c r="A66" t="str">
        <f ca="1">OFFSET(Auckland_Reference,42,2)</f>
        <v>Local Train</v>
      </c>
      <c r="B66" s="4">
        <f ca="1">B165*'Total Trip Tables Sup #1'!B66</f>
        <v>0</v>
      </c>
      <c r="C66" s="4">
        <f ca="1">C165*'Total Trip Tables Sup #1'!C66</f>
        <v>0</v>
      </c>
      <c r="D66" s="4">
        <f ca="1">D165*'Total Trip Tables Sup #1'!D66</f>
        <v>0</v>
      </c>
      <c r="E66" s="4">
        <f ca="1">E165*'Total Trip Tables Sup #1'!E66</f>
        <v>0</v>
      </c>
      <c r="F66" s="4">
        <f ca="1">F165*'Total Trip Tables Sup #1'!F66</f>
        <v>0</v>
      </c>
      <c r="G66" s="4">
        <f ca="1">G165*'Total Trip Tables Sup #1'!G66</f>
        <v>0</v>
      </c>
      <c r="H66" s="4">
        <f ca="1">H165*'Total Trip Tables Sup #1'!H66</f>
        <v>0</v>
      </c>
      <c r="I66" s="1">
        <f ca="1">I165*'Total Trip Tables Sup #1'!I66</f>
        <v>0</v>
      </c>
      <c r="J66" s="1">
        <f ca="1">J165*'Total Trip Tables Sup #1'!J66</f>
        <v>0</v>
      </c>
      <c r="K66" s="1">
        <f ca="1">K165*'Total Trip Tables Sup #1'!K66</f>
        <v>0</v>
      </c>
    </row>
    <row r="67" spans="1:11" x14ac:dyDescent="0.2">
      <c r="A67" t="str">
        <f ca="1">OFFSET(Hawkes_Bay_Reference,42,2)</f>
        <v>Local Bus</v>
      </c>
      <c r="B67" s="4">
        <f ca="1">B166*'Total Trip Tables Sup #1'!B67</f>
        <v>4.5218645043999999</v>
      </c>
      <c r="C67" s="4">
        <f ca="1">C166*'Total Trip Tables Sup #1'!C67</f>
        <v>4.3732423270360963</v>
      </c>
      <c r="D67" s="4">
        <f ca="1">D166*'Total Trip Tables Sup #1'!D67</f>
        <v>4.2447762688594617</v>
      </c>
      <c r="E67" s="4">
        <f ca="1">E166*'Total Trip Tables Sup #1'!E67</f>
        <v>4.1685645190437244</v>
      </c>
      <c r="F67" s="4">
        <f ca="1">F166*'Total Trip Tables Sup #1'!F67</f>
        <v>4.046350785892785</v>
      </c>
      <c r="G67" s="4">
        <f ca="1">G166*'Total Trip Tables Sup #1'!G67</f>
        <v>3.9530308495596573</v>
      </c>
      <c r="H67" s="4">
        <f ca="1">H166*'Total Trip Tables Sup #1'!H67</f>
        <v>3.8406281167955996</v>
      </c>
      <c r="I67" s="1">
        <f ca="1">I166*'Total Trip Tables Sup #1'!I67</f>
        <v>3.8190759938226013</v>
      </c>
      <c r="J67" s="1">
        <f ca="1">J166*'Total Trip Tables Sup #1'!J67</f>
        <v>3.7855791244465249</v>
      </c>
      <c r="K67" s="1">
        <f ca="1">K166*'Total Trip Tables Sup #1'!K67</f>
        <v>3.7443336415254262</v>
      </c>
    </row>
    <row r="68" spans="1:11" x14ac:dyDescent="0.2">
      <c r="A68" t="str">
        <f ca="1">OFFSET(Waikato_Reference,56,2)</f>
        <v>Local Ferry</v>
      </c>
      <c r="B68" s="4">
        <f ca="1">B167*'Total Trip Tables Sup #1'!B68</f>
        <v>0</v>
      </c>
      <c r="C68" s="4">
        <f ca="1">C167*'Total Trip Tables Sup #1'!C68</f>
        <v>0</v>
      </c>
      <c r="D68" s="4">
        <f ca="1">D167*'Total Trip Tables Sup #1'!D68</f>
        <v>0</v>
      </c>
      <c r="E68" s="4">
        <f ca="1">E167*'Total Trip Tables Sup #1'!E68</f>
        <v>0</v>
      </c>
      <c r="F68" s="4">
        <f ca="1">F167*'Total Trip Tables Sup #1'!F68</f>
        <v>0</v>
      </c>
      <c r="G68" s="4">
        <f ca="1">G167*'Total Trip Tables Sup #1'!G68</f>
        <v>0</v>
      </c>
      <c r="H68" s="4">
        <f ca="1">H167*'Total Trip Tables Sup #1'!H68</f>
        <v>0</v>
      </c>
      <c r="I68" s="1">
        <f ca="1">I167*'Total Trip Tables Sup #1'!I68</f>
        <v>0</v>
      </c>
      <c r="J68" s="1">
        <f ca="1">J167*'Total Trip Tables Sup #1'!J68</f>
        <v>0</v>
      </c>
      <c r="K68" s="1">
        <f ca="1">K167*'Total Trip Tables Sup #1'!K68</f>
        <v>0</v>
      </c>
    </row>
    <row r="69" spans="1:11" x14ac:dyDescent="0.2">
      <c r="A69" t="str">
        <f ca="1">OFFSET(Hawkes_Bay_Reference,49,2)</f>
        <v>Other Household Travel</v>
      </c>
      <c r="B69" s="4">
        <f ca="1">B168*'Total Trip Tables Sup #1'!B69</f>
        <v>0.49138149730000003</v>
      </c>
      <c r="C69" s="4">
        <f ca="1">C168*'Total Trip Tables Sup #1'!C69</f>
        <v>0.51436815349850595</v>
      </c>
      <c r="D69" s="4">
        <f ca="1">D168*'Total Trip Tables Sup #1'!D69</f>
        <v>0.53544263298101846</v>
      </c>
      <c r="E69" s="4">
        <f ca="1">E168*'Total Trip Tables Sup #1'!E69</f>
        <v>0.55843938722181619</v>
      </c>
      <c r="F69" s="4">
        <f ca="1">F168*'Total Trip Tables Sup #1'!F69</f>
        <v>0.58090227208283174</v>
      </c>
      <c r="G69" s="4">
        <f ca="1">G168*'Total Trip Tables Sup #1'!G69</f>
        <v>0.60291924523213936</v>
      </c>
      <c r="H69" s="4">
        <f ca="1">H168*'Total Trip Tables Sup #1'!H69</f>
        <v>0.61971825957826632</v>
      </c>
      <c r="I69" s="1">
        <f ca="1">I168*'Total Trip Tables Sup #1'!I69</f>
        <v>0.61771604149999304</v>
      </c>
      <c r="J69" s="1">
        <f ca="1">J168*'Total Trip Tables Sup #1'!J69</f>
        <v>0.61377647221283904</v>
      </c>
      <c r="K69" s="1">
        <f ca="1">K168*'Total Trip Tables Sup #1'!K69</f>
        <v>0.60856660872202417</v>
      </c>
    </row>
    <row r="70" spans="1:11" x14ac:dyDescent="0.2">
      <c r="A70" t="str">
        <f ca="1">OFFSET(Taranaki_Reference,0,0)</f>
        <v>07 TARANAKI</v>
      </c>
      <c r="I70" s="1"/>
      <c r="J70" s="1"/>
      <c r="K70" s="1"/>
    </row>
    <row r="71" spans="1:11" x14ac:dyDescent="0.2">
      <c r="A71" t="str">
        <f ca="1">OFFSET(Taranaki_Reference,0,2)</f>
        <v>Pedestrian</v>
      </c>
      <c r="B71" s="4">
        <f ca="1">B159*'Total Trip Tables Sup #1'!B71</f>
        <v>23.308571313000002</v>
      </c>
      <c r="C71" s="4">
        <f ca="1">C159*'Total Trip Tables Sup #1'!C71*(1+'Active Mode Assumptions'!C7)</f>
        <v>24.313859804670702</v>
      </c>
      <c r="D71" s="4">
        <f ca="1">D159*'Total Trip Tables Sup #1'!D71*(1+'Active Mode Assumptions'!D7)</f>
        <v>24.860000696402359</v>
      </c>
      <c r="E71" s="4">
        <f ca="1">E159*'Total Trip Tables Sup #1'!E71*(1+'Active Mode Assumptions'!E7)</f>
        <v>25.299126059983472</v>
      </c>
      <c r="F71" s="4">
        <f ca="1">F159*'Total Trip Tables Sup #1'!F71*(1+'Active Mode Assumptions'!F7)</f>
        <v>25.498881370268276</v>
      </c>
      <c r="G71" s="4">
        <f ca="1">G159*'Total Trip Tables Sup #1'!G71*(1+'Active Mode Assumptions'!G7)</f>
        <v>25.604015645072177</v>
      </c>
      <c r="H71" s="4">
        <f ca="1">H159*'Total Trip Tables Sup #1'!H71*(1+'Active Mode Assumptions'!H7)</f>
        <v>25.620517489873826</v>
      </c>
      <c r="I71" s="1">
        <f ca="1">I159*'Total Trip Tables Sup #1'!I71*(1+'Active Mode Assumptions'!I7)</f>
        <v>25.794575988739616</v>
      </c>
      <c r="J71" s="1">
        <f ca="1">J159*'Total Trip Tables Sup #1'!J71*(1+'Active Mode Assumptions'!J7)</f>
        <v>25.887472721523888</v>
      </c>
      <c r="K71" s="1">
        <f ca="1">K159*'Total Trip Tables Sup #1'!K71*(1+'Active Mode Assumptions'!K7)</f>
        <v>25.925172078509462</v>
      </c>
    </row>
    <row r="72" spans="1:11" x14ac:dyDescent="0.2">
      <c r="A72" t="str">
        <f ca="1">OFFSET(Taranaki_Reference,7,2)</f>
        <v>Cyclist</v>
      </c>
      <c r="B72" s="4">
        <f ca="1">B160*'Total Trip Tables Sup #1'!B72</f>
        <v>2.1611397319000001</v>
      </c>
      <c r="C72" s="4">
        <f ca="1">C160*'Total Trip Tables Sup #1'!C72*(1+'Active Mode Assumptions'!C16)</f>
        <v>2.2500730881179463</v>
      </c>
      <c r="D72" s="4">
        <f ca="1">D160*'Total Trip Tables Sup #1'!D72*(1+'Active Mode Assumptions'!D16)</f>
        <v>2.2818186182114686</v>
      </c>
      <c r="E72" s="4">
        <f ca="1">E160*'Total Trip Tables Sup #1'!E72*(1+'Active Mode Assumptions'!E16)</f>
        <v>2.3018534233935801</v>
      </c>
      <c r="F72" s="4">
        <f ca="1">F160*'Total Trip Tables Sup #1'!F72*(1+'Active Mode Assumptions'!F16)</f>
        <v>2.3161905383385295</v>
      </c>
      <c r="G72" s="4">
        <f ca="1">G160*'Total Trip Tables Sup #1'!G72*(1+'Active Mode Assumptions'!G16)</f>
        <v>2.3284676843676428</v>
      </c>
      <c r="H72" s="4">
        <f ca="1">H160*'Total Trip Tables Sup #1'!H72*(1+'Active Mode Assumptions'!H16)</f>
        <v>2.3378567820057028</v>
      </c>
      <c r="I72" s="1">
        <f ca="1">I160*'Total Trip Tables Sup #1'!I72*(1+'Active Mode Assumptions'!I16)</f>
        <v>2.3671598840271373</v>
      </c>
      <c r="J72" s="1">
        <f ca="1">J160*'Total Trip Tables Sup #1'!J72*(1+'Active Mode Assumptions'!J16)</f>
        <v>2.3894414597533147</v>
      </c>
      <c r="K72" s="1">
        <f ca="1">K160*'Total Trip Tables Sup #1'!K72*(1+'Active Mode Assumptions'!K16)</f>
        <v>2.4069884428603041</v>
      </c>
    </row>
    <row r="73" spans="1:11" x14ac:dyDescent="0.2">
      <c r="A73" t="str">
        <f ca="1">OFFSET(Taranaki_Reference,14,2)</f>
        <v>Light Vehicle Driver</v>
      </c>
      <c r="B73" s="4">
        <f ca="1">B161*'Total Trip Tables Sup #1'!B73</f>
        <v>90.801950900999998</v>
      </c>
      <c r="C73" s="4">
        <f ca="1">C161*'Total Trip Tables Sup #1'!C73-(C71*'Active Mode Assumptions'!C7*'Active Mode Assumptions'!C14/(1+'Active Mode Assumptions'!C7))-(C72*'Active Mode Assumptions'!C16*'Active Mode Assumptions'!C23/(1+'Active Mode Assumptions'!C16))</f>
        <v>97.275284003799115</v>
      </c>
      <c r="D73" s="4">
        <f ca="1">D161*'Total Trip Tables Sup #1'!D73-(D71*'Active Mode Assumptions'!D7*'Active Mode Assumptions'!D14/(1+'Active Mode Assumptions'!D7))-(D72*'Active Mode Assumptions'!D16*'Active Mode Assumptions'!D23/(1+'Active Mode Assumptions'!D16))</f>
        <v>101.11673761011636</v>
      </c>
      <c r="E73" s="4">
        <f ca="1">E161*'Total Trip Tables Sup #1'!E73-(E71*'Active Mode Assumptions'!E7*'Active Mode Assumptions'!E14/(1+'Active Mode Assumptions'!E7))-(E72*'Active Mode Assumptions'!E16*'Active Mode Assumptions'!E23/(1+'Active Mode Assumptions'!E16))</f>
        <v>103.6633348404677</v>
      </c>
      <c r="F73" s="4">
        <f ca="1">F161*'Total Trip Tables Sup #1'!F73-(F71*'Active Mode Assumptions'!F7*'Active Mode Assumptions'!F14/(1+'Active Mode Assumptions'!F7))-(F72*'Active Mode Assumptions'!F16*'Active Mode Assumptions'!F23/(1+'Active Mode Assumptions'!F16))</f>
        <v>105.71421063618449</v>
      </c>
      <c r="G73" s="4">
        <f ca="1">G161*'Total Trip Tables Sup #1'!G73-(G71*'Active Mode Assumptions'!G7*'Active Mode Assumptions'!G14/(1+'Active Mode Assumptions'!G7))-(G72*'Active Mode Assumptions'!G16*'Active Mode Assumptions'!G23/(1+'Active Mode Assumptions'!G16))</f>
        <v>106.84727704570166</v>
      </c>
      <c r="H73" s="4">
        <f ca="1">H161*'Total Trip Tables Sup #1'!H73-(H71*'Active Mode Assumptions'!H7*'Active Mode Assumptions'!H14/(1+'Active Mode Assumptions'!H7))-(H72*'Active Mode Assumptions'!H16*'Active Mode Assumptions'!H23/(1+'Active Mode Assumptions'!H16))</f>
        <v>107.63040149206667</v>
      </c>
      <c r="I73" s="1">
        <f ca="1">I161*'Total Trip Tables Sup #1'!I73-(I71*'Active Mode Assumptions'!I7*'Active Mode Assumptions'!I14/(1+'Active Mode Assumptions'!I7))-(I72*'Active Mode Assumptions'!I16*'Active Mode Assumptions'!I23/(1+'Active Mode Assumptions'!I16))</f>
        <v>108.40035796099592</v>
      </c>
      <c r="J73" s="1">
        <f ca="1">J161*'Total Trip Tables Sup #1'!J73-(J71*'Active Mode Assumptions'!J7*'Active Mode Assumptions'!J14/(1+'Active Mode Assumptions'!J7))-(J72*'Active Mode Assumptions'!J16*'Active Mode Assumptions'!J23/(1+'Active Mode Assumptions'!J16))</f>
        <v>108.82861174151166</v>
      </c>
      <c r="K73" s="1">
        <f ca="1">K161*'Total Trip Tables Sup #1'!K73-(K71*'Active Mode Assumptions'!K7*'Active Mode Assumptions'!K14/(1+'Active Mode Assumptions'!K7))-(K72*'Active Mode Assumptions'!K16*'Active Mode Assumptions'!K23/(1+'Active Mode Assumptions'!K16))</f>
        <v>109.02403521674755</v>
      </c>
    </row>
    <row r="74" spans="1:11" x14ac:dyDescent="0.2">
      <c r="A74" t="str">
        <f ca="1">OFFSET(Taranaki_Reference,21,2)</f>
        <v>Light Vehicle Passenger</v>
      </c>
      <c r="B74" s="4">
        <f ca="1">B162*'Total Trip Tables Sup #1'!B74</f>
        <v>45.484067730000007</v>
      </c>
      <c r="C74" s="4">
        <f ca="1">C162*'Total Trip Tables Sup #1'!C74-(C71*'Active Mode Assumptions'!C7*'Active Mode Assumptions'!C15/(1+'Active Mode Assumptions'!C7))-(C72*'Active Mode Assumptions'!C16*'Active Mode Assumptions'!C24/(1+'Active Mode Assumptions'!C16))</f>
        <v>46.347928363204687</v>
      </c>
      <c r="D74" s="4">
        <f ca="1">D162*'Total Trip Tables Sup #1'!D74-(D71*'Active Mode Assumptions'!D7*'Active Mode Assumptions'!D15/(1+'Active Mode Assumptions'!D7))-(D72*'Active Mode Assumptions'!D16*'Active Mode Assumptions'!D24/(1+'Active Mode Assumptions'!D16))</f>
        <v>46.736176981643339</v>
      </c>
      <c r="E74" s="4">
        <f ca="1">E162*'Total Trip Tables Sup #1'!E74-(E71*'Active Mode Assumptions'!E7*'Active Mode Assumptions'!E15/(1+'Active Mode Assumptions'!E7))-(E72*'Active Mode Assumptions'!E16*'Active Mode Assumptions'!E24/(1+'Active Mode Assumptions'!E16))</f>
        <v>46.937869882379985</v>
      </c>
      <c r="F74" s="4">
        <f ca="1">F162*'Total Trip Tables Sup #1'!F74-(F71*'Active Mode Assumptions'!F7*'Active Mode Assumptions'!F15/(1+'Active Mode Assumptions'!F7))-(F72*'Active Mode Assumptions'!F16*'Active Mode Assumptions'!F24/(1+'Active Mode Assumptions'!F16))</f>
        <v>47.018527533222603</v>
      </c>
      <c r="G74" s="4">
        <f ca="1">G162*'Total Trip Tables Sup #1'!G74-(G71*'Active Mode Assumptions'!G7*'Active Mode Assumptions'!G15/(1+'Active Mode Assumptions'!G7))-(G72*'Active Mode Assumptions'!G16*'Active Mode Assumptions'!G24/(1+'Active Mode Assumptions'!G16))</f>
        <v>46.911842562086505</v>
      </c>
      <c r="H74" s="4">
        <f ca="1">H162*'Total Trip Tables Sup #1'!H74-(H71*'Active Mode Assumptions'!H7*'Active Mode Assumptions'!H15/(1+'Active Mode Assumptions'!H7))-(H72*'Active Mode Assumptions'!H16*'Active Mode Assumptions'!H24/(1+'Active Mode Assumptions'!H16))</f>
        <v>46.601045475316688</v>
      </c>
      <c r="I74" s="1">
        <f ca="1">I162*'Total Trip Tables Sup #1'!I74-(I71*'Active Mode Assumptions'!I7*'Active Mode Assumptions'!I15/(1+'Active Mode Assumptions'!I7))-(I72*'Active Mode Assumptions'!I16*'Active Mode Assumptions'!I24/(1+'Active Mode Assumptions'!I16))</f>
        <v>46.934794365259691</v>
      </c>
      <c r="J74" s="1">
        <f ca="1">J162*'Total Trip Tables Sup #1'!J74-(J71*'Active Mode Assumptions'!J7*'Active Mode Assumptions'!J15/(1+'Active Mode Assumptions'!J7))-(J72*'Active Mode Assumptions'!J16*'Active Mode Assumptions'!J24/(1+'Active Mode Assumptions'!J16))</f>
        <v>47.120410353840271</v>
      </c>
      <c r="K74" s="1">
        <f ca="1">K162*'Total Trip Tables Sup #1'!K74-(K71*'Active Mode Assumptions'!K7*'Active Mode Assumptions'!K15/(1+'Active Mode Assumptions'!K7))-(K72*'Active Mode Assumptions'!K16*'Active Mode Assumptions'!K24/(1+'Active Mode Assumptions'!K16))</f>
        <v>47.205027574352933</v>
      </c>
    </row>
    <row r="75" spans="1:11" x14ac:dyDescent="0.2">
      <c r="A75" t="str">
        <f ca="1">OFFSET(Taranaki_Reference,28,2)</f>
        <v>Taxi/Vehicle Share</v>
      </c>
      <c r="B75" s="4">
        <f ca="1">B163*'Total Trip Tables Sup #1'!B75</f>
        <v>0.56194422089999996</v>
      </c>
      <c r="C75" s="4">
        <f ca="1">C163*'Total Trip Tables Sup #1'!C75</f>
        <v>0.62916361228526252</v>
      </c>
      <c r="D75" s="4">
        <f ca="1">D163*'Total Trip Tables Sup #1'!D75</f>
        <v>0.67899672671634503</v>
      </c>
      <c r="E75" s="4">
        <f ca="1">E163*'Total Trip Tables Sup #1'!E75</f>
        <v>0.72596187943838097</v>
      </c>
      <c r="F75" s="4">
        <f ca="1">F163*'Total Trip Tables Sup #1'!F75</f>
        <v>0.76549521597715753</v>
      </c>
      <c r="G75" s="4">
        <f ca="1">G163*'Total Trip Tables Sup #1'!G75</f>
        <v>0.79560750280993298</v>
      </c>
      <c r="H75" s="4">
        <f ca="1">H163*'Total Trip Tables Sup #1'!H75</f>
        <v>0.82431698543009257</v>
      </c>
      <c r="I75" s="1">
        <f ca="1">I163*'Total Trip Tables Sup #1'!I75</f>
        <v>0.82887708419456652</v>
      </c>
      <c r="J75" s="1">
        <f ca="1">J163*'Total Trip Tables Sup #1'!J75</f>
        <v>0.83078004903347846</v>
      </c>
      <c r="K75" s="1">
        <f ca="1">K163*'Total Trip Tables Sup #1'!K75</f>
        <v>0.83086996265874713</v>
      </c>
    </row>
    <row r="76" spans="1:11" x14ac:dyDescent="0.2">
      <c r="A76" t="str">
        <f ca="1">OFFSET(Taranaki_Reference,35,2)</f>
        <v>Motorcyclist</v>
      </c>
      <c r="B76" s="4">
        <f ca="1">B164*'Total Trip Tables Sup #1'!B76</f>
        <v>1.091812341</v>
      </c>
      <c r="C76" s="4">
        <f ca="1">C164*'Total Trip Tables Sup #1'!C76</f>
        <v>1.1487007106046316</v>
      </c>
      <c r="D76" s="4">
        <f ca="1">D164*'Total Trip Tables Sup #1'!D76</f>
        <v>1.1751882465067192</v>
      </c>
      <c r="E76" s="4">
        <f ca="1">E164*'Total Trip Tables Sup #1'!E76</f>
        <v>1.1860430251792429</v>
      </c>
      <c r="F76" s="4">
        <f ca="1">F164*'Total Trip Tables Sup #1'!F76</f>
        <v>1.1901128830078291</v>
      </c>
      <c r="G76" s="4">
        <f ca="1">G164*'Total Trip Tables Sup #1'!G76</f>
        <v>1.1746760384406774</v>
      </c>
      <c r="H76" s="4">
        <f ca="1">H164*'Total Trip Tables Sup #1'!H76</f>
        <v>1.1539583583978772</v>
      </c>
      <c r="I76" s="1">
        <f ca="1">I164*'Total Trip Tables Sup #1'!I76</f>
        <v>1.1683375167684444</v>
      </c>
      <c r="J76" s="1">
        <f ca="1">J164*'Total Trip Tables Sup #1'!J76</f>
        <v>1.1791519636122287</v>
      </c>
      <c r="K76" s="1">
        <f ca="1">K164*'Total Trip Tables Sup #1'!K76</f>
        <v>1.1875266042798738</v>
      </c>
    </row>
    <row r="77" spans="1:11" x14ac:dyDescent="0.2">
      <c r="A77" t="str">
        <f ca="1">OFFSET(Taranaki_Reference,42,2)</f>
        <v>Local Train</v>
      </c>
      <c r="B77" s="4">
        <f ca="1">B165*'Total Trip Tables Sup #1'!B77</f>
        <v>0</v>
      </c>
      <c r="C77" s="4">
        <f ca="1">C165*'Total Trip Tables Sup #1'!C77</f>
        <v>0</v>
      </c>
      <c r="D77" s="4">
        <f ca="1">D165*'Total Trip Tables Sup #1'!D77</f>
        <v>0</v>
      </c>
      <c r="E77" s="4">
        <f ca="1">E165*'Total Trip Tables Sup #1'!E77</f>
        <v>0</v>
      </c>
      <c r="F77" s="4">
        <f ca="1">F165*'Total Trip Tables Sup #1'!F77</f>
        <v>0</v>
      </c>
      <c r="G77" s="4">
        <f ca="1">G165*'Total Trip Tables Sup #1'!G77</f>
        <v>0</v>
      </c>
      <c r="H77" s="4">
        <f ca="1">H165*'Total Trip Tables Sup #1'!H77</f>
        <v>0</v>
      </c>
      <c r="I77" s="1">
        <f ca="1">I165*'Total Trip Tables Sup #1'!I77</f>
        <v>0</v>
      </c>
      <c r="J77" s="1">
        <f ca="1">J165*'Total Trip Tables Sup #1'!J77</f>
        <v>0</v>
      </c>
      <c r="K77" s="1">
        <f ca="1">K165*'Total Trip Tables Sup #1'!K77</f>
        <v>0</v>
      </c>
    </row>
    <row r="78" spans="1:11" x14ac:dyDescent="0.2">
      <c r="A78" t="str">
        <f ca="1">OFFSET(Taranaki_Reference,49,2)</f>
        <v>Local Bus</v>
      </c>
      <c r="B78" s="4">
        <f ca="1">B166*'Total Trip Tables Sup #1'!B78</f>
        <v>1.2787514622</v>
      </c>
      <c r="C78" s="4">
        <f ca="1">C166*'Total Trip Tables Sup #1'!C78</f>
        <v>1.2484009123762567</v>
      </c>
      <c r="D78" s="4">
        <f ca="1">D166*'Total Trip Tables Sup #1'!D78</f>
        <v>1.221751255018682</v>
      </c>
      <c r="E78" s="4">
        <f ca="1">E166*'Total Trip Tables Sup #1'!E78</f>
        <v>1.2111117811282683</v>
      </c>
      <c r="F78" s="4">
        <f ca="1">F166*'Total Trip Tables Sup #1'!F78</f>
        <v>1.1880589148956591</v>
      </c>
      <c r="G78" s="4">
        <f ca="1">G166*'Total Trip Tables Sup #1'!G78</f>
        <v>1.1747258040034181</v>
      </c>
      <c r="H78" s="4">
        <f ca="1">H166*'Total Trip Tables Sup #1'!H78</f>
        <v>1.1568298565517745</v>
      </c>
      <c r="I78" s="1">
        <f ca="1">I166*'Total Trip Tables Sup #1'!I78</f>
        <v>1.16596753677242</v>
      </c>
      <c r="J78" s="1">
        <f ca="1">J166*'Total Trip Tables Sup #1'!J78</f>
        <v>1.1714436793034464</v>
      </c>
      <c r="K78" s="1">
        <f ca="1">K166*'Total Trip Tables Sup #1'!K78</f>
        <v>1.1744230112896623</v>
      </c>
    </row>
    <row r="79" spans="1:11" x14ac:dyDescent="0.2">
      <c r="A79" t="str">
        <f ca="1">OFFSET(Waikato_Reference,56,2)</f>
        <v>Local Ferry</v>
      </c>
      <c r="B79" s="4">
        <f ca="1">B167*'Total Trip Tables Sup #1'!B79</f>
        <v>0</v>
      </c>
      <c r="C79" s="4">
        <f ca="1">C167*'Total Trip Tables Sup #1'!C79</f>
        <v>0</v>
      </c>
      <c r="D79" s="4">
        <f ca="1">D167*'Total Trip Tables Sup #1'!D79</f>
        <v>0</v>
      </c>
      <c r="E79" s="4">
        <f ca="1">E167*'Total Trip Tables Sup #1'!E79</f>
        <v>0</v>
      </c>
      <c r="F79" s="4">
        <f ca="1">F167*'Total Trip Tables Sup #1'!F79</f>
        <v>0</v>
      </c>
      <c r="G79" s="4">
        <f ca="1">G167*'Total Trip Tables Sup #1'!G79</f>
        <v>0</v>
      </c>
      <c r="H79" s="4">
        <f ca="1">H167*'Total Trip Tables Sup #1'!H79</f>
        <v>0</v>
      </c>
      <c r="I79" s="1">
        <f ca="1">I167*'Total Trip Tables Sup #1'!I79</f>
        <v>0</v>
      </c>
      <c r="J79" s="1">
        <f ca="1">J167*'Total Trip Tables Sup #1'!J79</f>
        <v>0</v>
      </c>
      <c r="K79" s="1">
        <f ca="1">K167*'Total Trip Tables Sup #1'!K79</f>
        <v>0</v>
      </c>
    </row>
    <row r="80" spans="1:11" x14ac:dyDescent="0.2">
      <c r="A80" t="str">
        <f ca="1">OFFSET(Taranaki_Reference,56,2)</f>
        <v>Other Household Travel</v>
      </c>
      <c r="B80" s="4">
        <f ca="1">B168*'Total Trip Tables Sup #1'!B80</f>
        <v>0.17475937220000001</v>
      </c>
      <c r="C80" s="4">
        <f ca="1">C168*'Total Trip Tables Sup #1'!C80</f>
        <v>0.18466206359588325</v>
      </c>
      <c r="D80" s="4">
        <f ca="1">D168*'Total Trip Tables Sup #1'!D80</f>
        <v>0.19381795849196792</v>
      </c>
      <c r="E80" s="4">
        <f ca="1">E168*'Total Trip Tables Sup #1'!E80</f>
        <v>0.20404540586064057</v>
      </c>
      <c r="F80" s="4">
        <f ca="1">F168*'Total Trip Tables Sup #1'!F80</f>
        <v>0.21450163198417854</v>
      </c>
      <c r="G80" s="4">
        <f ca="1">G168*'Total Trip Tables Sup #1'!G80</f>
        <v>0.22532974736302663</v>
      </c>
      <c r="H80" s="4">
        <f ca="1">H168*'Total Trip Tables Sup #1'!H80</f>
        <v>0.23475486557744782</v>
      </c>
      <c r="I80" s="1">
        <f ca="1">I168*'Total Trip Tables Sup #1'!I80</f>
        <v>0.23717565917875594</v>
      </c>
      <c r="J80" s="1">
        <f ca="1">J168*'Total Trip Tables Sup #1'!J80</f>
        <v>0.23886493466515965</v>
      </c>
      <c r="K80" s="1">
        <f ca="1">K168*'Total Trip Tables Sup #1'!K80</f>
        <v>0.24005525070028061</v>
      </c>
    </row>
    <row r="81" spans="1:11" x14ac:dyDescent="0.2">
      <c r="A81" t="str">
        <f ca="1">OFFSET(Manawatu_Reference,0,0)</f>
        <v>08 MANAWATU-WANGANUI</v>
      </c>
      <c r="I81" s="1"/>
      <c r="J81" s="1"/>
      <c r="K81" s="1"/>
    </row>
    <row r="82" spans="1:11" x14ac:dyDescent="0.2">
      <c r="A82" t="str">
        <f ca="1">OFFSET(Manawatu_Reference,0,2)</f>
        <v>Pedestrian</v>
      </c>
      <c r="B82" s="4">
        <f ca="1">B159*'Total Trip Tables Sup #1'!B82</f>
        <v>39.544031846000003</v>
      </c>
      <c r="C82" s="4">
        <f ca="1">C159*'Total Trip Tables Sup #1'!C82*(1+'Active Mode Assumptions'!C7)</f>
        <v>40.927293108338063</v>
      </c>
      <c r="D82" s="4">
        <f ca="1">D159*'Total Trip Tables Sup #1'!D82*(1+'Active Mode Assumptions'!D7)</f>
        <v>41.378743119573976</v>
      </c>
      <c r="E82" s="4">
        <f ca="1">E159*'Total Trip Tables Sup #1'!E82*(1+'Active Mode Assumptions'!E7)</f>
        <v>41.590370656867591</v>
      </c>
      <c r="F82" s="4">
        <f ca="1">F159*'Total Trip Tables Sup #1'!F82*(1+'Active Mode Assumptions'!F7)</f>
        <v>41.397199813466003</v>
      </c>
      <c r="G82" s="4">
        <f ca="1">G159*'Total Trip Tables Sup #1'!G82*(1+'Active Mode Assumptions'!G7)</f>
        <v>41.005724152438816</v>
      </c>
      <c r="H82" s="4">
        <f ca="1">H159*'Total Trip Tables Sup #1'!H82*(1+'Active Mode Assumptions'!H7)</f>
        <v>40.428403186238768</v>
      </c>
      <c r="I82" s="1">
        <f ca="1">I159*'Total Trip Tables Sup #1'!I82*(1+'Active Mode Assumptions'!I7)</f>
        <v>40.104155247183321</v>
      </c>
      <c r="J82" s="1">
        <f ca="1">J159*'Total Trip Tables Sup #1'!J82*(1+'Active Mode Assumptions'!J7)</f>
        <v>39.656366763014788</v>
      </c>
      <c r="K82" s="1">
        <f ca="1">K159*'Total Trip Tables Sup #1'!K82*(1+'Active Mode Assumptions'!K7)</f>
        <v>39.129761847073873</v>
      </c>
    </row>
    <row r="83" spans="1:11" x14ac:dyDescent="0.2">
      <c r="A83" t="str">
        <f ca="1">OFFSET(Manawatu_Reference,7,2)</f>
        <v>Cyclist</v>
      </c>
      <c r="B83" s="4">
        <f ca="1">B160*'Total Trip Tables Sup #1'!B83</f>
        <v>4.6745036201000003</v>
      </c>
      <c r="C83" s="4">
        <f ca="1">C160*'Total Trip Tables Sup #1'!C83*(1+'Active Mode Assumptions'!C16)</f>
        <v>4.8288431492398463</v>
      </c>
      <c r="D83" s="4">
        <f ca="1">D160*'Total Trip Tables Sup #1'!D83*(1+'Active Mode Assumptions'!D16)</f>
        <v>4.8422213436288244</v>
      </c>
      <c r="E83" s="4">
        <f ca="1">E160*'Total Trip Tables Sup #1'!E83*(1+'Active Mode Assumptions'!E16)</f>
        <v>4.8244998481265</v>
      </c>
      <c r="F83" s="4">
        <f ca="1">F160*'Total Trip Tables Sup #1'!F83*(1+'Active Mode Assumptions'!F16)</f>
        <v>4.7941484775834677</v>
      </c>
      <c r="G83" s="4">
        <f ca="1">G160*'Total Trip Tables Sup #1'!G83*(1+'Active Mode Assumptions'!G16)</f>
        <v>4.754380947135604</v>
      </c>
      <c r="H83" s="4">
        <f ca="1">H160*'Total Trip Tables Sup #1'!H83*(1+'Active Mode Assumptions'!H16)</f>
        <v>4.703313776996179</v>
      </c>
      <c r="I83" s="1">
        <f ca="1">I160*'Total Trip Tables Sup #1'!I83*(1+'Active Mode Assumptions'!I16)</f>
        <v>4.6921936958879114</v>
      </c>
      <c r="J83" s="1">
        <f ca="1">J160*'Total Trip Tables Sup #1'!J83*(1+'Active Mode Assumptions'!J16)</f>
        <v>4.6666692689309643</v>
      </c>
      <c r="K83" s="1">
        <f ca="1">K160*'Total Trip Tables Sup #1'!K83*(1+'Active Mode Assumptions'!K16)</f>
        <v>4.6317693224238869</v>
      </c>
    </row>
    <row r="84" spans="1:11" x14ac:dyDescent="0.2">
      <c r="A84" t="str">
        <f ca="1">OFFSET(Manawatu_Reference,14,2)</f>
        <v>Light Vehicle Driver</v>
      </c>
      <c r="B84" s="4">
        <f ca="1">B161*'Total Trip Tables Sup #1'!B84</f>
        <v>178.69640117</v>
      </c>
      <c r="C84" s="4">
        <f ca="1">C161*'Total Trip Tables Sup #1'!C84-(C82*'Active Mode Assumptions'!C7*'Active Mode Assumptions'!C14/(1+'Active Mode Assumptions'!C7))-(C83*'Active Mode Assumptions'!C16*'Active Mode Assumptions'!C23/(1+'Active Mode Assumptions'!C16))</f>
        <v>189.94022797872088</v>
      </c>
      <c r="D84" s="4">
        <f ca="1">D161*'Total Trip Tables Sup #1'!D84-(D82*'Active Mode Assumptions'!D7*'Active Mode Assumptions'!D14/(1+'Active Mode Assumptions'!D7))-(D83*'Active Mode Assumptions'!D16*'Active Mode Assumptions'!D23/(1+'Active Mode Assumptions'!D16))</f>
        <v>195.2335905717274</v>
      </c>
      <c r="E84" s="4">
        <f ca="1">E161*'Total Trip Tables Sup #1'!E84-(E82*'Active Mode Assumptions'!E7*'Active Mode Assumptions'!E14/(1+'Active Mode Assumptions'!E7))-(E83*'Active Mode Assumptions'!E16*'Active Mode Assumptions'!E23/(1+'Active Mode Assumptions'!E16))</f>
        <v>197.6822983165178</v>
      </c>
      <c r="F84" s="4">
        <f ca="1">F161*'Total Trip Tables Sup #1'!F84-(F82*'Active Mode Assumptions'!F7*'Active Mode Assumptions'!F14/(1+'Active Mode Assumptions'!F7))-(F83*'Active Mode Assumptions'!F16*'Active Mode Assumptions'!F23/(1+'Active Mode Assumptions'!F16))</f>
        <v>199.08500131421872</v>
      </c>
      <c r="G84" s="4">
        <f ca="1">G161*'Total Trip Tables Sup #1'!G84-(G82*'Active Mode Assumptions'!G7*'Active Mode Assumptions'!G14/(1+'Active Mode Assumptions'!G7))-(G83*'Active Mode Assumptions'!G16*'Active Mode Assumptions'!G23/(1+'Active Mode Assumptions'!G16))</f>
        <v>198.49757009215307</v>
      </c>
      <c r="H84" s="4">
        <f ca="1">H161*'Total Trip Tables Sup #1'!H84-(H82*'Active Mode Assumptions'!H7*'Active Mode Assumptions'!H14/(1+'Active Mode Assumptions'!H7))-(H83*'Active Mode Assumptions'!H16*'Active Mode Assumptions'!H23/(1+'Active Mode Assumptions'!H16))</f>
        <v>197.01032386848451</v>
      </c>
      <c r="I84" s="1">
        <f ca="1">I161*'Total Trip Tables Sup #1'!I84-(I82*'Active Mode Assumptions'!I7*'Active Mode Assumptions'!I14/(1+'Active Mode Assumptions'!I7))-(I83*'Active Mode Assumptions'!I16*'Active Mode Assumptions'!I23/(1+'Active Mode Assumptions'!I16))</f>
        <v>195.50012063924214</v>
      </c>
      <c r="J84" s="1">
        <f ca="1">J161*'Total Trip Tables Sup #1'!J84-(J82*'Active Mode Assumptions'!J7*'Active Mode Assumptions'!J14/(1+'Active Mode Assumptions'!J7))-(J83*'Active Mode Assumptions'!J16*'Active Mode Assumptions'!J23/(1+'Active Mode Assumptions'!J16))</f>
        <v>193.3845130978915</v>
      </c>
      <c r="K84" s="1">
        <f ca="1">K161*'Total Trip Tables Sup #1'!K84-(K82*'Active Mode Assumptions'!K7*'Active Mode Assumptions'!K14/(1+'Active Mode Assumptions'!K7))-(K83*'Active Mode Assumptions'!K16*'Active Mode Assumptions'!K23/(1+'Active Mode Assumptions'!K16))</f>
        <v>190.88119406378166</v>
      </c>
    </row>
    <row r="85" spans="1:11" x14ac:dyDescent="0.2">
      <c r="A85" t="str">
        <f ca="1">OFFSET(Manawatu_Reference,21,2)</f>
        <v>Light Vehicle Passenger</v>
      </c>
      <c r="B85" s="4">
        <f ca="1">B162*'Total Trip Tables Sup #1'!B85</f>
        <v>84.046137803000008</v>
      </c>
      <c r="C85" s="4">
        <f ca="1">C162*'Total Trip Tables Sup #1'!C85-(C82*'Active Mode Assumptions'!C7*'Active Mode Assumptions'!C15/(1+'Active Mode Assumptions'!C7))-(C83*'Active Mode Assumptions'!C16*'Active Mode Assumptions'!C24/(1+'Active Mode Assumptions'!C16))</f>
        <v>84.973324764537011</v>
      </c>
      <c r="D85" s="4">
        <f ca="1">D162*'Total Trip Tables Sup #1'!D85-(D82*'Active Mode Assumptions'!D7*'Active Mode Assumptions'!D15/(1+'Active Mode Assumptions'!D7))-(D83*'Active Mode Assumptions'!D16*'Active Mode Assumptions'!D24/(1+'Active Mode Assumptions'!D16))</f>
        <v>84.727133444589924</v>
      </c>
      <c r="E85" s="4">
        <f ca="1">E162*'Total Trip Tables Sup #1'!E85-(E82*'Active Mode Assumptions'!E7*'Active Mode Assumptions'!E15/(1+'Active Mode Assumptions'!E7))-(E83*'Active Mode Assumptions'!E16*'Active Mode Assumptions'!E24/(1+'Active Mode Assumptions'!E16))</f>
        <v>84.043439787073183</v>
      </c>
      <c r="F85" s="4">
        <f ca="1">F162*'Total Trip Tables Sup #1'!F85-(F82*'Active Mode Assumptions'!F7*'Active Mode Assumptions'!F15/(1+'Active Mode Assumptions'!F7))-(F83*'Active Mode Assumptions'!F16*'Active Mode Assumptions'!F24/(1+'Active Mode Assumptions'!F16))</f>
        <v>83.140385165240474</v>
      </c>
      <c r="G85" s="4">
        <f ca="1">G162*'Total Trip Tables Sup #1'!G85-(G82*'Active Mode Assumptions'!G7*'Active Mode Assumptions'!G15/(1+'Active Mode Assumptions'!G7))-(G83*'Active Mode Assumptions'!G16*'Active Mode Assumptions'!G24/(1+'Active Mode Assumptions'!G16))</f>
        <v>81.829908159431199</v>
      </c>
      <c r="H85" s="4">
        <f ca="1">H162*'Total Trip Tables Sup #1'!H85-(H82*'Active Mode Assumptions'!H7*'Active Mode Assumptions'!H15/(1+'Active Mode Assumptions'!H7))-(H83*'Active Mode Assumptions'!H16*'Active Mode Assumptions'!H24/(1+'Active Mode Assumptions'!H16))</f>
        <v>80.09170174410815</v>
      </c>
      <c r="I85" s="1">
        <f ca="1">I162*'Total Trip Tables Sup #1'!I85-(I82*'Active Mode Assumptions'!I7*'Active Mode Assumptions'!I15/(1+'Active Mode Assumptions'!I7))-(I83*'Active Mode Assumptions'!I16*'Active Mode Assumptions'!I24/(1+'Active Mode Assumptions'!I16))</f>
        <v>79.478391573630887</v>
      </c>
      <c r="J85" s="1">
        <f ca="1">J162*'Total Trip Tables Sup #1'!J85-(J82*'Active Mode Assumptions'!J7*'Active Mode Assumptions'!J15/(1+'Active Mode Assumptions'!J7))-(J83*'Active Mode Assumptions'!J16*'Active Mode Assumptions'!J24/(1+'Active Mode Assumptions'!J16))</f>
        <v>78.618635653572113</v>
      </c>
      <c r="K85" s="1">
        <f ca="1">K162*'Total Trip Tables Sup #1'!K85-(K82*'Active Mode Assumptions'!K7*'Active Mode Assumptions'!K15/(1+'Active Mode Assumptions'!K7))-(K83*'Active Mode Assumptions'!K16*'Active Mode Assumptions'!K24/(1+'Active Mode Assumptions'!K16))</f>
        <v>77.600940234932281</v>
      </c>
    </row>
    <row r="86" spans="1:11" x14ac:dyDescent="0.2">
      <c r="A86" t="str">
        <f ca="1">OFFSET(Manawatu_Reference,28,2)</f>
        <v>Taxi/Vehicle Share</v>
      </c>
      <c r="B86" s="4">
        <f ca="1">B163*'Total Trip Tables Sup #1'!B86</f>
        <v>0.99874441920000001</v>
      </c>
      <c r="C86" s="4">
        <f ca="1">C163*'Total Trip Tables Sup #1'!C86</f>
        <v>1.1094776920379619</v>
      </c>
      <c r="D86" s="4">
        <f ca="1">D163*'Total Trip Tables Sup #1'!D86</f>
        <v>1.1839672859378993</v>
      </c>
      <c r="E86" s="4">
        <f ca="1">E163*'Total Trip Tables Sup #1'!E86</f>
        <v>1.2502502547910865</v>
      </c>
      <c r="F86" s="4">
        <f ca="1">F163*'Total Trip Tables Sup #1'!F86</f>
        <v>1.3019316403737482</v>
      </c>
      <c r="G86" s="4">
        <f ca="1">G163*'Total Trip Tables Sup #1'!G86</f>
        <v>1.3348459112778368</v>
      </c>
      <c r="H86" s="4">
        <f ca="1">H163*'Total Trip Tables Sup #1'!H86</f>
        <v>1.3626640645635311</v>
      </c>
      <c r="I86" s="1">
        <f ca="1">I163*'Total Trip Tables Sup #1'!I86</f>
        <v>1.3500410560915537</v>
      </c>
      <c r="J86" s="1">
        <f ca="1">J163*'Total Trip Tables Sup #1'!J86</f>
        <v>1.3332303465063438</v>
      </c>
      <c r="K86" s="1">
        <f ca="1">K163*'Total Trip Tables Sup #1'!K86</f>
        <v>1.3137552948165563</v>
      </c>
    </row>
    <row r="87" spans="1:11" x14ac:dyDescent="0.2">
      <c r="A87" t="str">
        <f ca="1">OFFSET(Manawatu_Reference,35,2)</f>
        <v>Motorcyclist</v>
      </c>
      <c r="B87" s="4">
        <f ca="1">B164*'Total Trip Tables Sup #1'!B87</f>
        <v>0.79000583589999995</v>
      </c>
      <c r="C87" s="4">
        <f ca="1">C164*'Total Trip Tables Sup #1'!C87</f>
        <v>0.8246753456441539</v>
      </c>
      <c r="D87" s="4">
        <f ca="1">D164*'Total Trip Tables Sup #1'!D87</f>
        <v>0.83425843320688153</v>
      </c>
      <c r="E87" s="4">
        <f ca="1">E164*'Total Trip Tables Sup #1'!E87</f>
        <v>0.83158131699249382</v>
      </c>
      <c r="F87" s="4">
        <f ca="1">F164*'Total Trip Tables Sup #1'!F87</f>
        <v>0.82405272804578267</v>
      </c>
      <c r="G87" s="4">
        <f ca="1">G164*'Total Trip Tables Sup #1'!G87</f>
        <v>0.80236415693205287</v>
      </c>
      <c r="H87" s="4">
        <f ca="1">H164*'Total Trip Tables Sup #1'!H87</f>
        <v>0.7766151095455639</v>
      </c>
      <c r="I87" s="1">
        <f ca="1">I164*'Total Trip Tables Sup #1'!I87</f>
        <v>0.77472275109893829</v>
      </c>
      <c r="J87" s="1">
        <f ca="1">J164*'Total Trip Tables Sup #1'!J87</f>
        <v>0.77038896726782746</v>
      </c>
      <c r="K87" s="1">
        <f ca="1">K164*'Total Trip Tables Sup #1'!K87</f>
        <v>0.76444441627131254</v>
      </c>
    </row>
    <row r="88" spans="1:11" x14ac:dyDescent="0.2">
      <c r="A88" t="str">
        <f ca="1">OFFSET(Taranaki_Reference,42,2)</f>
        <v>Local Train</v>
      </c>
      <c r="B88" s="4">
        <f ca="1">B165*'Total Trip Tables Sup #1'!B88</f>
        <v>0</v>
      </c>
      <c r="C88" s="4">
        <f ca="1">C165*'Total Trip Tables Sup #1'!C88</f>
        <v>0</v>
      </c>
      <c r="D88" s="4">
        <f ca="1">D165*'Total Trip Tables Sup #1'!D88</f>
        <v>0</v>
      </c>
      <c r="E88" s="4">
        <f ca="1">E165*'Total Trip Tables Sup #1'!E88</f>
        <v>0</v>
      </c>
      <c r="F88" s="4">
        <f ca="1">F165*'Total Trip Tables Sup #1'!F88</f>
        <v>0</v>
      </c>
      <c r="G88" s="4">
        <f ca="1">G165*'Total Trip Tables Sup #1'!G88</f>
        <v>0</v>
      </c>
      <c r="H88" s="4">
        <f ca="1">H165*'Total Trip Tables Sup #1'!H88</f>
        <v>0</v>
      </c>
      <c r="I88" s="1">
        <f ca="1">I165*'Total Trip Tables Sup #1'!I88</f>
        <v>0</v>
      </c>
      <c r="J88" s="1">
        <f ca="1">J165*'Total Trip Tables Sup #1'!J88</f>
        <v>0</v>
      </c>
      <c r="K88" s="1">
        <f ca="1">K165*'Total Trip Tables Sup #1'!K88</f>
        <v>0</v>
      </c>
    </row>
    <row r="89" spans="1:11" x14ac:dyDescent="0.2">
      <c r="A89" t="str">
        <f ca="1">OFFSET(Manawatu_Reference,42,2)</f>
        <v>Local Bus</v>
      </c>
      <c r="B89" s="4">
        <f ca="1">B166*'Total Trip Tables Sup #1'!B89</f>
        <v>5.2110099151</v>
      </c>
      <c r="C89" s="4">
        <f ca="1">C166*'Total Trip Tables Sup #1'!C89</f>
        <v>5.0475851552032802</v>
      </c>
      <c r="D89" s="4">
        <f ca="1">D166*'Total Trip Tables Sup #1'!D89</f>
        <v>4.8846046171021245</v>
      </c>
      <c r="E89" s="4">
        <f ca="1">E166*'Total Trip Tables Sup #1'!E89</f>
        <v>4.7823566831725746</v>
      </c>
      <c r="F89" s="4">
        <f ca="1">F166*'Total Trip Tables Sup #1'!F89</f>
        <v>4.6329570928973265</v>
      </c>
      <c r="G89" s="4">
        <f ca="1">G166*'Total Trip Tables Sup #1'!G89</f>
        <v>4.5190107451138726</v>
      </c>
      <c r="H89" s="4">
        <f ca="1">H166*'Total Trip Tables Sup #1'!H89</f>
        <v>4.3846874661139283</v>
      </c>
      <c r="I89" s="1">
        <f ca="1">I166*'Total Trip Tables Sup #1'!I89</f>
        <v>4.3542955309877511</v>
      </c>
      <c r="J89" s="1">
        <f ca="1">J166*'Total Trip Tables Sup #1'!J89</f>
        <v>4.3103758927372358</v>
      </c>
      <c r="K89" s="1">
        <f ca="1">K166*'Total Trip Tables Sup #1'!K89</f>
        <v>4.2577540678557009</v>
      </c>
    </row>
    <row r="90" spans="1:11" x14ac:dyDescent="0.2">
      <c r="A90" t="str">
        <f ca="1">OFFSET(Manawatu_Reference,49,2)</f>
        <v>Local Ferry</v>
      </c>
      <c r="B90" s="4">
        <f ca="1">B167*'Total Trip Tables Sup #1'!B90</f>
        <v>0.1068619116</v>
      </c>
      <c r="C90" s="4">
        <f ca="1">C167*'Total Trip Tables Sup #1'!C90</f>
        <v>0.11581155083774959</v>
      </c>
      <c r="D90" s="4">
        <f ca="1">D167*'Total Trip Tables Sup #1'!D90</f>
        <v>0.12153812141158445</v>
      </c>
      <c r="E90" s="4">
        <f ca="1">E167*'Total Trip Tables Sup #1'!E90</f>
        <v>0.12528233596712401</v>
      </c>
      <c r="F90" s="4">
        <f ca="1">F167*'Total Trip Tables Sup #1'!F90</f>
        <v>0.12767149208833212</v>
      </c>
      <c r="G90" s="4">
        <f ca="1">G167*'Total Trip Tables Sup #1'!G90</f>
        <v>0.13271837999868169</v>
      </c>
      <c r="H90" s="4">
        <f ca="1">H167*'Total Trip Tables Sup #1'!H90</f>
        <v>0.13684362053631477</v>
      </c>
      <c r="I90" s="1">
        <f ca="1">I167*'Total Trip Tables Sup #1'!I90</f>
        <v>0.13360445342992511</v>
      </c>
      <c r="J90" s="1">
        <f ca="1">J167*'Total Trip Tables Sup #1'!J90</f>
        <v>0.13005535464046938</v>
      </c>
      <c r="K90" s="1">
        <f ca="1">K167*'Total Trip Tables Sup #1'!K90</f>
        <v>0.12635637131344946</v>
      </c>
    </row>
    <row r="91" spans="1:11" x14ac:dyDescent="0.2">
      <c r="A91" t="str">
        <f ca="1">OFFSET(Manawatu_Reference,56,2)</f>
        <v>Other Household Travel</v>
      </c>
      <c r="B91" s="4">
        <f ca="1">B168*'Total Trip Tables Sup #1'!B91</f>
        <v>0.24513607779999999</v>
      </c>
      <c r="C91" s="4">
        <f ca="1">C168*'Total Trip Tables Sup #1'!C91</f>
        <v>0.25700304120108286</v>
      </c>
      <c r="D91" s="4">
        <f ca="1">D168*'Total Trip Tables Sup #1'!D91</f>
        <v>0.26672986034643886</v>
      </c>
      <c r="E91" s="4">
        <f ca="1">E168*'Total Trip Tables Sup #1'!E91</f>
        <v>0.27734194517316663</v>
      </c>
      <c r="F91" s="4">
        <f ca="1">F168*'Total Trip Tables Sup #1'!F91</f>
        <v>0.28792667522380966</v>
      </c>
      <c r="G91" s="4">
        <f ca="1">G168*'Total Trip Tables Sup #1'!G91</f>
        <v>0.29837085320134671</v>
      </c>
      <c r="H91" s="4">
        <f ca="1">H168*'Total Trip Tables Sup #1'!H91</f>
        <v>0.30627726302246816</v>
      </c>
      <c r="I91" s="1">
        <f ca="1">I168*'Total Trip Tables Sup #1'!I91</f>
        <v>0.30488254440706486</v>
      </c>
      <c r="J91" s="1">
        <f ca="1">J168*'Total Trip Tables Sup #1'!J91</f>
        <v>0.30253605029216102</v>
      </c>
      <c r="K91" s="1">
        <f ca="1">K168*'Total Trip Tables Sup #1'!K91</f>
        <v>0.29956993908818008</v>
      </c>
    </row>
    <row r="92" spans="1:11" x14ac:dyDescent="0.2">
      <c r="A92" t="str">
        <f ca="1">OFFSET(Wellington_Reference,0,0)</f>
        <v>09 WELLINGTON</v>
      </c>
      <c r="I92" s="1"/>
      <c r="J92" s="1"/>
      <c r="K92" s="1"/>
    </row>
    <row r="93" spans="1:11" x14ac:dyDescent="0.2">
      <c r="A93" t="str">
        <f ca="1">OFFSET(Wellington_Reference,0,2)</f>
        <v>Pedestrian</v>
      </c>
      <c r="B93" s="4">
        <f ca="1">B159*'Total Trip Tables Sup #1'!B93*(1+'Active Mode Assumptions'!B7)-('PT Assumptions'!B44*'Total Trip Tables Sup #2'!B171+'PT Assumptions'!B56*'Total Trip Tables Sup #2'!B174)</f>
        <v>182.29561206</v>
      </c>
      <c r="C93" s="4">
        <f ca="1">C159*'Total Trip Tables Sup #1'!C93*(1+'Active Mode Assumptions'!C7)-('PT Assumptions'!C44*'Total Trip Tables Sup #2'!C171+'PT Assumptions'!C56*'Total Trip Tables Sup #2'!C174)</f>
        <v>191.97689370546487</v>
      </c>
      <c r="D93" s="4">
        <f ca="1">D159*'Total Trip Tables Sup #1'!D93*(1+'Active Mode Assumptions'!D7)-('PT Assumptions'!D44*'Total Trip Tables Sup #2'!D171+'PT Assumptions'!D56*'Total Trip Tables Sup #2'!D174)</f>
        <v>197.1177137702993</v>
      </c>
      <c r="E93" s="4">
        <f ca="1">E159*'Total Trip Tables Sup #1'!E93*(1+'Active Mode Assumptions'!E7)-('PT Assumptions'!E44*'Total Trip Tables Sup #2'!E171+'PT Assumptions'!E56*'Total Trip Tables Sup #2'!E174)</f>
        <v>200.75243246145371</v>
      </c>
      <c r="F93" s="4">
        <f ca="1">F159*'Total Trip Tables Sup #1'!F93*(1+'Active Mode Assumptions'!F7)-('PT Assumptions'!F44*'Total Trip Tables Sup #2'!F171+'PT Assumptions'!F56*'Total Trip Tables Sup #2'!F174)</f>
        <v>202.72565326842587</v>
      </c>
      <c r="G93" s="4">
        <f ca="1">G159*'Total Trip Tables Sup #1'!G93*(1+'Active Mode Assumptions'!G7)-('PT Assumptions'!G44*'Total Trip Tables Sup #2'!G171+'PT Assumptions'!G56*'Total Trip Tables Sup #2'!G174)</f>
        <v>203.79097044043618</v>
      </c>
      <c r="H93" s="4">
        <f ca="1">H159*'Total Trip Tables Sup #1'!H93*(1+'Active Mode Assumptions'!H7)-('PT Assumptions'!H44*'Total Trip Tables Sup #2'!H171+'PT Assumptions'!H56*'Total Trip Tables Sup #2'!H174)</f>
        <v>203.86928093475234</v>
      </c>
      <c r="I93" s="1">
        <f ca="1">I159*'Total Trip Tables Sup #1'!I93*(1+'Active Mode Assumptions'!I7)-('PT Assumptions'!I44*'Total Trip Tables Sup #2'!I171+'PT Assumptions'!I56*'Total Trip Tables Sup #2'!I174)</f>
        <v>205.22552198352915</v>
      </c>
      <c r="J93" s="1">
        <f ca="1">J159*'Total Trip Tables Sup #1'!J93*(1+'Active Mode Assumptions'!J7)-('PT Assumptions'!J44*'Total Trip Tables Sup #2'!J171+'PT Assumptions'!J56*'Total Trip Tables Sup #2'!J174)</f>
        <v>205.92957750955301</v>
      </c>
      <c r="K93" s="1">
        <f ca="1">K159*'Total Trip Tables Sup #1'!K93*(1+'Active Mode Assumptions'!K7)-('PT Assumptions'!K44*'Total Trip Tables Sup #2'!K171+'PT Assumptions'!K56*'Total Trip Tables Sup #2'!K174)</f>
        <v>206.18946034725735</v>
      </c>
    </row>
    <row r="94" spans="1:11" x14ac:dyDescent="0.2">
      <c r="A94" t="str">
        <f ca="1">OFFSET(Wellington_Reference,7,2)</f>
        <v>Cyclist</v>
      </c>
      <c r="B94" s="4">
        <f ca="1">B160*'Total Trip Tables Sup #1'!B94*(1+'Active Mode Assumptions'!B16)-('PT Assumptions'!B45*'Total Trip Tables Sup #2'!B171+'PT Assumptions'!B57*'Total Trip Tables Sup #2'!B174)</f>
        <v>8.1327913301999999</v>
      </c>
      <c r="C94" s="4">
        <f ca="1">C160*'Total Trip Tables Sup #1'!C94*(1+'Active Mode Assumptions'!C16)-('PT Assumptions'!C45*'Total Trip Tables Sup #2'!C171+'PT Assumptions'!C57*'Total Trip Tables Sup #2'!C174)</f>
        <v>8.5493773237157953</v>
      </c>
      <c r="D94" s="4">
        <f ca="1">D160*'Total Trip Tables Sup #1'!D94*(1+'Active Mode Assumptions'!D16)-('PT Assumptions'!D45*'Total Trip Tables Sup #2'!D171+'PT Assumptions'!D57*'Total Trip Tables Sup #2'!D174)</f>
        <v>8.712412100335623</v>
      </c>
      <c r="E94" s="4">
        <f ca="1">E160*'Total Trip Tables Sup #1'!E94*(1+'Active Mode Assumptions'!E16)-('PT Assumptions'!E45*'Total Trip Tables Sup #2'!E171+'PT Assumptions'!E57*'Total Trip Tables Sup #2'!E174)</f>
        <v>8.7995284963163307</v>
      </c>
      <c r="F94" s="4">
        <f ca="1">F160*'Total Trip Tables Sup #1'!F94*(1+'Active Mode Assumptions'!F16)-('PT Assumptions'!F45*'Total Trip Tables Sup #2'!F171+'PT Assumptions'!F57*'Total Trip Tables Sup #2'!F174)</f>
        <v>8.8732794768664274</v>
      </c>
      <c r="G94" s="4">
        <f ca="1">G160*'Total Trip Tables Sup #1'!G94*(1+'Active Mode Assumptions'!G16)-('PT Assumptions'!G45*'Total Trip Tables Sup #2'!G171+'PT Assumptions'!G57*'Total Trip Tables Sup #2'!G174)</f>
        <v>8.9327177993553057</v>
      </c>
      <c r="H94" s="4">
        <f ca="1">H160*'Total Trip Tables Sup #1'!H94*(1+'Active Mode Assumptions'!H16)-('PT Assumptions'!H45*'Total Trip Tables Sup #2'!H171+'PT Assumptions'!H57*'Total Trip Tables Sup #2'!H174)</f>
        <v>8.9690851974138877</v>
      </c>
      <c r="I94" s="1">
        <f ca="1">I160*'Total Trip Tables Sup #1'!I94*(1+'Active Mode Assumptions'!I16)-('PT Assumptions'!I45*'Total Trip Tables Sup #2'!I171+'PT Assumptions'!I57*'Total Trip Tables Sup #2'!I174)</f>
        <v>9.0818575735570128</v>
      </c>
      <c r="J94" s="1">
        <f ca="1">J160*'Total Trip Tables Sup #1'!J94*(1+'Active Mode Assumptions'!J16)-('PT Assumptions'!J45*'Total Trip Tables Sup #2'!J171+'PT Assumptions'!J57*'Total Trip Tables Sup #2'!J174)</f>
        <v>9.1676988176558378</v>
      </c>
      <c r="K94" s="1">
        <f ca="1">K160*'Total Trip Tables Sup #1'!K94*(1+'Active Mode Assumptions'!K16)-('PT Assumptions'!K45*'Total Trip Tables Sup #2'!K171+'PT Assumptions'!K57*'Total Trip Tables Sup #2'!K174)</f>
        <v>9.2353805369753985</v>
      </c>
    </row>
    <row r="95" spans="1:11" x14ac:dyDescent="0.2">
      <c r="A95" t="str">
        <f ca="1">OFFSET(Wellington_Reference,14,2)</f>
        <v>Light Vehicle Driver</v>
      </c>
      <c r="B95" s="4">
        <f ca="1">(B161*'Total Trip Tables Sup #1'!B95-'PT Assumptions'!B46*'Total Trip Tables Sup #2'!B171-'PT Assumptions'!B58*'Total Trip Tables Sup #2'!B174)-(B159*'Total Trip Tables Sup #1'!B93)*'Active Mode Assumptions'!B7*'Active Mode Assumptions'!B14-(B160*'Total Trip Tables Sup #1'!B94)*'Active Mode Assumptions'!B16*'Active Mode Assumptions'!B23</f>
        <v>377.93589692</v>
      </c>
      <c r="C95" s="4">
        <f ca="1">(C161*'Total Trip Tables Sup #1'!C95-'PT Assumptions'!C46*'Total Trip Tables Sup #2'!C171-'PT Assumptions'!C58*'Total Trip Tables Sup #2'!C174)-(C159*'Total Trip Tables Sup #1'!C93)*'Active Mode Assumptions'!C7*'Active Mode Assumptions'!C14-(C160*'Total Trip Tables Sup #1'!C94)*'Active Mode Assumptions'!C16*'Active Mode Assumptions'!C23</f>
        <v>408.55902563305511</v>
      </c>
      <c r="D95" s="4">
        <f ca="1">(D161*'Total Trip Tables Sup #1'!D95-'PT Assumptions'!D46*'Total Trip Tables Sup #2'!D171-'PT Assumptions'!D58*'Total Trip Tables Sup #2'!D174)-(D159*'Total Trip Tables Sup #1'!D93)*'Active Mode Assumptions'!D7*'Active Mode Assumptions'!D14-(D160*'Total Trip Tables Sup #1'!D94)*'Active Mode Assumptions'!D16*'Active Mode Assumptions'!D23</f>
        <v>425.47770803348442</v>
      </c>
      <c r="E95" s="4">
        <f ca="1">(E161*'Total Trip Tables Sup #1'!E95-'PT Assumptions'!E46*'Total Trip Tables Sup #2'!E171-'PT Assumptions'!E58*'Total Trip Tables Sup #2'!E174)-(E159*'Total Trip Tables Sup #1'!E93)*'Active Mode Assumptions'!E7*'Active Mode Assumptions'!E14-(E160*'Total Trip Tables Sup #1'!E94)*'Active Mode Assumptions'!E16*'Active Mode Assumptions'!E23</f>
        <v>435.78537807873107</v>
      </c>
      <c r="F95" s="4">
        <f ca="1">(F161*'Total Trip Tables Sup #1'!F95-'PT Assumptions'!F46*'Total Trip Tables Sup #2'!F171-'PT Assumptions'!F58*'Total Trip Tables Sup #2'!F174)-(F159*'Total Trip Tables Sup #1'!F93)*'Active Mode Assumptions'!F7*'Active Mode Assumptions'!F14-(F160*'Total Trip Tables Sup #1'!F94)*'Active Mode Assumptions'!F16*'Active Mode Assumptions'!F23</f>
        <v>444.83831500544903</v>
      </c>
      <c r="G95" s="4">
        <f ca="1">(G161*'Total Trip Tables Sup #1'!G95-'PT Assumptions'!G46*'Total Trip Tables Sup #2'!G171-'PT Assumptions'!G58*'Total Trip Tables Sup #2'!G174)-(G159*'Total Trip Tables Sup #1'!G93)*'Active Mode Assumptions'!G7*'Active Mode Assumptions'!G14-(G160*'Total Trip Tables Sup #1'!G94)*'Active Mode Assumptions'!G16*'Active Mode Assumptions'!G23</f>
        <v>449.64715206759115</v>
      </c>
      <c r="H95" s="4">
        <f ca="1">(H161*'Total Trip Tables Sup #1'!H95-'PT Assumptions'!H46*'Total Trip Tables Sup #2'!H171-'PT Assumptions'!H58*'Total Trip Tables Sup #2'!H174)-(H159*'Total Trip Tables Sup #1'!H93)*'Active Mode Assumptions'!H7*'Active Mode Assumptions'!H14-(H160*'Total Trip Tables Sup #1'!H94)*'Active Mode Assumptions'!H16*'Active Mode Assumptions'!H23</f>
        <v>452.30513694833127</v>
      </c>
      <c r="I95" s="1">
        <f ca="1">(I161*'Total Trip Tables Sup #1'!I95-'PT Assumptions'!I46*'Total Trip Tables Sup #2'!I171-'PT Assumptions'!I58*'Total Trip Tables Sup #2'!I174)-(I159*'Total Trip Tables Sup #1'!I93)*'Active Mode Assumptions'!I7*'Active Mode Assumptions'!I14-(I160*'Total Trip Tables Sup #1'!I94)*'Active Mode Assumptions'!I16*'Active Mode Assumptions'!I23</f>
        <v>455.01009831516291</v>
      </c>
      <c r="J95" s="1">
        <f ca="1">(J161*'Total Trip Tables Sup #1'!J95-'PT Assumptions'!J46*'Total Trip Tables Sup #2'!J171-'PT Assumptions'!J58*'Total Trip Tables Sup #2'!J174)-(J159*'Total Trip Tables Sup #1'!J93)*'Active Mode Assumptions'!J7*'Active Mode Assumptions'!J14-(J160*'Total Trip Tables Sup #1'!J94)*'Active Mode Assumptions'!J16*'Active Mode Assumptions'!J23</f>
        <v>456.19734354235686</v>
      </c>
      <c r="K95" s="1">
        <f ca="1">(K161*'Total Trip Tables Sup #1'!K95-'PT Assumptions'!K46*'Total Trip Tables Sup #2'!K171-'PT Assumptions'!K58*'Total Trip Tables Sup #2'!K174)-(K159*'Total Trip Tables Sup #1'!K93)*'Active Mode Assumptions'!K7*'Active Mode Assumptions'!K14-(K160*'Total Trip Tables Sup #1'!K94)*'Active Mode Assumptions'!K16*'Active Mode Assumptions'!K23</f>
        <v>456.33820385865187</v>
      </c>
    </row>
    <row r="96" spans="1:11" x14ac:dyDescent="0.2">
      <c r="A96" t="str">
        <f ca="1">OFFSET(Wellington_Reference,21,2)</f>
        <v>Light Vehicle Passenger</v>
      </c>
      <c r="B96" s="4">
        <f ca="1">(B162*'Total Trip Tables Sup #1'!B96-'PT Assumptions'!B47*'Total Trip Tables Sup #2'!B171-'PT Assumptions'!B59*'Total Trip Tables Sup #2'!B174)-(B159*'Total Trip Tables Sup #1'!B93)*'Active Mode Assumptions'!B7*'Active Mode Assumptions'!B15-(B160*'Total Trip Tables Sup #1'!B94)*'Active Mode Assumptions'!B16*'Active Mode Assumptions'!B24</f>
        <v>183.55442563000003</v>
      </c>
      <c r="C96" s="4">
        <f ca="1">(C162*'Total Trip Tables Sup #1'!C96-'PT Assumptions'!C47*'Total Trip Tables Sup #2'!C171-'PT Assumptions'!C59*'Total Trip Tables Sup #2'!C174)-(C159*'Total Trip Tables Sup #1'!C93)*'Active Mode Assumptions'!C7*'Active Mode Assumptions'!C15-(C160*'Total Trip Tables Sup #1'!C94)*'Active Mode Assumptions'!C16*'Active Mode Assumptions'!C24</f>
        <v>188.61309901873273</v>
      </c>
      <c r="D96" s="4">
        <f ca="1">(D162*'Total Trip Tables Sup #1'!D96-'PT Assumptions'!D47*'Total Trip Tables Sup #2'!D171-'PT Assumptions'!D59*'Total Trip Tables Sup #2'!D174)-(D159*'Total Trip Tables Sup #1'!D93)*'Active Mode Assumptions'!D7*'Active Mode Assumptions'!D15-(D160*'Total Trip Tables Sup #1'!D94)*'Active Mode Assumptions'!D16*'Active Mode Assumptions'!D24</f>
        <v>189.8229397809223</v>
      </c>
      <c r="E96" s="4">
        <f ca="1">(E162*'Total Trip Tables Sup #1'!E96-'PT Assumptions'!E47*'Total Trip Tables Sup #2'!E171-'PT Assumptions'!E59*'Total Trip Tables Sup #2'!E174)-(E159*'Total Trip Tables Sup #1'!E93)*'Active Mode Assumptions'!E7*'Active Mode Assumptions'!E15-(E160*'Total Trip Tables Sup #1'!E94)*'Active Mode Assumptions'!E16*'Active Mode Assumptions'!E24</f>
        <v>189.90537068796758</v>
      </c>
      <c r="F96" s="4">
        <f ca="1">(F162*'Total Trip Tables Sup #1'!F96-'PT Assumptions'!F47*'Total Trip Tables Sup #2'!F171-'PT Assumptions'!F59*'Total Trip Tables Sup #2'!F174)-(F159*'Total Trip Tables Sup #1'!F93)*'Active Mode Assumptions'!F7*'Active Mode Assumptions'!F15-(F160*'Total Trip Tables Sup #1'!F94)*'Active Mode Assumptions'!F16*'Active Mode Assumptions'!F24</f>
        <v>190.07372032322598</v>
      </c>
      <c r="G96" s="4">
        <f ca="1">(G162*'Total Trip Tables Sup #1'!G96-'PT Assumptions'!G47*'Total Trip Tables Sup #2'!G171-'PT Assumptions'!G59*'Total Trip Tables Sup #2'!G174)-(G159*'Total Trip Tables Sup #1'!G93)*'Active Mode Assumptions'!G7*'Active Mode Assumptions'!G15-(G160*'Total Trip Tables Sup #1'!G94)*'Active Mode Assumptions'!G16*'Active Mode Assumptions'!G24</f>
        <v>189.28170189763807</v>
      </c>
      <c r="H96" s="4">
        <f ca="1">(H162*'Total Trip Tables Sup #1'!H96-'PT Assumptions'!H47*'Total Trip Tables Sup #2'!H171-'PT Assumptions'!H59*'Total Trip Tables Sup #2'!H174)-(H159*'Total Trip Tables Sup #1'!H93)*'Active Mode Assumptions'!H7*'Active Mode Assumptions'!H15-(H160*'Total Trip Tables Sup #1'!H94)*'Active Mode Assumptions'!H16*'Active Mode Assumptions'!H24</f>
        <v>187.32794749609934</v>
      </c>
      <c r="I96" s="1">
        <f ca="1">(I162*'Total Trip Tables Sup #1'!I96-'PT Assumptions'!I47*'Total Trip Tables Sup #2'!I171-'PT Assumptions'!I59*'Total Trip Tables Sup #2'!I174)-(I159*'Total Trip Tables Sup #1'!I93)*'Active Mode Assumptions'!I7*'Active Mode Assumptions'!I15-(I160*'Total Trip Tables Sup #1'!I94)*'Active Mode Assumptions'!I16*'Active Mode Assumptions'!I24</f>
        <v>188.12854408473316</v>
      </c>
      <c r="J96" s="1">
        <f ca="1">(J162*'Total Trip Tables Sup #1'!J96-'PT Assumptions'!J47*'Total Trip Tables Sup #2'!J171-'PT Assumptions'!J59*'Total Trip Tables Sup #2'!J174)-(J159*'Total Trip Tables Sup #1'!J93)*'Active Mode Assumptions'!J7*'Active Mode Assumptions'!J15-(J160*'Total Trip Tables Sup #1'!J94)*'Active Mode Assumptions'!J16*'Active Mode Assumptions'!J24</f>
        <v>188.25182556819993</v>
      </c>
      <c r="K96" s="1">
        <f ca="1">(K162*'Total Trip Tables Sup #1'!K96-'PT Assumptions'!K47*'Total Trip Tables Sup #2'!K171-'PT Assumptions'!K59*'Total Trip Tables Sup #2'!K174)-(K159*'Total Trip Tables Sup #1'!K93)*'Active Mode Assumptions'!K7*'Active Mode Assumptions'!K15-(K160*'Total Trip Tables Sup #1'!K94)*'Active Mode Assumptions'!K16*'Active Mode Assumptions'!K24</f>
        <v>187.90113578978577</v>
      </c>
    </row>
    <row r="97" spans="1:11" x14ac:dyDescent="0.2">
      <c r="A97" t="str">
        <f ca="1">OFFSET(Wellington_Reference,28,2)</f>
        <v>Taxi/Vehicle Share</v>
      </c>
      <c r="B97" s="4">
        <f ca="1">B163*'Total Trip Tables Sup #1'!B97</f>
        <v>2.3579512121000001</v>
      </c>
      <c r="C97" s="4">
        <f ca="1">C163*'Total Trip Tables Sup #1'!C97</f>
        <v>2.6655466093958666</v>
      </c>
      <c r="D97" s="4">
        <f ca="1">D163*'Total Trip Tables Sup #1'!D97</f>
        <v>2.8907450783646964</v>
      </c>
      <c r="E97" s="4">
        <f ca="1">E163*'Total Trip Tables Sup #1'!E97</f>
        <v>3.0944279643792285</v>
      </c>
      <c r="F97" s="4">
        <f ca="1">F163*'Total Trip Tables Sup #1'!F97</f>
        <v>3.2699204118130432</v>
      </c>
      <c r="G97" s="4">
        <f ca="1">G163*'Total Trip Tables Sup #1'!G97</f>
        <v>3.4032753897772192</v>
      </c>
      <c r="H97" s="4">
        <f ca="1">H163*'Total Trip Tables Sup #1'!H97</f>
        <v>3.5262193127286445</v>
      </c>
      <c r="I97" s="1">
        <f ca="1">I163*'Total Trip Tables Sup #1'!I97</f>
        <v>3.5458638134035123</v>
      </c>
      <c r="J97" s="1">
        <f ca="1">J163*'Total Trip Tables Sup #1'!J97</f>
        <v>3.5541424049865946</v>
      </c>
      <c r="K97" s="1">
        <f ca="1">K163*'Total Trip Tables Sup #1'!K97</f>
        <v>3.5546649569321058</v>
      </c>
    </row>
    <row r="98" spans="1:11" x14ac:dyDescent="0.2">
      <c r="A98" t="str">
        <f ca="1">OFFSET(Wellington_Reference,35,2)</f>
        <v>Motorcyclist</v>
      </c>
      <c r="B98" s="4">
        <f ca="1">B164*'Total Trip Tables Sup #1'!B98</f>
        <v>2.4968267649999998</v>
      </c>
      <c r="C98" s="4">
        <f ca="1">C164*'Total Trip Tables Sup #1'!C98</f>
        <v>2.6523350226552869</v>
      </c>
      <c r="D98" s="4">
        <f ca="1">D164*'Total Trip Tables Sup #1'!D98</f>
        <v>2.7267690757577632</v>
      </c>
      <c r="E98" s="4">
        <f ca="1">E164*'Total Trip Tables Sup #1'!E98</f>
        <v>2.7552804533456285</v>
      </c>
      <c r="F98" s="4">
        <f ca="1">F164*'Total Trip Tables Sup #1'!F98</f>
        <v>2.7706499809381016</v>
      </c>
      <c r="G98" s="4">
        <f ca="1">G164*'Total Trip Tables Sup #1'!G98</f>
        <v>2.7385150980720989</v>
      </c>
      <c r="H98" s="4">
        <f ca="1">H164*'Total Trip Tables Sup #1'!H98</f>
        <v>2.6903204609874858</v>
      </c>
      <c r="I98" s="1">
        <f ca="1">I164*'Total Trip Tables Sup #1'!I98</f>
        <v>2.7239494746674437</v>
      </c>
      <c r="J98" s="1">
        <f ca="1">J164*'Total Trip Tables Sup #1'!J98</f>
        <v>2.7492697360060929</v>
      </c>
      <c r="K98" s="1">
        <f ca="1">K164*'Total Trip Tables Sup #1'!K98</f>
        <v>2.7689031698292808</v>
      </c>
    </row>
    <row r="99" spans="1:11" x14ac:dyDescent="0.2">
      <c r="A99" t="str">
        <f ca="1">OFFSET(Wellington_Reference,42,2)</f>
        <v>Local Train</v>
      </c>
      <c r="B99" s="4">
        <f ca="1">'Total Trip Tables Sup #1'!B99*(1+'PT Assumptions'!B37)</f>
        <v>12.37</v>
      </c>
      <c r="C99" s="4">
        <f ca="1">'Total Trip Tables Sup #1'!C99*(1+'PT Assumptions'!C37)</f>
        <v>13.600000000000001</v>
      </c>
      <c r="D99" s="4">
        <f ca="1">'Total Trip Tables Sup #1'!D99*(1+'PT Assumptions'!D37)</f>
        <v>15.225</v>
      </c>
      <c r="E99" s="4">
        <f ca="1">'Total Trip Tables Sup #1'!E99*(1+'PT Assumptions'!E37)</f>
        <v>16.66</v>
      </c>
      <c r="F99" s="4">
        <f ca="1">'Total Trip Tables Sup #1'!F99*(1+'PT Assumptions'!F37)</f>
        <v>17.809999999999999</v>
      </c>
      <c r="G99" s="4">
        <f ca="1">'Total Trip Tables Sup #1'!G99*(1+'PT Assumptions'!G37)</f>
        <v>18.96</v>
      </c>
      <c r="H99" s="4">
        <f ca="1">'Total Trip Tables Sup #1'!H99*(1+'PT Assumptions'!H37)</f>
        <v>20.11</v>
      </c>
      <c r="I99" s="1">
        <f ca="1">'Total Trip Tables Sup #1'!I99*(1+'PT Assumptions'!I37)</f>
        <v>21.2677438742083</v>
      </c>
      <c r="J99" s="1">
        <f ca="1">'Total Trip Tables Sup #1'!J99*(1+'PT Assumptions'!J37)</f>
        <v>22.483640772950388</v>
      </c>
      <c r="K99" s="1">
        <f ca="1">'Total Trip Tables Sup #1'!K99*(1+'PT Assumptions'!K37)</f>
        <v>23.769051639752035</v>
      </c>
    </row>
    <row r="100" spans="1:11" x14ac:dyDescent="0.2">
      <c r="A100" t="str">
        <f ca="1">OFFSET(Wellington_Reference,49,2)</f>
        <v>Local Bus</v>
      </c>
      <c r="B100" s="4">
        <f ca="1">'Total Trip Tables Sup #1'!B100*(1+'PT Assumptions'!B49)</f>
        <v>23.4</v>
      </c>
      <c r="C100" s="4">
        <f ca="1">'Total Trip Tables Sup #1'!C100*(1+'PT Assumptions'!C49)</f>
        <v>24.7</v>
      </c>
      <c r="D100" s="4">
        <f ca="1">'Total Trip Tables Sup #1'!D100*(1+'PT Assumptions'!D49)</f>
        <v>27.7</v>
      </c>
      <c r="E100" s="4">
        <f ca="1">'Total Trip Tables Sup #1'!E100*(1+'PT Assumptions'!E49)</f>
        <v>29.879999999999995</v>
      </c>
      <c r="F100" s="4">
        <f ca="1">'Total Trip Tables Sup #1'!F100*(1+'PT Assumptions'!F49)</f>
        <v>30.829999999999995</v>
      </c>
      <c r="G100" s="4">
        <f ca="1">'Total Trip Tables Sup #1'!G100*(1+'PT Assumptions'!G49)</f>
        <v>31.78</v>
      </c>
      <c r="H100" s="4">
        <f ca="1">'Total Trip Tables Sup #1'!H100*(1+'PT Assumptions'!H49)</f>
        <v>32.729999999999997</v>
      </c>
      <c r="I100" s="1">
        <f ca="1">'Total Trip Tables Sup #1'!I100*(1+'PT Assumptions'!I49)</f>
        <v>33.683277171789733</v>
      </c>
      <c r="J100" s="1">
        <f ca="1">'Total Trip Tables Sup #1'!J100*(1+'PT Assumptions'!J49)</f>
        <v>34.660881438910685</v>
      </c>
      <c r="K100" s="1">
        <f ca="1">'Total Trip Tables Sup #1'!K100*(1+'PT Assumptions'!K49)</f>
        <v>35.666859135915509</v>
      </c>
    </row>
    <row r="101" spans="1:11" x14ac:dyDescent="0.2">
      <c r="A101" t="str">
        <f ca="1">OFFSET(Wellington_Reference,56,2)</f>
        <v>Local Ferry</v>
      </c>
      <c r="B101" s="4">
        <f ca="1">B167*'Total Trip Tables Sup #1'!B101</f>
        <v>0.22615005399999999</v>
      </c>
      <c r="C101" s="4">
        <f ca="1">C167*'Total Trip Tables Sup #1'!C101</f>
        <v>0.24940944241185231</v>
      </c>
      <c r="D101" s="4">
        <f ca="1">D167*'Total Trip Tables Sup #1'!D101</f>
        <v>0.26599649814852505</v>
      </c>
      <c r="E101" s="4">
        <f ca="1">E167*'Total Trip Tables Sup #1'!E101</f>
        <v>0.27794993416369901</v>
      </c>
      <c r="F101" s="4">
        <f ca="1">F167*'Total Trip Tables Sup #1'!F101</f>
        <v>0.28743274486736298</v>
      </c>
      <c r="G101" s="4">
        <f ca="1">G167*'Total Trip Tables Sup #1'!G101</f>
        <v>0.30331251991776398</v>
      </c>
      <c r="H101" s="4">
        <f ca="1">H167*'Total Trip Tables Sup #1'!H101</f>
        <v>0.31742299145587005</v>
      </c>
      <c r="I101" s="1">
        <f ca="1">I167*'Total Trip Tables Sup #1'!I101</f>
        <v>0.31454973080066412</v>
      </c>
      <c r="J101" s="1">
        <f ca="1">J167*'Total Trip Tables Sup #1'!J101</f>
        <v>0.31077865282937045</v>
      </c>
      <c r="K101" s="1">
        <f ca="1">K167*'Total Trip Tables Sup #1'!K101</f>
        <v>0.30646059922629604</v>
      </c>
    </row>
    <row r="102" spans="1:11" x14ac:dyDescent="0.2">
      <c r="A102" t="str">
        <f ca="1">OFFSET(Wellington_Reference,63,2)</f>
        <v>Other Household Travel</v>
      </c>
      <c r="B102" s="4">
        <f ca="1">B168*'Total Trip Tables Sup #1'!B102</f>
        <v>0.33422365529999998</v>
      </c>
      <c r="C102" s="4">
        <f ca="1">C168*'Total Trip Tables Sup #1'!C102</f>
        <v>0.35657876069563327</v>
      </c>
      <c r="D102" s="4">
        <f ca="1">D168*'Total Trip Tables Sup #1'!D102</f>
        <v>0.37608952035000737</v>
      </c>
      <c r="E102" s="4">
        <f ca="1">E168*'Total Trip Tables Sup #1'!E102</f>
        <v>0.3964135444611771</v>
      </c>
      <c r="F102" s="4">
        <f ca="1">F168*'Total Trip Tables Sup #1'!F102</f>
        <v>0.41761915008949213</v>
      </c>
      <c r="G102" s="4">
        <f ca="1">G168*'Total Trip Tables Sup #1'!G102</f>
        <v>0.43931077567329813</v>
      </c>
      <c r="H102" s="4">
        <f ca="1">H168*'Total Trip Tables Sup #1'!H102</f>
        <v>0.45770407208594882</v>
      </c>
      <c r="I102" s="1">
        <f ca="1">I168*'Total Trip Tables Sup #1'!I102</f>
        <v>0.46244185854185194</v>
      </c>
      <c r="J102" s="1">
        <f ca="1">J168*'Total Trip Tables Sup #1'!J102</f>
        <v>0.46575365255036932</v>
      </c>
      <c r="K102" s="1">
        <f ca="1">K168*'Total Trip Tables Sup #1'!K102</f>
        <v>0.46809276301609892</v>
      </c>
    </row>
    <row r="103" spans="1:11" x14ac:dyDescent="0.2">
      <c r="A103" t="str">
        <f ca="1">OFFSET(Nelson_Reference,0,0)</f>
        <v>10 NELS-MARLB-TAS</v>
      </c>
      <c r="I103" s="1"/>
      <c r="J103" s="1"/>
      <c r="K103" s="1"/>
    </row>
    <row r="104" spans="1:11" x14ac:dyDescent="0.2">
      <c r="A104" t="str">
        <f ca="1">OFFSET(Nelson_Reference,0,2)</f>
        <v>Pedestrian</v>
      </c>
      <c r="B104" s="4">
        <f ca="1">B159*'Total Trip Tables Sup #1'!B104</f>
        <v>34.609993433</v>
      </c>
      <c r="C104" s="4">
        <f ca="1">C159*'Total Trip Tables Sup #1'!C104*(1+'Active Mode Assumptions'!C7)</f>
        <v>36.106416498305528</v>
      </c>
      <c r="D104" s="4">
        <f ca="1">D159*'Total Trip Tables Sup #1'!D104*(1+'Active Mode Assumptions'!D7)</f>
        <v>36.976079412659246</v>
      </c>
      <c r="E104" s="4">
        <f ca="1">E159*'Total Trip Tables Sup #1'!E104*(1+'Active Mode Assumptions'!E7)</f>
        <v>37.542746679210431</v>
      </c>
      <c r="F104" s="4">
        <f ca="1">F159*'Total Trip Tables Sup #1'!F104*(1+'Active Mode Assumptions'!F7)</f>
        <v>37.726210973634764</v>
      </c>
      <c r="G104" s="4">
        <f ca="1">G159*'Total Trip Tables Sup #1'!G104*(1+'Active Mode Assumptions'!G7)</f>
        <v>37.689362329457772</v>
      </c>
      <c r="H104" s="4">
        <f ca="1">H159*'Total Trip Tables Sup #1'!H104*(1+'Active Mode Assumptions'!H7)</f>
        <v>37.408528653249796</v>
      </c>
      <c r="I104" s="1">
        <f ca="1">I159*'Total Trip Tables Sup #1'!I104*(1+'Active Mode Assumptions'!I7)</f>
        <v>37.359721151525477</v>
      </c>
      <c r="J104" s="1">
        <f ca="1">J159*'Total Trip Tables Sup #1'!J104*(1+'Active Mode Assumptions'!J7)</f>
        <v>37.194428808030807</v>
      </c>
      <c r="K104" s="1">
        <f ca="1">K159*'Total Trip Tables Sup #1'!K104*(1+'Active Mode Assumptions'!K7)</f>
        <v>36.952465442592832</v>
      </c>
    </row>
    <row r="105" spans="1:11" x14ac:dyDescent="0.2">
      <c r="A105" t="str">
        <f ca="1">OFFSET(Nelson_Reference,7,2)</f>
        <v>Cyclist</v>
      </c>
      <c r="B105" s="4">
        <f ca="1">B160*'Total Trip Tables Sup #1'!B105</f>
        <v>2.9519642961999999</v>
      </c>
      <c r="C105" s="4">
        <f ca="1">C160*'Total Trip Tables Sup #1'!C105*(1+'Active Mode Assumptions'!C16)</f>
        <v>3.0737567461646411</v>
      </c>
      <c r="D105" s="4">
        <f ca="1">D160*'Total Trip Tables Sup #1'!D105*(1+'Active Mode Assumptions'!D16)</f>
        <v>3.122074297707786</v>
      </c>
      <c r="E105" s="4">
        <f ca="1">E160*'Total Trip Tables Sup #1'!E105*(1+'Active Mode Assumptions'!E16)</f>
        <v>3.142248875834134</v>
      </c>
      <c r="F105" s="4">
        <f ca="1">F160*'Total Trip Tables Sup #1'!F105*(1+'Active Mode Assumptions'!F16)</f>
        <v>3.1523812378801237</v>
      </c>
      <c r="G105" s="4">
        <f ca="1">G160*'Total Trip Tables Sup #1'!G105*(1+'Active Mode Assumptions'!G16)</f>
        <v>3.1529952096092955</v>
      </c>
      <c r="H105" s="4">
        <f ca="1">H160*'Total Trip Tables Sup #1'!H105*(1+'Active Mode Assumptions'!H16)</f>
        <v>3.1400966983987439</v>
      </c>
      <c r="I105" s="1">
        <f ca="1">I160*'Total Trip Tables Sup #1'!I105*(1+'Active Mode Assumptions'!I16)</f>
        <v>3.1538803638733119</v>
      </c>
      <c r="J105" s="1">
        <f ca="1">J160*'Total Trip Tables Sup #1'!J105*(1+'Active Mode Assumptions'!J16)</f>
        <v>3.1581083402665127</v>
      </c>
      <c r="K105" s="1">
        <f ca="1">K160*'Total Trip Tables Sup #1'!K105*(1+'Active Mode Assumptions'!K16)</f>
        <v>3.1560085206741104</v>
      </c>
    </row>
    <row r="106" spans="1:11" x14ac:dyDescent="0.2">
      <c r="A106" t="str">
        <f ca="1">OFFSET(Nelson_Reference,14,2)</f>
        <v>Light Vehicle Driver</v>
      </c>
      <c r="B106" s="4">
        <f ca="1">B161*'Total Trip Tables Sup #1'!B106</f>
        <v>98.206986838999995</v>
      </c>
      <c r="C106" s="4">
        <f ca="1">C161*'Total Trip Tables Sup #1'!C106-(C104*'Active Mode Assumptions'!C7*'Active Mode Assumptions'!C14/(1+'Active Mode Assumptions'!C7))-(C105*'Active Mode Assumptions'!C16*'Active Mode Assumptions'!C23/(1+'Active Mode Assumptions'!C16))</f>
        <v>105.21903906385637</v>
      </c>
      <c r="D106" s="4">
        <f ca="1">D161*'Total Trip Tables Sup #1'!D106-(D104*'Active Mode Assumptions'!D7*'Active Mode Assumptions'!D14/(1+'Active Mode Assumptions'!D7))-(D105*'Active Mode Assumptions'!D16*'Active Mode Assumptions'!D23/(1+'Active Mode Assumptions'!D16))</f>
        <v>109.54791547588179</v>
      </c>
      <c r="E106" s="4">
        <f ca="1">E161*'Total Trip Tables Sup #1'!E106-(E104*'Active Mode Assumptions'!E7*'Active Mode Assumptions'!E14/(1+'Active Mode Assumptions'!E7))-(E105*'Active Mode Assumptions'!E16*'Active Mode Assumptions'!E23/(1+'Active Mode Assumptions'!E16))</f>
        <v>112.04875731322977</v>
      </c>
      <c r="F106" s="4">
        <f ca="1">F161*'Total Trip Tables Sup #1'!F106-(F104*'Active Mode Assumptions'!F7*'Active Mode Assumptions'!F14/(1+'Active Mode Assumptions'!F7))-(F105*'Active Mode Assumptions'!F16*'Active Mode Assumptions'!F23/(1+'Active Mode Assumptions'!F16))</f>
        <v>113.92440690315638</v>
      </c>
      <c r="G106" s="4">
        <f ca="1">G161*'Total Trip Tables Sup #1'!G106-(G104*'Active Mode Assumptions'!G7*'Active Mode Assumptions'!G14/(1+'Active Mode Assumptions'!G7))-(G105*'Active Mode Assumptions'!G16*'Active Mode Assumptions'!G23/(1+'Active Mode Assumptions'!G16))</f>
        <v>114.56066051892488</v>
      </c>
      <c r="H106" s="4">
        <f ca="1">H161*'Total Trip Tables Sup #1'!H106-(H104*'Active Mode Assumptions'!H7*'Active Mode Assumptions'!H14/(1+'Active Mode Assumptions'!H7))-(H105*'Active Mode Assumptions'!H16*'Active Mode Assumptions'!H23/(1+'Active Mode Assumptions'!H16))</f>
        <v>114.46666614980629</v>
      </c>
      <c r="I106" s="1">
        <f ca="1">I161*'Total Trip Tables Sup #1'!I106-(I104*'Active Mode Assumptions'!I7*'Active Mode Assumptions'!I14/(1+'Active Mode Assumptions'!I7))-(I105*'Active Mode Assumptions'!I16*'Active Mode Assumptions'!I23/(1+'Active Mode Assumptions'!I16))</f>
        <v>114.35819539178101</v>
      </c>
      <c r="J106" s="1">
        <f ca="1">J161*'Total Trip Tables Sup #1'!J106-(J104*'Active Mode Assumptions'!J7*'Active Mode Assumptions'!J14/(1+'Active Mode Assumptions'!J7))-(J105*'Active Mode Assumptions'!J16*'Active Mode Assumptions'!J23/(1+'Active Mode Assumptions'!J16))</f>
        <v>113.8918566888287</v>
      </c>
      <c r="K106" s="1">
        <f ca="1">K161*'Total Trip Tables Sup #1'!K106-(K104*'Active Mode Assumptions'!K7*'Active Mode Assumptions'!K14/(1+'Active Mode Assumptions'!K7))-(K105*'Active Mode Assumptions'!K16*'Active Mode Assumptions'!K23/(1+'Active Mode Assumptions'!K16))</f>
        <v>113.18929850611418</v>
      </c>
    </row>
    <row r="107" spans="1:11" x14ac:dyDescent="0.2">
      <c r="A107" t="str">
        <f ca="1">OFFSET(Nelson_Reference,21,2)</f>
        <v>Light Vehicle Passenger</v>
      </c>
      <c r="B107" s="4">
        <f ca="1">B162*'Total Trip Tables Sup #1'!B107</f>
        <v>45.895773311000006</v>
      </c>
      <c r="C107" s="4">
        <f ca="1">C162*'Total Trip Tables Sup #1'!C107-(C104*'Active Mode Assumptions'!C7*'Active Mode Assumptions'!C15/(1+'Active Mode Assumptions'!C7))-(C105*'Active Mode Assumptions'!C16*'Active Mode Assumptions'!C24/(1+'Active Mode Assumptions'!C16))</f>
        <v>46.772258172639802</v>
      </c>
      <c r="D107" s="4">
        <f ca="1">D162*'Total Trip Tables Sup #1'!D107-(D104*'Active Mode Assumptions'!D7*'Active Mode Assumptions'!D15/(1+'Active Mode Assumptions'!D7))-(D105*'Active Mode Assumptions'!D16*'Active Mode Assumptions'!D24/(1+'Active Mode Assumptions'!D16))</f>
        <v>47.238972259427143</v>
      </c>
      <c r="E107" s="4">
        <f ca="1">E162*'Total Trip Tables Sup #1'!E107-(E104*'Active Mode Assumptions'!E7*'Active Mode Assumptions'!E15/(1+'Active Mode Assumptions'!E7))-(E105*'Active Mode Assumptions'!E16*'Active Mode Assumptions'!E24/(1+'Active Mode Assumptions'!E16))</f>
        <v>47.333806660223928</v>
      </c>
      <c r="F107" s="4">
        <f ca="1">F162*'Total Trip Tables Sup #1'!F107-(F104*'Active Mode Assumptions'!F7*'Active Mode Assumptions'!F15/(1+'Active Mode Assumptions'!F7))-(F105*'Active Mode Assumptions'!F16*'Active Mode Assumptions'!F24/(1+'Active Mode Assumptions'!F16))</f>
        <v>47.27359353745512</v>
      </c>
      <c r="G107" s="4">
        <f ca="1">G162*'Total Trip Tables Sup #1'!G107-(G104*'Active Mode Assumptions'!G7*'Active Mode Assumptions'!G15/(1+'Active Mode Assumptions'!G7))-(G105*'Active Mode Assumptions'!G16*'Active Mode Assumptions'!G24/(1+'Active Mode Assumptions'!G16))</f>
        <v>46.926777154898396</v>
      </c>
      <c r="H107" s="4">
        <f ca="1">H162*'Total Trip Tables Sup #1'!H107-(H104*'Active Mode Assumptions'!H7*'Active Mode Assumptions'!H15/(1+'Active Mode Assumptions'!H7))-(H105*'Active Mode Assumptions'!H16*'Active Mode Assumptions'!H24/(1+'Active Mode Assumptions'!H16))</f>
        <v>46.238732566488444</v>
      </c>
      <c r="I107" s="1">
        <f ca="1">I162*'Total Trip Tables Sup #1'!I107-(I104*'Active Mode Assumptions'!I7*'Active Mode Assumptions'!I15/(1+'Active Mode Assumptions'!I7))-(I105*'Active Mode Assumptions'!I16*'Active Mode Assumptions'!I24/(1+'Active Mode Assumptions'!I16))</f>
        <v>46.195288527548058</v>
      </c>
      <c r="J107" s="1">
        <f ca="1">J162*'Total Trip Tables Sup #1'!J107-(J104*'Active Mode Assumptions'!J7*'Active Mode Assumptions'!J15/(1+'Active Mode Assumptions'!J7))-(J105*'Active Mode Assumptions'!J16*'Active Mode Assumptions'!J24/(1+'Active Mode Assumptions'!J16))</f>
        <v>46.007097479777961</v>
      </c>
      <c r="K107" s="1">
        <f ca="1">K162*'Total Trip Tables Sup #1'!K107-(K104*'Active Mode Assumptions'!K7*'Active Mode Assumptions'!K15/(1+'Active Mode Assumptions'!K7))-(K105*'Active Mode Assumptions'!K16*'Active Mode Assumptions'!K24/(1+'Active Mode Assumptions'!K16))</f>
        <v>45.723299157478863</v>
      </c>
    </row>
    <row r="108" spans="1:11" x14ac:dyDescent="0.2">
      <c r="A108" t="str">
        <f ca="1">OFFSET(Nelson_Reference,28,2)</f>
        <v>Taxi/Vehicle Share</v>
      </c>
      <c r="B108" s="4">
        <f ca="1">B163*'Total Trip Tables Sup #1'!B108</f>
        <v>0.40359339709999997</v>
      </c>
      <c r="C108" s="4">
        <f ca="1">C163*'Total Trip Tables Sup #1'!C108</f>
        <v>0.45191739403028536</v>
      </c>
      <c r="D108" s="4">
        <f ca="1">D163*'Total Trip Tables Sup #1'!D108</f>
        <v>0.48848629747629757</v>
      </c>
      <c r="E108" s="4">
        <f ca="1">E163*'Total Trip Tables Sup #1'!E108</f>
        <v>0.52107390083908689</v>
      </c>
      <c r="F108" s="4">
        <f ca="1">F163*'Total Trip Tables Sup #1'!F108</f>
        <v>0.5478094531786859</v>
      </c>
      <c r="G108" s="4">
        <f ca="1">G163*'Total Trip Tables Sup #1'!G108</f>
        <v>0.56646692405256005</v>
      </c>
      <c r="H108" s="4">
        <f ca="1">H163*'Total Trip Tables Sup #1'!H108</f>
        <v>0.58215945991095963</v>
      </c>
      <c r="I108" s="1">
        <f ca="1">I163*'Total Trip Tables Sup #1'!I108</f>
        <v>0.58067128012334934</v>
      </c>
      <c r="J108" s="1">
        <f ca="1">J163*'Total Trip Tables Sup #1'!J108</f>
        <v>0.57735014431931642</v>
      </c>
      <c r="K108" s="1">
        <f ca="1">K163*'Total Trip Tables Sup #1'!K108</f>
        <v>0.57282216105468409</v>
      </c>
    </row>
    <row r="109" spans="1:11" x14ac:dyDescent="0.2">
      <c r="A109" t="str">
        <f ca="1">OFFSET(Nelson_Reference,35,2)</f>
        <v>Motorcyclist</v>
      </c>
      <c r="B109" s="4">
        <f ca="1">B164*'Total Trip Tables Sup #1'!B109</f>
        <v>1.5095151791999999</v>
      </c>
      <c r="C109" s="4">
        <f ca="1">C164*'Total Trip Tables Sup #1'!C109</f>
        <v>1.5883309268752379</v>
      </c>
      <c r="D109" s="4">
        <f ca="1">D164*'Total Trip Tables Sup #1'!D109</f>
        <v>1.6275366864497431</v>
      </c>
      <c r="E109" s="4">
        <f ca="1">E164*'Total Trip Tables Sup #1'!E109</f>
        <v>1.6387948520716118</v>
      </c>
      <c r="F109" s="4">
        <f ca="1">F164*'Total Trip Tables Sup #1'!F109</f>
        <v>1.6395091329640834</v>
      </c>
      <c r="G109" s="4">
        <f ca="1">G164*'Total Trip Tables Sup #1'!G109</f>
        <v>1.6100243295072032</v>
      </c>
      <c r="H109" s="4">
        <f ca="1">H164*'Total Trip Tables Sup #1'!H109</f>
        <v>1.5688321828144842</v>
      </c>
      <c r="I109" s="1">
        <f ca="1">I164*'Total Trip Tables Sup #1'!I109</f>
        <v>1.5756043767596948</v>
      </c>
      <c r="J109" s="1">
        <f ca="1">J164*'Total Trip Tables Sup #1'!J109</f>
        <v>1.5774719339840346</v>
      </c>
      <c r="K109" s="1">
        <f ca="1">K164*'Total Trip Tables Sup #1'!K109</f>
        <v>1.5760454696591215</v>
      </c>
    </row>
    <row r="110" spans="1:11" x14ac:dyDescent="0.2">
      <c r="A110" t="str">
        <f ca="1">OFFSET(Nelson_Reference,42,2)</f>
        <v>Local Train</v>
      </c>
      <c r="B110" s="4">
        <f ca="1">B165*'Total Trip Tables Sup #1'!B110</f>
        <v>0</v>
      </c>
      <c r="C110" s="4">
        <f ca="1">C165*'Total Trip Tables Sup #1'!C110</f>
        <v>0</v>
      </c>
      <c r="D110" s="4">
        <f ca="1">D165*'Total Trip Tables Sup #1'!D110</f>
        <v>0</v>
      </c>
      <c r="E110" s="4">
        <f ca="1">E165*'Total Trip Tables Sup #1'!E110</f>
        <v>0</v>
      </c>
      <c r="F110" s="4">
        <f ca="1">F165*'Total Trip Tables Sup #1'!F110</f>
        <v>0</v>
      </c>
      <c r="G110" s="4">
        <f ca="1">G165*'Total Trip Tables Sup #1'!G110</f>
        <v>0</v>
      </c>
      <c r="H110" s="4">
        <f ca="1">H165*'Total Trip Tables Sup #1'!H110</f>
        <v>0</v>
      </c>
      <c r="I110" s="1">
        <f ca="1">I165*'Total Trip Tables Sup #1'!I110</f>
        <v>0</v>
      </c>
      <c r="J110" s="1">
        <f ca="1">J165*'Total Trip Tables Sup #1'!J110</f>
        <v>0</v>
      </c>
      <c r="K110" s="1">
        <f ca="1">K165*'Total Trip Tables Sup #1'!K110</f>
        <v>0</v>
      </c>
    </row>
    <row r="111" spans="1:11" x14ac:dyDescent="0.2">
      <c r="A111" t="str">
        <f ca="1">OFFSET(Nelson_Reference,49,2)</f>
        <v>Local Bus</v>
      </c>
      <c r="B111" s="4">
        <f ca="1">B166*'Total Trip Tables Sup #1'!B111</f>
        <v>2.0764681202999999</v>
      </c>
      <c r="C111" s="4">
        <f ca="1">C166*'Total Trip Tables Sup #1'!C111</f>
        <v>2.0273924220525252</v>
      </c>
      <c r="D111" s="4">
        <f ca="1">D166*'Total Trip Tables Sup #1'!D111</f>
        <v>1.9872649842958103</v>
      </c>
      <c r="E111" s="4">
        <f ca="1">E166*'Total Trip Tables Sup #1'!E111</f>
        <v>1.965431964517051</v>
      </c>
      <c r="F111" s="4">
        <f ca="1">F166*'Total Trip Tables Sup #1'!F111</f>
        <v>1.9222651846606165</v>
      </c>
      <c r="G111" s="4">
        <f ca="1">G166*'Total Trip Tables Sup #1'!G111</f>
        <v>1.8910389597839246</v>
      </c>
      <c r="H111" s="4">
        <f ca="1">H166*'Total Trip Tables Sup #1'!H111</f>
        <v>1.8471641039528617</v>
      </c>
      <c r="I111" s="1">
        <f ca="1">I166*'Total Trip Tables Sup #1'!I111</f>
        <v>1.8467791112969698</v>
      </c>
      <c r="J111" s="1">
        <f ca="1">J166*'Total Trip Tables Sup #1'!J111</f>
        <v>1.8406148218050227</v>
      </c>
      <c r="K111" s="1">
        <f ca="1">K166*'Total Trip Tables Sup #1'!K111</f>
        <v>1.8306258303511198</v>
      </c>
    </row>
    <row r="112" spans="1:11" x14ac:dyDescent="0.2">
      <c r="A112" t="str">
        <f ca="1">OFFSET(Wellington_Reference,56,2)</f>
        <v>Local Ferry</v>
      </c>
      <c r="B112" s="4">
        <f ca="1">B167*'Total Trip Tables Sup #1'!B112</f>
        <v>0</v>
      </c>
      <c r="C112" s="4">
        <f ca="1">C167*'Total Trip Tables Sup #1'!C112</f>
        <v>0</v>
      </c>
      <c r="D112" s="4">
        <f ca="1">D167*'Total Trip Tables Sup #1'!D112</f>
        <v>0</v>
      </c>
      <c r="E112" s="4">
        <f ca="1">E167*'Total Trip Tables Sup #1'!E112</f>
        <v>0</v>
      </c>
      <c r="F112" s="4">
        <f ca="1">F167*'Total Trip Tables Sup #1'!F112</f>
        <v>0</v>
      </c>
      <c r="G112" s="4">
        <f ca="1">G167*'Total Trip Tables Sup #1'!G112</f>
        <v>0</v>
      </c>
      <c r="H112" s="4">
        <f ca="1">H167*'Total Trip Tables Sup #1'!H112</f>
        <v>0</v>
      </c>
      <c r="I112" s="1">
        <f ca="1">I167*'Total Trip Tables Sup #1'!I112</f>
        <v>0</v>
      </c>
      <c r="J112" s="1">
        <f ca="1">J167*'Total Trip Tables Sup #1'!J112</f>
        <v>0</v>
      </c>
      <c r="K112" s="1">
        <f ca="1">K167*'Total Trip Tables Sup #1'!K112</f>
        <v>0</v>
      </c>
    </row>
    <row r="113" spans="1:11" x14ac:dyDescent="0.2">
      <c r="A113" t="str">
        <f ca="1">OFFSET(Nelson_Reference,56,2)</f>
        <v>Other Household Travel</v>
      </c>
      <c r="B113" s="4">
        <f ca="1">B168*'Total Trip Tables Sup #1'!B113</f>
        <v>1.495105957</v>
      </c>
      <c r="C113" s="4">
        <f ca="1">C168*'Total Trip Tables Sup #1'!C113</f>
        <v>1.5799880323954032</v>
      </c>
      <c r="D113" s="4">
        <f ca="1">D168*'Total Trip Tables Sup #1'!D113</f>
        <v>1.6609607611878912</v>
      </c>
      <c r="E113" s="4">
        <f ca="1">E168*'Total Trip Tables Sup #1'!E113</f>
        <v>1.7445883920986733</v>
      </c>
      <c r="F113" s="4">
        <f ca="1">F168*'Total Trip Tables Sup #1'!F113</f>
        <v>1.8285140214258402</v>
      </c>
      <c r="G113" s="4">
        <f ca="1">G168*'Total Trip Tables Sup #1'!G113</f>
        <v>1.911062405296448</v>
      </c>
      <c r="H113" s="4">
        <f ca="1">H168*'Total Trip Tables Sup #1'!H113</f>
        <v>1.9748902481350989</v>
      </c>
      <c r="I113" s="1">
        <f ca="1">I168*'Total Trip Tables Sup #1'!I113</f>
        <v>1.979205925689713</v>
      </c>
      <c r="J113" s="1">
        <f ca="1">J168*'Total Trip Tables Sup #1'!J113</f>
        <v>1.9773624060672677</v>
      </c>
      <c r="K113" s="1">
        <f ca="1">K168*'Total Trip Tables Sup #1'!K113</f>
        <v>1.9714175347197767</v>
      </c>
    </row>
    <row r="114" spans="1:11" x14ac:dyDescent="0.2">
      <c r="A114" t="str">
        <f ca="1">OFFSET(West_Coast_Reference,0,0)</f>
        <v>12 WEST COAST</v>
      </c>
      <c r="B114" s="4"/>
      <c r="C114" s="4"/>
      <c r="D114" s="4"/>
      <c r="E114" s="4"/>
      <c r="F114" s="4"/>
      <c r="G114" s="4"/>
      <c r="H114" s="4"/>
      <c r="I114" s="1"/>
      <c r="J114" s="1"/>
      <c r="K114" s="1"/>
    </row>
    <row r="115" spans="1:11" x14ac:dyDescent="0.2">
      <c r="A115" t="str">
        <f ca="1">OFFSET(West_Coast_Reference,0,2)</f>
        <v>Pedestrian</v>
      </c>
      <c r="B115" s="4">
        <f ca="1">B159*'Total Trip Tables Sup #1'!B115</f>
        <v>5.2699511529</v>
      </c>
      <c r="C115" s="4">
        <f ca="1">C159*'Total Trip Tables Sup #1'!C115*(1+'Active Mode Assumptions'!C7)</f>
        <v>5.1639358019106343</v>
      </c>
      <c r="D115" s="4">
        <f ca="1">D159*'Total Trip Tables Sup #1'!D115*(1+'Active Mode Assumptions'!D7)</f>
        <v>5.1333837977936492</v>
      </c>
      <c r="E115" s="4">
        <f ca="1">E159*'Total Trip Tables Sup #1'!E115*(1+'Active Mode Assumptions'!E7)</f>
        <v>5.0678020439689844</v>
      </c>
      <c r="F115" s="4">
        <f ca="1">F159*'Total Trip Tables Sup #1'!F115*(1+'Active Mode Assumptions'!F7)</f>
        <v>4.9537750843185009</v>
      </c>
      <c r="G115" s="4">
        <f ca="1">G159*'Total Trip Tables Sup #1'!G115*(1+'Active Mode Assumptions'!G7)</f>
        <v>4.8165711474862167</v>
      </c>
      <c r="H115" s="4">
        <f ca="1">H159*'Total Trip Tables Sup #1'!H115*(1+'Active Mode Assumptions'!H7)</f>
        <v>4.6650564867942013</v>
      </c>
      <c r="I115" s="1">
        <f ca="1">I159*'Total Trip Tables Sup #1'!I115*(1+'Active Mode Assumptions'!I7)</f>
        <v>4.5460741588676541</v>
      </c>
      <c r="J115" s="1">
        <f ca="1">J159*'Total Trip Tables Sup #1'!J115*(1+'Active Mode Assumptions'!J7)</f>
        <v>4.4160795726350059</v>
      </c>
      <c r="K115" s="1">
        <f ca="1">K159*'Total Trip Tables Sup #1'!K115*(1+'Active Mode Assumptions'!K7)</f>
        <v>4.2806330184385439</v>
      </c>
    </row>
    <row r="116" spans="1:11" x14ac:dyDescent="0.2">
      <c r="A116" t="str">
        <f ca="1">OFFSET(West_Coast_Reference,7,2)</f>
        <v>Cyclist</v>
      </c>
      <c r="B116" s="4">
        <f ca="1">B160*'Total Trip Tables Sup #1'!B116</f>
        <v>0.73381292249999996</v>
      </c>
      <c r="C116" s="4">
        <f ca="1">C160*'Total Trip Tables Sup #1'!C116*(1+'Active Mode Assumptions'!C16)</f>
        <v>0.71768707334388304</v>
      </c>
      <c r="D116" s="4">
        <f ca="1">D160*'Total Trip Tables Sup #1'!D116*(1+'Active Mode Assumptions'!D16)</f>
        <v>0.70761216546835271</v>
      </c>
      <c r="E116" s="4">
        <f ca="1">E160*'Total Trip Tables Sup #1'!E116*(1+'Active Mode Assumptions'!E16)</f>
        <v>0.69247382333999541</v>
      </c>
      <c r="F116" s="4">
        <f ca="1">F160*'Total Trip Tables Sup #1'!F116*(1+'Active Mode Assumptions'!F16)</f>
        <v>0.67577327338961068</v>
      </c>
      <c r="G116" s="4">
        <f ca="1">G160*'Total Trip Tables Sup #1'!G116*(1+'Active Mode Assumptions'!G16)</f>
        <v>0.65782698250207106</v>
      </c>
      <c r="H116" s="4">
        <f ca="1">H160*'Total Trip Tables Sup #1'!H116*(1+'Active Mode Assumptions'!H16)</f>
        <v>0.63929084368285771</v>
      </c>
      <c r="I116" s="1">
        <f ca="1">I160*'Total Trip Tables Sup #1'!I116*(1+'Active Mode Assumptions'!I16)</f>
        <v>0.62653781372011319</v>
      </c>
      <c r="J116" s="1">
        <f ca="1">J160*'Total Trip Tables Sup #1'!J116*(1+'Active Mode Assumptions'!J16)</f>
        <v>0.61214626408083084</v>
      </c>
      <c r="K116" s="1">
        <f ca="1">K160*'Total Trip Tables Sup #1'!K116*(1+'Active Mode Assumptions'!K16)</f>
        <v>0.5968592471145987</v>
      </c>
    </row>
    <row r="117" spans="1:11" x14ac:dyDescent="0.2">
      <c r="A117" t="str">
        <f ca="1">OFFSET(West_Coast_Reference,14,2)</f>
        <v>Light Vehicle Driver</v>
      </c>
      <c r="B117" s="4">
        <f ca="1">B161*'Total Trip Tables Sup #1'!B117</f>
        <v>21.329902885999999</v>
      </c>
      <c r="C117" s="4">
        <f ca="1">C161*'Total Trip Tables Sup #1'!C117-(C115*'Active Mode Assumptions'!C7*'Active Mode Assumptions'!C14/(1+'Active Mode Assumptions'!C7))-(C116*'Active Mode Assumptions'!C16*'Active Mode Assumptions'!C23/(1+'Active Mode Assumptions'!C16))</f>
        <v>21.465064460658038</v>
      </c>
      <c r="D117" s="4">
        <f ca="1">D161*'Total Trip Tables Sup #1'!D117-(D115*'Active Mode Assumptions'!D7*'Active Mode Assumptions'!D14/(1+'Active Mode Assumptions'!D7))-(D116*'Active Mode Assumptions'!D16*'Active Mode Assumptions'!D23/(1+'Active Mode Assumptions'!D16))</f>
        <v>21.693439333318089</v>
      </c>
      <c r="E117" s="4">
        <f ca="1">E161*'Total Trip Tables Sup #1'!E117-(E115*'Active Mode Assumptions'!E7*'Active Mode Assumptions'!E14/(1+'Active Mode Assumptions'!E7))-(E116*'Active Mode Assumptions'!E16*'Active Mode Assumptions'!E23/(1+'Active Mode Assumptions'!E16))</f>
        <v>21.574565724915313</v>
      </c>
      <c r="F117" s="4">
        <f ca="1">F161*'Total Trip Tables Sup #1'!F117-(F115*'Active Mode Assumptions'!F7*'Active Mode Assumptions'!F14/(1+'Active Mode Assumptions'!F7))-(F116*'Active Mode Assumptions'!F16*'Active Mode Assumptions'!F23/(1+'Active Mode Assumptions'!F16))</f>
        <v>21.337881090390397</v>
      </c>
      <c r="G117" s="4">
        <f ca="1">G161*'Total Trip Tables Sup #1'!G117-(G115*'Active Mode Assumptions'!G7*'Active Mode Assumptions'!G14/(1+'Active Mode Assumptions'!G7))-(G116*'Active Mode Assumptions'!G16*'Active Mode Assumptions'!G23/(1+'Active Mode Assumptions'!G16))</f>
        <v>20.883155294694461</v>
      </c>
      <c r="H117" s="4">
        <f ca="1">H161*'Total Trip Tables Sup #1'!H117-(H115*'Active Mode Assumptions'!H7*'Active Mode Assumptions'!H14/(1+'Active Mode Assumptions'!H7))-(H116*'Active Mode Assumptions'!H16*'Active Mode Assumptions'!H23/(1+'Active Mode Assumptions'!H16))</f>
        <v>20.361357672747758</v>
      </c>
      <c r="I117" s="1">
        <f ca="1">I161*'Total Trip Tables Sup #1'!I117-(I115*'Active Mode Assumptions'!I7*'Active Mode Assumptions'!I14/(1+'Active Mode Assumptions'!I7))-(I116*'Active Mode Assumptions'!I16*'Active Mode Assumptions'!I23/(1+'Active Mode Assumptions'!I16))</f>
        <v>19.849135766629381</v>
      </c>
      <c r="J117" s="1">
        <f ca="1">J161*'Total Trip Tables Sup #1'!J117-(J115*'Active Mode Assumptions'!J7*'Active Mode Assumptions'!J14/(1+'Active Mode Assumptions'!J7))-(J116*'Active Mode Assumptions'!J16*'Active Mode Assumptions'!J23/(1+'Active Mode Assumptions'!J16))</f>
        <v>19.288261640062398</v>
      </c>
      <c r="K117" s="1">
        <f ca="1">K161*'Total Trip Tables Sup #1'!K117-(K115*'Active Mode Assumptions'!K7*'Active Mode Assumptions'!K14/(1+'Active Mode Assumptions'!K7))-(K116*'Active Mode Assumptions'!K16*'Active Mode Assumptions'!K23/(1+'Active Mode Assumptions'!K16))</f>
        <v>18.703003918473424</v>
      </c>
    </row>
    <row r="118" spans="1:11" x14ac:dyDescent="0.2">
      <c r="A118" t="str">
        <f ca="1">OFFSET(West_Coast_Reference,21,2)</f>
        <v>Light Vehicle Passenger</v>
      </c>
      <c r="B118" s="4">
        <f ca="1">B162*'Total Trip Tables Sup #1'!B118</f>
        <v>11.090105215000001</v>
      </c>
      <c r="C118" s="4">
        <f ca="1">C162*'Total Trip Tables Sup #1'!C118-(C115*'Active Mode Assumptions'!C7*'Active Mode Assumptions'!C15/(1+'Active Mode Assumptions'!C7))-(C116*'Active Mode Assumptions'!C16*'Active Mode Assumptions'!C24/(1+'Active Mode Assumptions'!C16))</f>
        <v>10.615554563120725</v>
      </c>
      <c r="D118" s="4">
        <f ca="1">D162*'Total Trip Tables Sup #1'!D118-(D115*'Active Mode Assumptions'!D7*'Active Mode Assumptions'!D15/(1+'Active Mode Assumptions'!D7))-(D116*'Active Mode Assumptions'!D16*'Active Mode Assumptions'!D24/(1+'Active Mode Assumptions'!D16))</f>
        <v>10.40737532303045</v>
      </c>
      <c r="E118" s="4">
        <f ca="1">E162*'Total Trip Tables Sup #1'!E118-(E115*'Active Mode Assumptions'!E7*'Active Mode Assumptions'!E15/(1+'Active Mode Assumptions'!E7))-(E116*'Active Mode Assumptions'!E16*'Active Mode Assumptions'!E24/(1+'Active Mode Assumptions'!E16))</f>
        <v>10.139649283354721</v>
      </c>
      <c r="F118" s="4">
        <f ca="1">F162*'Total Trip Tables Sup #1'!F118-(F115*'Active Mode Assumptions'!F7*'Active Mode Assumptions'!F15/(1+'Active Mode Assumptions'!F7))-(F116*'Active Mode Assumptions'!F16*'Active Mode Assumptions'!F24/(1+'Active Mode Assumptions'!F16))</f>
        <v>9.8507571807514722</v>
      </c>
      <c r="G118" s="4">
        <f ca="1">G162*'Total Trip Tables Sup #1'!G118-(G115*'Active Mode Assumptions'!G7*'Active Mode Assumptions'!G15/(1+'Active Mode Assumptions'!G7))-(G116*'Active Mode Assumptions'!G16*'Active Mode Assumptions'!G24/(1+'Active Mode Assumptions'!G16))</f>
        <v>9.5169507230603738</v>
      </c>
      <c r="H118" s="4">
        <f ca="1">H162*'Total Trip Tables Sup #1'!H118-(H115*'Active Mode Assumptions'!H7*'Active Mode Assumptions'!H15/(1+'Active Mode Assumptions'!H7))-(H116*'Active Mode Assumptions'!H16*'Active Mode Assumptions'!H24/(1+'Active Mode Assumptions'!H16))</f>
        <v>9.1506111972041744</v>
      </c>
      <c r="I118" s="1">
        <f ca="1">I162*'Total Trip Tables Sup #1'!I118-(I115*'Active Mode Assumptions'!I7*'Active Mode Assumptions'!I15/(1+'Active Mode Assumptions'!I7))-(I116*'Active Mode Assumptions'!I16*'Active Mode Assumptions'!I24/(1+'Active Mode Assumptions'!I16))</f>
        <v>8.9204851723721887</v>
      </c>
      <c r="J118" s="1">
        <f ca="1">J162*'Total Trip Tables Sup #1'!J118-(J115*'Active Mode Assumptions'!J7*'Active Mode Assumptions'!J15/(1+'Active Mode Assumptions'!J7))-(J116*'Active Mode Assumptions'!J16*'Active Mode Assumptions'!J24/(1+'Active Mode Assumptions'!J16))</f>
        <v>8.6684556885573585</v>
      </c>
      <c r="K118" s="1">
        <f ca="1">K162*'Total Trip Tables Sup #1'!K118-(K115*'Active Mode Assumptions'!K7*'Active Mode Assumptions'!K15/(1+'Active Mode Assumptions'!K7))-(K116*'Active Mode Assumptions'!K16*'Active Mode Assumptions'!K24/(1+'Active Mode Assumptions'!K16))</f>
        <v>8.4054319914811266</v>
      </c>
    </row>
    <row r="119" spans="1:11" x14ac:dyDescent="0.2">
      <c r="A119" t="str">
        <f ca="1">OFFSET(West_Coast_Reference,28,2)</f>
        <v>Taxi/Vehicle Share</v>
      </c>
      <c r="B119" s="4">
        <f ca="1">B163*'Total Trip Tables Sup #1'!B119</f>
        <v>0.29973375209999997</v>
      </c>
      <c r="C119" s="4">
        <f ca="1">C163*'Total Trip Tables Sup #1'!C119</f>
        <v>0.31524051567243067</v>
      </c>
      <c r="D119" s="4">
        <f ca="1">D163*'Total Trip Tables Sup #1'!D119</f>
        <v>0.33076670385326756</v>
      </c>
      <c r="E119" s="4">
        <f ca="1">E163*'Total Trip Tables Sup #1'!E119</f>
        <v>0.34306739541796089</v>
      </c>
      <c r="F119" s="4">
        <f ca="1">F163*'Total Trip Tables Sup #1'!F119</f>
        <v>0.35084003256629015</v>
      </c>
      <c r="G119" s="4">
        <f ca="1">G163*'Total Trip Tables Sup #1'!G119</f>
        <v>0.35308581601367472</v>
      </c>
      <c r="H119" s="4">
        <f ca="1">H163*'Total Trip Tables Sup #1'!H119</f>
        <v>0.35409089844724356</v>
      </c>
      <c r="I119" s="1">
        <f ca="1">I163*'Total Trip Tables Sup #1'!I119</f>
        <v>0.34462736648361719</v>
      </c>
      <c r="J119" s="1">
        <f ca="1">J163*'Total Trip Tables Sup #1'!J119</f>
        <v>0.3343372764073288</v>
      </c>
      <c r="K119" s="1">
        <f ca="1">K163*'Total Trip Tables Sup #1'!K119</f>
        <v>0.32364649932347939</v>
      </c>
    </row>
    <row r="120" spans="1:11" x14ac:dyDescent="0.2">
      <c r="A120" t="str">
        <f ca="1">OFFSET(West_Coast_Reference,35,2)</f>
        <v>Motorcyclist</v>
      </c>
      <c r="B120" s="4">
        <f ca="1">B164*'Total Trip Tables Sup #1'!B120</f>
        <v>6.1723256599999998E-2</v>
      </c>
      <c r="C120" s="4">
        <f ca="1">C164*'Total Trip Tables Sup #1'!C120</f>
        <v>6.1001949405226741E-2</v>
      </c>
      <c r="D120" s="4">
        <f ca="1">D164*'Total Trip Tables Sup #1'!D120</f>
        <v>6.0676418213435696E-2</v>
      </c>
      <c r="E120" s="4">
        <f ca="1">E164*'Total Trip Tables Sup #1'!E120</f>
        <v>5.9405200348677308E-2</v>
      </c>
      <c r="F120" s="4">
        <f ca="1">F164*'Total Trip Tables Sup #1'!F120</f>
        <v>5.7811363199779094E-2</v>
      </c>
      <c r="G120" s="4">
        <f ca="1">G164*'Total Trip Tables Sup #1'!G120</f>
        <v>5.5253259569314435E-2</v>
      </c>
      <c r="H120" s="4">
        <f ca="1">H164*'Total Trip Tables Sup #1'!H120</f>
        <v>5.2537456594963804E-2</v>
      </c>
      <c r="I120" s="1">
        <f ca="1">I164*'Total Trip Tables Sup #1'!I120</f>
        <v>5.1485666952290614E-2</v>
      </c>
      <c r="J120" s="1">
        <f ca="1">J164*'Total Trip Tables Sup #1'!J120</f>
        <v>5.0295243175606505E-2</v>
      </c>
      <c r="K120" s="1">
        <f ca="1">K164*'Total Trip Tables Sup #1'!K120</f>
        <v>4.9027482692997601E-2</v>
      </c>
    </row>
    <row r="121" spans="1:11" x14ac:dyDescent="0.2">
      <c r="A121" t="str">
        <f ca="1">OFFSET(Nelson_Reference,42,2)</f>
        <v>Local Train</v>
      </c>
      <c r="B121" s="4">
        <f ca="1">B165*'Total Trip Tables Sup #1'!B121</f>
        <v>0</v>
      </c>
      <c r="C121" s="4">
        <f ca="1">C165*'Total Trip Tables Sup #1'!C121</f>
        <v>0</v>
      </c>
      <c r="D121" s="4">
        <f ca="1">D165*'Total Trip Tables Sup #1'!D121</f>
        <v>0</v>
      </c>
      <c r="E121" s="4">
        <f ca="1">E165*'Total Trip Tables Sup #1'!E121</f>
        <v>0</v>
      </c>
      <c r="F121" s="4">
        <f ca="1">F165*'Total Trip Tables Sup #1'!F121</f>
        <v>0</v>
      </c>
      <c r="G121" s="4">
        <f ca="1">G165*'Total Trip Tables Sup #1'!G121</f>
        <v>0</v>
      </c>
      <c r="H121" s="4">
        <f ca="1">H165*'Total Trip Tables Sup #1'!H121</f>
        <v>0</v>
      </c>
      <c r="I121" s="1">
        <f ca="1">I165*'Total Trip Tables Sup #1'!I121</f>
        <v>0</v>
      </c>
      <c r="J121" s="1">
        <f ca="1">J165*'Total Trip Tables Sup #1'!J121</f>
        <v>0</v>
      </c>
      <c r="K121" s="1">
        <f ca="1">K165*'Total Trip Tables Sup #1'!K121</f>
        <v>0</v>
      </c>
    </row>
    <row r="122" spans="1:11" x14ac:dyDescent="0.2">
      <c r="A122" t="str">
        <f ca="1">OFFSET(West_Coast_Reference,42,2)</f>
        <v>Local Bus</v>
      </c>
      <c r="B122" s="4">
        <f ca="1">B166*'Total Trip Tables Sup #1'!B122</f>
        <v>0.50805546800000001</v>
      </c>
      <c r="C122" s="4">
        <f ca="1">C166*'Total Trip Tables Sup #1'!C122</f>
        <v>0.46592397120598</v>
      </c>
      <c r="D122" s="4">
        <f ca="1">D166*'Total Trip Tables Sup #1'!D122</f>
        <v>0.44332216363417049</v>
      </c>
      <c r="E122" s="4">
        <f ca="1">E166*'Total Trip Tables Sup #1'!E122</f>
        <v>0.42631675676734987</v>
      </c>
      <c r="F122" s="4">
        <f ca="1">F166*'Total Trip Tables Sup #1'!F122</f>
        <v>0.405589949606178</v>
      </c>
      <c r="G122" s="4">
        <f ca="1">G166*'Total Trip Tables Sup #1'!G122</f>
        <v>0.38832956450477696</v>
      </c>
      <c r="H122" s="4">
        <f ca="1">H166*'Total Trip Tables Sup #1'!H122</f>
        <v>0.37014556430160439</v>
      </c>
      <c r="I122" s="1">
        <f ca="1">I166*'Total Trip Tables Sup #1'!I122</f>
        <v>0.36110095144900772</v>
      </c>
      <c r="J122" s="1">
        <f ca="1">J166*'Total Trip Tables Sup #1'!J122</f>
        <v>0.35115810820225002</v>
      </c>
      <c r="K122" s="1">
        <f ca="1">K166*'Total Trip Tables Sup #1'!K122</f>
        <v>0.3407571307399585</v>
      </c>
    </row>
    <row r="123" spans="1:11" x14ac:dyDescent="0.2">
      <c r="A123" t="str">
        <f ca="1">OFFSET(Wellington_Reference,56,2)</f>
        <v>Local Ferry</v>
      </c>
      <c r="B123" s="4">
        <f ca="1">B167*'Total Trip Tables Sup #1'!B123</f>
        <v>0</v>
      </c>
      <c r="C123" s="4">
        <f ca="1">C167*'Total Trip Tables Sup #1'!C123</f>
        <v>0</v>
      </c>
      <c r="D123" s="4">
        <f ca="1">D167*'Total Trip Tables Sup #1'!D123</f>
        <v>0</v>
      </c>
      <c r="E123" s="4">
        <f ca="1">E167*'Total Trip Tables Sup #1'!E123</f>
        <v>0</v>
      </c>
      <c r="F123" s="4">
        <f ca="1">F167*'Total Trip Tables Sup #1'!F123</f>
        <v>0</v>
      </c>
      <c r="G123" s="4">
        <f ca="1">G167*'Total Trip Tables Sup #1'!G123</f>
        <v>0</v>
      </c>
      <c r="H123" s="4">
        <f ca="1">H167*'Total Trip Tables Sup #1'!H123</f>
        <v>0</v>
      </c>
      <c r="I123" s="1">
        <f ca="1">I167*'Total Trip Tables Sup #1'!I123</f>
        <v>0</v>
      </c>
      <c r="J123" s="1">
        <f ca="1">J167*'Total Trip Tables Sup #1'!J123</f>
        <v>0</v>
      </c>
      <c r="K123" s="1">
        <f ca="1">K167*'Total Trip Tables Sup #1'!K123</f>
        <v>0</v>
      </c>
    </row>
    <row r="124" spans="1:11" x14ac:dyDescent="0.2">
      <c r="A124" t="str">
        <f ca="1">OFFSET(West_Coast_Reference,49,2)</f>
        <v>Other Household Travel</v>
      </c>
      <c r="B124" s="4">
        <f ca="1">B168*'Total Trip Tables Sup #1'!B124</f>
        <v>2.77012627E-2</v>
      </c>
      <c r="C124" s="4">
        <f ca="1">C168*'Total Trip Tables Sup #1'!C124</f>
        <v>2.7496205530899764E-2</v>
      </c>
      <c r="D124" s="4">
        <f ca="1">D168*'Total Trip Tables Sup #1'!D124</f>
        <v>2.8058520575733176E-2</v>
      </c>
      <c r="E124" s="4">
        <f ca="1">E168*'Total Trip Tables Sup #1'!E124</f>
        <v>2.8655573122055338E-2</v>
      </c>
      <c r="F124" s="4">
        <f ca="1">F168*'Total Trip Tables Sup #1'!F124</f>
        <v>2.9215539564805448E-2</v>
      </c>
      <c r="G124" s="4">
        <f ca="1">G168*'Total Trip Tables Sup #1'!G124</f>
        <v>2.9717794852660847E-2</v>
      </c>
      <c r="H124" s="4">
        <f ca="1">H168*'Total Trip Tables Sup #1'!H124</f>
        <v>2.9967586409465695E-2</v>
      </c>
      <c r="I124" s="1">
        <f ca="1">I168*'Total Trip Tables Sup #1'!I124</f>
        <v>2.9305314977526222E-2</v>
      </c>
      <c r="J124" s="1">
        <f ca="1">J168*'Total Trip Tables Sup #1'!J124</f>
        <v>2.8567207593363359E-2</v>
      </c>
      <c r="K124" s="1">
        <f ca="1">K168*'Total Trip Tables Sup #1'!K124</f>
        <v>2.7788538977948255E-2</v>
      </c>
    </row>
    <row r="125" spans="1:11" x14ac:dyDescent="0.2">
      <c r="A125" t="str">
        <f ca="1">OFFSET(Canterbury_Reference,0,0)</f>
        <v>13 CANTERBURY</v>
      </c>
      <c r="B125" s="4"/>
      <c r="I125" s="1"/>
      <c r="J125" s="1"/>
      <c r="K125" s="1"/>
    </row>
    <row r="126" spans="1:11" x14ac:dyDescent="0.2">
      <c r="A126" t="str">
        <f ca="1">OFFSET(Canterbury_Reference,0,2)</f>
        <v>Pedestrian</v>
      </c>
      <c r="B126" s="4">
        <f ca="1">B159*'Total Trip Tables Sup #1'!B126</f>
        <v>131.04676542000001</v>
      </c>
      <c r="C126" s="4">
        <f ca="1">C159*'Total Trip Tables Sup #1'!C126*(1+'Active Mode Assumptions'!C7)</f>
        <v>144.35350240460434</v>
      </c>
      <c r="D126" s="4">
        <f ca="1">D159*'Total Trip Tables Sup #1'!D126*(1+'Active Mode Assumptions'!D7)</f>
        <v>152.94019977857369</v>
      </c>
      <c r="E126" s="4">
        <f ca="1">E159*'Total Trip Tables Sup #1'!E126*(1+'Active Mode Assumptions'!E7)</f>
        <v>158.80592164234429</v>
      </c>
      <c r="F126" s="4">
        <f ca="1">F159*'Total Trip Tables Sup #1'!F126*(1+'Active Mode Assumptions'!F7)</f>
        <v>163.38219035345972</v>
      </c>
      <c r="G126" s="4">
        <f ca="1">G159*'Total Trip Tables Sup #1'!G126*(1+'Active Mode Assumptions'!G7)</f>
        <v>167.30866297620133</v>
      </c>
      <c r="H126" s="4">
        <f ca="1">H159*'Total Trip Tables Sup #1'!H126*(1+'Active Mode Assumptions'!H7)</f>
        <v>170.53090067101419</v>
      </c>
      <c r="I126" s="1">
        <f ca="1">I159*'Total Trip Tables Sup #1'!I126*(1+'Active Mode Assumptions'!I7)</f>
        <v>174.88333445738397</v>
      </c>
      <c r="J126" s="1">
        <f ca="1">J159*'Total Trip Tables Sup #1'!J126*(1+'Active Mode Assumptions'!J7)</f>
        <v>178.77818743342212</v>
      </c>
      <c r="K126" s="1">
        <f ca="1">K159*'Total Trip Tables Sup #1'!K126*(1+'Active Mode Assumptions'!K7)</f>
        <v>182.36914703177459</v>
      </c>
    </row>
    <row r="127" spans="1:11" x14ac:dyDescent="0.2">
      <c r="A127" t="str">
        <f ca="1">OFFSET(Canterbury_Reference,7,2)</f>
        <v>Cyclist</v>
      </c>
      <c r="B127" s="4">
        <f ca="1">B160*'Total Trip Tables Sup #1'!B127</f>
        <v>23.740018446000001</v>
      </c>
      <c r="C127" s="4">
        <f ca="1">C160*'Total Trip Tables Sup #1'!C127*(1+'Active Mode Assumptions'!C16)</f>
        <v>26.101026976101569</v>
      </c>
      <c r="D127" s="4">
        <f ca="1">D160*'Total Trip Tables Sup #1'!D127*(1+'Active Mode Assumptions'!D16)</f>
        <v>27.427687265780683</v>
      </c>
      <c r="E127" s="4">
        <f ca="1">E160*'Total Trip Tables Sup #1'!E127*(1+'Active Mode Assumptions'!E16)</f>
        <v>28.231008433397243</v>
      </c>
      <c r="F127" s="4">
        <f ca="1">F160*'Total Trip Tables Sup #1'!F127*(1+'Active Mode Assumptions'!F16)</f>
        <v>28.996489435401688</v>
      </c>
      <c r="G127" s="4">
        <f ca="1">G160*'Total Trip Tables Sup #1'!G127*(1+'Active Mode Assumptions'!G16)</f>
        <v>29.728165669223117</v>
      </c>
      <c r="H127" s="4">
        <f ca="1">H160*'Total Trip Tables Sup #1'!H127*(1+'Active Mode Assumptions'!H16)</f>
        <v>30.403294325544529</v>
      </c>
      <c r="I127" s="1">
        <f ca="1">I160*'Total Trip Tables Sup #1'!I127*(1+'Active Mode Assumptions'!I16)</f>
        <v>31.357048454412748</v>
      </c>
      <c r="J127" s="1">
        <f ca="1">J160*'Total Trip Tables Sup #1'!J127*(1+'Active Mode Assumptions'!J16)</f>
        <v>32.241023740142815</v>
      </c>
      <c r="K127" s="1">
        <f ca="1">K160*'Total Trip Tables Sup #1'!K127*(1+'Active Mode Assumptions'!K16)</f>
        <v>33.081963415674792</v>
      </c>
    </row>
    <row r="128" spans="1:11" x14ac:dyDescent="0.2">
      <c r="A128" t="str">
        <f ca="1">OFFSET(Canterbury_Reference,14,2)</f>
        <v>Light Vehicle Driver</v>
      </c>
      <c r="B128" s="4">
        <f ca="1">B161*'Total Trip Tables Sup #1'!B128</f>
        <v>417.41567177000002</v>
      </c>
      <c r="C128" s="4">
        <f ca="1">C161*'Total Trip Tables Sup #1'!C128-(C126*'Active Mode Assumptions'!C7*'Active Mode Assumptions'!C14/(1+'Active Mode Assumptions'!C7))-(C127*'Active Mode Assumptions'!C16*'Active Mode Assumptions'!C23/(1+'Active Mode Assumptions'!C16))</f>
        <v>472.21398434351363</v>
      </c>
      <c r="D128" s="4">
        <f ca="1">D161*'Total Trip Tables Sup #1'!D128-(D126*'Active Mode Assumptions'!D7*'Active Mode Assumptions'!D14/(1+'Active Mode Assumptions'!D7))-(D127*'Active Mode Assumptions'!D16*'Active Mode Assumptions'!D23/(1+'Active Mode Assumptions'!D16))</f>
        <v>508.63528592958988</v>
      </c>
      <c r="E128" s="4">
        <f ca="1">E161*'Total Trip Tables Sup #1'!E128-(E126*'Active Mode Assumptions'!E7*'Active Mode Assumptions'!E14/(1+'Active Mode Assumptions'!E7))-(E127*'Active Mode Assumptions'!E16*'Active Mode Assumptions'!E23/(1+'Active Mode Assumptions'!E16))</f>
        <v>532.04610612307283</v>
      </c>
      <c r="F128" s="4">
        <f ca="1">F161*'Total Trip Tables Sup #1'!F128-(F126*'Active Mode Assumptions'!F7*'Active Mode Assumptions'!F14/(1+'Active Mode Assumptions'!F7))-(F127*'Active Mode Assumptions'!F16*'Active Mode Assumptions'!F23/(1+'Active Mode Assumptions'!F16))</f>
        <v>553.83433511044291</v>
      </c>
      <c r="G128" s="4">
        <f ca="1">G161*'Total Trip Tables Sup #1'!G128-(G126*'Active Mode Assumptions'!G7*'Active Mode Assumptions'!G14/(1+'Active Mode Assumptions'!G7))-(G127*'Active Mode Assumptions'!G16*'Active Mode Assumptions'!G23/(1+'Active Mode Assumptions'!G16))</f>
        <v>570.86934579434433</v>
      </c>
      <c r="H128" s="4">
        <f ca="1">H161*'Total Trip Tables Sup #1'!H128-(H126*'Active Mode Assumptions'!H7*'Active Mode Assumptions'!H14/(1+'Active Mode Assumptions'!H7))-(H127*'Active Mode Assumptions'!H16*'Active Mode Assumptions'!H23/(1+'Active Mode Assumptions'!H16))</f>
        <v>585.75103981995323</v>
      </c>
      <c r="I128" s="1">
        <f ca="1">I161*'Total Trip Tables Sup #1'!I128-(I126*'Active Mode Assumptions'!I7*'Active Mode Assumptions'!I14/(1+'Active Mode Assumptions'!I7))-(I127*'Active Mode Assumptions'!I16*'Active Mode Assumptions'!I23/(1+'Active Mode Assumptions'!I16))</f>
        <v>600.91586183684103</v>
      </c>
      <c r="J128" s="1">
        <f ca="1">J161*'Total Trip Tables Sup #1'!J128-(J126*'Active Mode Assumptions'!J7*'Active Mode Assumptions'!J14/(1+'Active Mode Assumptions'!J7))-(J127*'Active Mode Assumptions'!J16*'Active Mode Assumptions'!J23/(1+'Active Mode Assumptions'!J16))</f>
        <v>614.51273044091602</v>
      </c>
      <c r="K128" s="1">
        <f ca="1">K161*'Total Trip Tables Sup #1'!K128-(K126*'Active Mode Assumptions'!K7*'Active Mode Assumptions'!K14/(1+'Active Mode Assumptions'!K7))-(K127*'Active Mode Assumptions'!K16*'Active Mode Assumptions'!K23/(1+'Active Mode Assumptions'!K16))</f>
        <v>627.06836399579549</v>
      </c>
    </row>
    <row r="129" spans="1:11" x14ac:dyDescent="0.2">
      <c r="A129" t="str">
        <f ca="1">OFFSET(Canterbury_Reference,21,2)</f>
        <v>Light Vehicle Passenger</v>
      </c>
      <c r="B129" s="4">
        <f ca="1">B162*'Total Trip Tables Sup #1'!B129</f>
        <v>189.77500578000001</v>
      </c>
      <c r="C129" s="4">
        <f ca="1">C162*'Total Trip Tables Sup #1'!C129-(C126*'Active Mode Assumptions'!C7*'Active Mode Assumptions'!C15/(1+'Active Mode Assumptions'!C7))-(C127*'Active Mode Assumptions'!C16*'Active Mode Assumptions'!C24/(1+'Active Mode Assumptions'!C16))</f>
        <v>204.20802670643374</v>
      </c>
      <c r="D129" s="4">
        <f ca="1">D162*'Total Trip Tables Sup #1'!D129-(D126*'Active Mode Assumptions'!D7*'Active Mode Assumptions'!D15/(1+'Active Mode Assumptions'!D7))-(D127*'Active Mode Assumptions'!D16*'Active Mode Assumptions'!D24/(1+'Active Mode Assumptions'!D16))</f>
        <v>213.37462224970315</v>
      </c>
      <c r="E129" s="4">
        <f ca="1">E162*'Total Trip Tables Sup #1'!E129-(E126*'Active Mode Assumptions'!E7*'Active Mode Assumptions'!E15/(1+'Active Mode Assumptions'!E7))-(E127*'Active Mode Assumptions'!E16*'Active Mode Assumptions'!E24/(1+'Active Mode Assumptions'!E16))</f>
        <v>218.65208078374164</v>
      </c>
      <c r="F129" s="4">
        <f ca="1">F162*'Total Trip Tables Sup #1'!F129-(F126*'Active Mode Assumptions'!F7*'Active Mode Assumptions'!F15/(1+'Active Mode Assumptions'!F7))-(F127*'Active Mode Assumptions'!F16*'Active Mode Assumptions'!F24/(1+'Active Mode Assumptions'!F16))</f>
        <v>223.574194257317</v>
      </c>
      <c r="G129" s="4">
        <f ca="1">G162*'Total Trip Tables Sup #1'!G129-(G126*'Active Mode Assumptions'!G7*'Active Mode Assumptions'!G15/(1+'Active Mode Assumptions'!G7))-(G127*'Active Mode Assumptions'!G16*'Active Mode Assumptions'!G24/(1+'Active Mode Assumptions'!G16))</f>
        <v>227.48978497128775</v>
      </c>
      <c r="H129" s="4">
        <f ca="1">H162*'Total Trip Tables Sup #1'!H129-(H126*'Active Mode Assumptions'!H7*'Active Mode Assumptions'!H15/(1+'Active Mode Assumptions'!H7))-(H127*'Active Mode Assumptions'!H16*'Active Mode Assumptions'!H24/(1+'Active Mode Assumptions'!H16))</f>
        <v>230.1865335018939</v>
      </c>
      <c r="I129" s="1">
        <f ca="1">I162*'Total Trip Tables Sup #1'!I129-(I126*'Active Mode Assumptions'!I7*'Active Mode Assumptions'!I15/(1+'Active Mode Assumptions'!I7))-(I127*'Active Mode Assumptions'!I16*'Active Mode Assumptions'!I24/(1+'Active Mode Assumptions'!I16))</f>
        <v>236.147860775792</v>
      </c>
      <c r="J129" s="1">
        <f ca="1">J162*'Total Trip Tables Sup #1'!J129-(J126*'Active Mode Assumptions'!J7*'Active Mode Assumptions'!J15/(1+'Active Mode Assumptions'!J7))-(J127*'Active Mode Assumptions'!J16*'Active Mode Assumptions'!J24/(1+'Active Mode Assumptions'!J16))</f>
        <v>241.49214208069134</v>
      </c>
      <c r="K129" s="1">
        <f ca="1">K162*'Total Trip Tables Sup #1'!K129-(K126*'Active Mode Assumptions'!K7*'Active Mode Assumptions'!K15/(1+'Active Mode Assumptions'!K7))-(K127*'Active Mode Assumptions'!K16*'Active Mode Assumptions'!K24/(1+'Active Mode Assumptions'!K16))</f>
        <v>246.42629026511378</v>
      </c>
    </row>
    <row r="130" spans="1:11" x14ac:dyDescent="0.2">
      <c r="A130" t="str">
        <f ca="1">OFFSET(Canterbury_Reference,28,2)</f>
        <v>Taxi/Vehicle Share</v>
      </c>
      <c r="B130" s="4">
        <f ca="1">B163*'Total Trip Tables Sup #1'!B130</f>
        <v>2.2446435044999999</v>
      </c>
      <c r="C130" s="4">
        <f ca="1">C163*'Total Trip Tables Sup #1'!C130</f>
        <v>2.6538754062801151</v>
      </c>
      <c r="D130" s="4">
        <f ca="1">D163*'Total Trip Tables Sup #1'!D130</f>
        <v>2.9677800604633453</v>
      </c>
      <c r="E130" s="4">
        <f ca="1">E163*'Total Trip Tables Sup #1'!E130</f>
        <v>3.2375650650992167</v>
      </c>
      <c r="F130" s="4">
        <f ca="1">F163*'Total Trip Tables Sup #1'!F130</f>
        <v>3.4847335911309574</v>
      </c>
      <c r="G130" s="4">
        <f ca="1">G163*'Total Trip Tables Sup #1'!G130</f>
        <v>3.6936243958949357</v>
      </c>
      <c r="H130" s="4">
        <f ca="1">H163*'Total Trip Tables Sup #1'!H130</f>
        <v>3.898099787132689</v>
      </c>
      <c r="I130" s="1">
        <f ca="1">I163*'Total Trip Tables Sup #1'!I130</f>
        <v>3.9925804894492631</v>
      </c>
      <c r="J130" s="1">
        <f ca="1">J163*'Total Trip Tables Sup #1'!J130</f>
        <v>4.0761902828830134</v>
      </c>
      <c r="K130" s="1">
        <f ca="1">K163*'Total Trip Tables Sup #1'!K130</f>
        <v>4.1524679891195095</v>
      </c>
    </row>
    <row r="131" spans="1:11" x14ac:dyDescent="0.2">
      <c r="A131" t="str">
        <f ca="1">OFFSET(Canterbury_Reference,35,2)</f>
        <v>Motorcyclist</v>
      </c>
      <c r="B131" s="4">
        <f ca="1">B164*'Total Trip Tables Sup #1'!B131</f>
        <v>1.4451657518000001</v>
      </c>
      <c r="C131" s="4">
        <f ca="1">C164*'Total Trip Tables Sup #1'!C131</f>
        <v>1.6056072392780576</v>
      </c>
      <c r="D131" s="4">
        <f ca="1">D164*'Total Trip Tables Sup #1'!D131</f>
        <v>1.7021074262106952</v>
      </c>
      <c r="E131" s="4">
        <f ca="1">E164*'Total Trip Tables Sup #1'!E131</f>
        <v>1.7527526323369098</v>
      </c>
      <c r="F131" s="4">
        <f ca="1">F164*'Total Trip Tables Sup #1'!F131</f>
        <v>1.7952740469939374</v>
      </c>
      <c r="G131" s="4">
        <f ca="1">G164*'Total Trip Tables Sup #1'!G131</f>
        <v>1.807121967377717</v>
      </c>
      <c r="H131" s="4">
        <f ca="1">H164*'Total Trip Tables Sup #1'!H131</f>
        <v>1.808274408914373</v>
      </c>
      <c r="I131" s="1">
        <f ca="1">I164*'Total Trip Tables Sup #1'!I131</f>
        <v>1.8648648584094554</v>
      </c>
      <c r="J131" s="1">
        <f ca="1">J164*'Total Trip Tables Sup #1'!J131</f>
        <v>1.9171392764263915</v>
      </c>
      <c r="K131" s="1">
        <f ca="1">K164*'Total Trip Tables Sup #1'!K131</f>
        <v>1.9666726475847751</v>
      </c>
    </row>
    <row r="132" spans="1:11" x14ac:dyDescent="0.2">
      <c r="A132" t="str">
        <f ca="1">OFFSET(Canterbury_Reference,42,2)</f>
        <v>Local Train</v>
      </c>
      <c r="B132" s="4">
        <f ca="1" xml:space="preserve"> 'Total Trip Tables Sup #1'!B132</f>
        <v>2.1901243099999999E-2</v>
      </c>
      <c r="C132" s="4">
        <f ca="1" xml:space="preserve"> 'Total Trip Tables Sup #1'!C132</f>
        <v>2.2058192899999999E-2</v>
      </c>
      <c r="D132" s="4">
        <f ca="1" xml:space="preserve"> 'Total Trip Tables Sup #1'!D132</f>
        <v>1.8725575000000001E-2</v>
      </c>
      <c r="E132" s="4">
        <f ca="1" xml:space="preserve"> 'Total Trip Tables Sup #1'!E132</f>
        <v>1.7423979199999998E-2</v>
      </c>
      <c r="F132" s="4">
        <f ca="1" xml:space="preserve"> 'Total Trip Tables Sup #1'!F132</f>
        <v>1.6539134600000002E-2</v>
      </c>
      <c r="G132" s="4">
        <f ca="1" xml:space="preserve"> 'Total Trip Tables Sup #1'!G132</f>
        <v>1.3973374199999999E-2</v>
      </c>
      <c r="H132" s="4">
        <f ca="1" xml:space="preserve"> 'Total Trip Tables Sup #1'!H132</f>
        <v>1.1562156699999999E-2</v>
      </c>
      <c r="I132" s="1">
        <f ca="1" xml:space="preserve"> 'Total Trip Tables Sup #1'!I132</f>
        <v>1.1562156699999999E-2</v>
      </c>
      <c r="J132" s="1">
        <f ca="1" xml:space="preserve"> 'Total Trip Tables Sup #1'!J132</f>
        <v>1.1562156699999999E-2</v>
      </c>
      <c r="K132" s="1">
        <f ca="1" xml:space="preserve"> 'Total Trip Tables Sup #1'!K132</f>
        <v>1.1562156699999999E-2</v>
      </c>
    </row>
    <row r="133" spans="1:11" x14ac:dyDescent="0.2">
      <c r="A133" t="str">
        <f ca="1">OFFSET(Canterbury_Reference,49,2)</f>
        <v>Local Bus</v>
      </c>
      <c r="B133" s="4">
        <f ca="1" xml:space="preserve"> 'Total Trip Tables Sup #1'!B133</f>
        <v>20.502079716000001</v>
      </c>
      <c r="C133" s="4">
        <f ca="1" xml:space="preserve"> 'Total Trip Tables Sup #1'!C133</f>
        <v>20.810860451</v>
      </c>
      <c r="D133" s="4">
        <f ca="1" xml:space="preserve"> 'Total Trip Tables Sup #1'!D133</f>
        <v>20.596568740999999</v>
      </c>
      <c r="E133" s="4">
        <f ca="1" xml:space="preserve"> 'Total Trip Tables Sup #1'!E133</f>
        <v>20.902055278999999</v>
      </c>
      <c r="F133" s="4">
        <f ca="1" xml:space="preserve"> 'Total Trip Tables Sup #1'!F133</f>
        <v>20.727711654</v>
      </c>
      <c r="G133" s="4">
        <f ca="1" xml:space="preserve"> 'Total Trip Tables Sup #1'!G133</f>
        <v>20.543844931999999</v>
      </c>
      <c r="H133" s="4">
        <f ca="1" xml:space="preserve"> 'Total Trip Tables Sup #1'!H133</f>
        <v>20.244408851999999</v>
      </c>
      <c r="I133" s="1">
        <f ca="1" xml:space="preserve"> 'Total Trip Tables Sup #1'!I133</f>
        <v>20.244408851999999</v>
      </c>
      <c r="J133" s="1">
        <f ca="1" xml:space="preserve"> 'Total Trip Tables Sup #1'!J133</f>
        <v>20.244408851999999</v>
      </c>
      <c r="K133" s="1">
        <f ca="1" xml:space="preserve"> 'Total Trip Tables Sup #1'!K133</f>
        <v>20.244408851999999</v>
      </c>
    </row>
    <row r="134" spans="1:11" x14ac:dyDescent="0.2">
      <c r="A134" t="str">
        <f ca="1">OFFSET(Wellington_Reference,56,2)</f>
        <v>Local Ferry</v>
      </c>
      <c r="B134" s="4">
        <f ca="1">B167*'Total Trip Tables Sup #1'!B134</f>
        <v>0</v>
      </c>
      <c r="C134" s="4">
        <f ca="1">C167*'Total Trip Tables Sup #1'!C134</f>
        <v>0</v>
      </c>
      <c r="D134" s="4">
        <f ca="1">D167*'Total Trip Tables Sup #1'!D134</f>
        <v>0</v>
      </c>
      <c r="E134" s="4">
        <f ca="1">E167*'Total Trip Tables Sup #1'!E134</f>
        <v>0</v>
      </c>
      <c r="F134" s="4">
        <f ca="1">F167*'Total Trip Tables Sup #1'!F134</f>
        <v>0</v>
      </c>
      <c r="G134" s="4">
        <f ca="1">G167*'Total Trip Tables Sup #1'!G134</f>
        <v>0</v>
      </c>
      <c r="H134" s="4">
        <f ca="1">H167*'Total Trip Tables Sup #1'!H134</f>
        <v>0</v>
      </c>
      <c r="I134" s="1">
        <f ca="1">I167*'Total Trip Tables Sup #1'!I134</f>
        <v>0</v>
      </c>
      <c r="J134" s="1">
        <f ca="1">J167*'Total Trip Tables Sup #1'!J134</f>
        <v>0</v>
      </c>
      <c r="K134" s="1">
        <f ca="1">K167*'Total Trip Tables Sup #1'!K134</f>
        <v>0</v>
      </c>
    </row>
    <row r="135" spans="1:11" x14ac:dyDescent="0.2">
      <c r="A135" t="str">
        <f ca="1">OFFSET(Canterbury_Reference,56,2)</f>
        <v>Other Household Travel</v>
      </c>
      <c r="B135" s="4">
        <f ca="1">B168*'Total Trip Tables Sup #1'!B135</f>
        <v>1.5386198845000001</v>
      </c>
      <c r="C135" s="4">
        <f ca="1">C168*'Total Trip Tables Sup #1'!C135</f>
        <v>1.7168458984202597</v>
      </c>
      <c r="D135" s="4">
        <f ca="1">D168*'Total Trip Tables Sup #1'!D135</f>
        <v>1.8672167945406362</v>
      </c>
      <c r="E135" s="4">
        <f ca="1">E168*'Total Trip Tables Sup #1'!E135</f>
        <v>2.005710314980182</v>
      </c>
      <c r="F135" s="4">
        <f ca="1">F168*'Total Trip Tables Sup #1'!F135</f>
        <v>2.1522583422499633</v>
      </c>
      <c r="G135" s="4">
        <f ca="1">G168*'Total Trip Tables Sup #1'!G135</f>
        <v>2.3057333859017217</v>
      </c>
      <c r="H135" s="4">
        <f ca="1">H168*'Total Trip Tables Sup #1'!H135</f>
        <v>2.44686497343181</v>
      </c>
      <c r="I135" s="1">
        <f ca="1">I168*'Total Trip Tables Sup #1'!I135</f>
        <v>2.5180848592338556</v>
      </c>
      <c r="J135" s="1">
        <f ca="1">J168*'Total Trip Tables Sup #1'!J135</f>
        <v>2.58319677071536</v>
      </c>
      <c r="K135" s="1">
        <f ca="1">K168*'Total Trip Tables Sup #1'!K135</f>
        <v>2.6443634289005833</v>
      </c>
    </row>
    <row r="136" spans="1:11" x14ac:dyDescent="0.2">
      <c r="A136" t="str">
        <f ca="1">OFFSET(Otago_Reference,0,0)</f>
        <v>14 OTAGO</v>
      </c>
      <c r="I136" s="1"/>
      <c r="J136" s="1"/>
      <c r="K136" s="1"/>
    </row>
    <row r="137" spans="1:11" x14ac:dyDescent="0.2">
      <c r="A137" t="str">
        <f ca="1">OFFSET(Otago_Reference,0,2)</f>
        <v>Pedestrian</v>
      </c>
      <c r="B137" s="4">
        <f ca="1">B159*'Total Trip Tables Sup #1'!B137</f>
        <v>58.261736425999999</v>
      </c>
      <c r="C137" s="4">
        <f ca="1">C159*'Total Trip Tables Sup #1'!C137*(1+'Active Mode Assumptions'!C7)</f>
        <v>62.687606908463529</v>
      </c>
      <c r="D137" s="4">
        <f ca="1">D159*'Total Trip Tables Sup #1'!D137*(1+'Active Mode Assumptions'!D7)</f>
        <v>65.131736537429646</v>
      </c>
      <c r="E137" s="4">
        <f ca="1">E159*'Total Trip Tables Sup #1'!E137*(1+'Active Mode Assumptions'!E7)</f>
        <v>66.534542701186865</v>
      </c>
      <c r="F137" s="4">
        <f ca="1">F159*'Total Trip Tables Sup #1'!F137*(1+'Active Mode Assumptions'!F7)</f>
        <v>67.372490355801716</v>
      </c>
      <c r="G137" s="4">
        <f ca="1">G159*'Total Trip Tables Sup #1'!G137*(1+'Active Mode Assumptions'!G7)</f>
        <v>67.94525988356645</v>
      </c>
      <c r="H137" s="4">
        <f ca="1">H159*'Total Trip Tables Sup #1'!H137*(1+'Active Mode Assumptions'!H7)</f>
        <v>68.218998389453603</v>
      </c>
      <c r="I137" s="1">
        <f ca="1">I159*'Total Trip Tables Sup #1'!I137*(1+'Active Mode Assumptions'!I7)</f>
        <v>68.914751664998718</v>
      </c>
      <c r="J137" s="1">
        <f ca="1">J159*'Total Trip Tables Sup #1'!J137*(1+'Active Mode Assumptions'!J7)</f>
        <v>69.396859527885979</v>
      </c>
      <c r="K137" s="1">
        <f ca="1">K159*'Total Trip Tables Sup #1'!K137*(1+'Active Mode Assumptions'!K7)</f>
        <v>69.732971473322948</v>
      </c>
    </row>
    <row r="138" spans="1:11" x14ac:dyDescent="0.2">
      <c r="A138" t="str">
        <f ca="1">OFFSET(Otago_Reference,7,2)</f>
        <v>Cyclist</v>
      </c>
      <c r="B138" s="4">
        <f ca="1">B160*'Total Trip Tables Sup #1'!B138</f>
        <v>4.5847179276999999</v>
      </c>
      <c r="C138" s="4">
        <f ca="1">C160*'Total Trip Tables Sup #1'!C138*(1+'Active Mode Assumptions'!C16)</f>
        <v>4.9236413664007905</v>
      </c>
      <c r="D138" s="4">
        <f ca="1">D160*'Total Trip Tables Sup #1'!D138*(1+'Active Mode Assumptions'!D16)</f>
        <v>5.0738151863474474</v>
      </c>
      <c r="E138" s="4">
        <f ca="1">E160*'Total Trip Tables Sup #1'!E138*(1+'Active Mode Assumptions'!E16)</f>
        <v>5.1378488801791047</v>
      </c>
      <c r="F138" s="4">
        <f ca="1">F160*'Total Trip Tables Sup #1'!F138*(1+'Active Mode Assumptions'!F16)</f>
        <v>5.1939499369466713</v>
      </c>
      <c r="G138" s="4">
        <f ca="1">G160*'Total Trip Tables Sup #1'!G138*(1+'Active Mode Assumptions'!G16)</f>
        <v>5.2442489365831886</v>
      </c>
      <c r="H138" s="4">
        <f ca="1">H160*'Total Trip Tables Sup #1'!H138*(1+'Active Mode Assumptions'!H16)</f>
        <v>5.2832035989716237</v>
      </c>
      <c r="I138" s="1">
        <f ca="1">I160*'Total Trip Tables Sup #1'!I138*(1+'Active Mode Assumptions'!I16)</f>
        <v>5.3675166228121123</v>
      </c>
      <c r="J138" s="1">
        <f ca="1">J160*'Total Trip Tables Sup #1'!J138*(1+'Active Mode Assumptions'!J16)</f>
        <v>5.4363644240307076</v>
      </c>
      <c r="K138" s="1">
        <f ca="1">K160*'Total Trip Tables Sup #1'!K138*(1+'Active Mode Assumptions'!K16)</f>
        <v>5.494808138029728</v>
      </c>
    </row>
    <row r="139" spans="1:11" x14ac:dyDescent="0.2">
      <c r="A139" t="str">
        <f ca="1">OFFSET(Otago_Reference,14,2)</f>
        <v>Light Vehicle Driver</v>
      </c>
      <c r="B139" s="4">
        <f ca="1">B161*'Total Trip Tables Sup #1'!B139</f>
        <v>150.49144967999999</v>
      </c>
      <c r="C139" s="4">
        <f ca="1">C161*'Total Trip Tables Sup #1'!C139-(C137*'Active Mode Assumptions'!C7*'Active Mode Assumptions'!C14/(1+'Active Mode Assumptions'!C7))-(C138*'Active Mode Assumptions'!C16*'Active Mode Assumptions'!C23/(1+'Active Mode Assumptions'!C16))</f>
        <v>166.29499056145471</v>
      </c>
      <c r="D139" s="4">
        <f ca="1">D161*'Total Trip Tables Sup #1'!D139-(D137*'Active Mode Assumptions'!D7*'Active Mode Assumptions'!D14/(1+'Active Mode Assumptions'!D7))-(D138*'Active Mode Assumptions'!D16*'Active Mode Assumptions'!D23/(1+'Active Mode Assumptions'!D16))</f>
        <v>175.65618521521958</v>
      </c>
      <c r="E139" s="4">
        <f ca="1">E161*'Total Trip Tables Sup #1'!E139-(E137*'Active Mode Assumptions'!E7*'Active Mode Assumptions'!E14/(1+'Active Mode Assumptions'!E7))-(E138*'Active Mode Assumptions'!E16*'Active Mode Assumptions'!E23/(1+'Active Mode Assumptions'!E16))</f>
        <v>180.76556782554437</v>
      </c>
      <c r="F139" s="4">
        <f ca="1">F161*'Total Trip Tables Sup #1'!F139-(F137*'Active Mode Assumptions'!F7*'Active Mode Assumptions'!F14/(1+'Active Mode Assumptions'!F7))-(F138*'Active Mode Assumptions'!F16*'Active Mode Assumptions'!F23/(1+'Active Mode Assumptions'!F16))</f>
        <v>185.20116756538397</v>
      </c>
      <c r="G139" s="4">
        <f ca="1">G161*'Total Trip Tables Sup #1'!G139-(G137*'Active Mode Assumptions'!G7*'Active Mode Assumptions'!G14/(1+'Active Mode Assumptions'!G7))-(G138*'Active Mode Assumptions'!G16*'Active Mode Assumptions'!G23/(1+'Active Mode Assumptions'!G16))</f>
        <v>188.00240961046319</v>
      </c>
      <c r="H139" s="4">
        <f ca="1">H161*'Total Trip Tables Sup #1'!H139-(H137*'Active Mode Assumptions'!H7*'Active Mode Assumptions'!H14/(1+'Active Mode Assumptions'!H7))-(H138*'Active Mode Assumptions'!H16*'Active Mode Assumptions'!H23/(1+'Active Mode Assumptions'!H16))</f>
        <v>190.02085946197445</v>
      </c>
      <c r="I139" s="1">
        <f ca="1">I161*'Total Trip Tables Sup #1'!I139-(I137*'Active Mode Assumptions'!I7*'Active Mode Assumptions'!I14/(1+'Active Mode Assumptions'!I7))-(I138*'Active Mode Assumptions'!I16*'Active Mode Assumptions'!I23/(1+'Active Mode Assumptions'!I16))</f>
        <v>192.02748548679818</v>
      </c>
      <c r="J139" s="1">
        <f ca="1">J161*'Total Trip Tables Sup #1'!J139-(J137*'Active Mode Assumptions'!J7*'Active Mode Assumptions'!J14/(1+'Active Mode Assumptions'!J7))-(J138*'Active Mode Assumptions'!J16*'Active Mode Assumptions'!J23/(1+'Active Mode Assumptions'!J16))</f>
        <v>193.43814948687134</v>
      </c>
      <c r="K139" s="1">
        <f ca="1">K161*'Total Trip Tables Sup #1'!K139-(K137*'Active Mode Assumptions'!K7*'Active Mode Assumptions'!K14/(1+'Active Mode Assumptions'!K7))-(K138*'Active Mode Assumptions'!K16*'Active Mode Assumptions'!K23/(1+'Active Mode Assumptions'!K16))</f>
        <v>194.44091354178738</v>
      </c>
    </row>
    <row r="140" spans="1:11" x14ac:dyDescent="0.2">
      <c r="A140" t="str">
        <f ca="1">OFFSET(Otago_Reference,21,2)</f>
        <v>Light Vehicle Passenger</v>
      </c>
      <c r="B140" s="4">
        <f ca="1">B162*'Total Trip Tables Sup #1'!B140</f>
        <v>71.232164202000021</v>
      </c>
      <c r="C140" s="4">
        <f ca="1">C162*'Total Trip Tables Sup #1'!C140-(C137*'Active Mode Assumptions'!C7*'Active Mode Assumptions'!C15/(1+'Active Mode Assumptions'!C7))-(C138*'Active Mode Assumptions'!C16*'Active Mode Assumptions'!C24/(1+'Active Mode Assumptions'!C16))</f>
        <v>74.869887759554885</v>
      </c>
      <c r="D140" s="4">
        <f ca="1">D162*'Total Trip Tables Sup #1'!D140-(D137*'Active Mode Assumptions'!D7*'Active Mode Assumptions'!D15/(1+'Active Mode Assumptions'!D7))-(D138*'Active Mode Assumptions'!D16*'Active Mode Assumptions'!D24/(1+'Active Mode Assumptions'!D16))</f>
        <v>76.717382602669346</v>
      </c>
      <c r="E140" s="4">
        <f ca="1">E162*'Total Trip Tables Sup #1'!E140-(E137*'Active Mode Assumptions'!E7*'Active Mode Assumptions'!E15/(1+'Active Mode Assumptions'!E7))-(E138*'Active Mode Assumptions'!E16*'Active Mode Assumptions'!E24/(1+'Active Mode Assumptions'!E16))</f>
        <v>77.341769871616407</v>
      </c>
      <c r="F140" s="4">
        <f ca="1">F162*'Total Trip Tables Sup #1'!F140-(F137*'Active Mode Assumptions'!F7*'Active Mode Assumptions'!F15/(1+'Active Mode Assumptions'!F7))-(F138*'Active Mode Assumptions'!F16*'Active Mode Assumptions'!F24/(1+'Active Mode Assumptions'!F16))</f>
        <v>77.835831453035794</v>
      </c>
      <c r="G140" s="4">
        <f ca="1">G162*'Total Trip Tables Sup #1'!G140-(G137*'Active Mode Assumptions'!G7*'Active Mode Assumptions'!G15/(1+'Active Mode Assumptions'!G7))-(G138*'Active Mode Assumptions'!G16*'Active Mode Assumptions'!G24/(1+'Active Mode Assumptions'!G16))</f>
        <v>77.997852146805428</v>
      </c>
      <c r="H140" s="4">
        <f ca="1">H162*'Total Trip Tables Sup #1'!H140-(H137*'Active Mode Assumptions'!H7*'Active Mode Assumptions'!H15/(1+'Active Mode Assumptions'!H7))-(H138*'Active Mode Assumptions'!H16*'Active Mode Assumptions'!H24/(1+'Active Mode Assumptions'!H16))</f>
        <v>77.743157161324234</v>
      </c>
      <c r="I140" s="1">
        <f ca="1">I162*'Total Trip Tables Sup #1'!I140-(I137*'Active Mode Assumptions'!I7*'Active Mode Assumptions'!I15/(1+'Active Mode Assumptions'!I7))-(I138*'Active Mode Assumptions'!I16*'Active Mode Assumptions'!I24/(1+'Active Mode Assumptions'!I16))</f>
        <v>78.564761023343465</v>
      </c>
      <c r="J140" s="1">
        <f ca="1">J162*'Total Trip Tables Sup #1'!J140-(J137*'Active Mode Assumptions'!J7*'Active Mode Assumptions'!J15/(1+'Active Mode Assumptions'!J7))-(J138*'Active Mode Assumptions'!J16*'Active Mode Assumptions'!J24/(1+'Active Mode Assumptions'!J16))</f>
        <v>79.142232913445639</v>
      </c>
      <c r="K140" s="1">
        <f ca="1">K162*'Total Trip Tables Sup #1'!K140-(K137*'Active Mode Assumptions'!K7*'Active Mode Assumptions'!K15/(1+'Active Mode Assumptions'!K7))-(K138*'Active Mode Assumptions'!K16*'Active Mode Assumptions'!K24/(1+'Active Mode Assumptions'!K16))</f>
        <v>79.552503617210078</v>
      </c>
    </row>
    <row r="141" spans="1:11" x14ac:dyDescent="0.2">
      <c r="A141" t="str">
        <f ca="1">OFFSET(Otago_Reference,28,2)</f>
        <v>Taxi/Vehicle Share</v>
      </c>
      <c r="B141" s="4">
        <f ca="1">B163*'Total Trip Tables Sup #1'!B141</f>
        <v>0.85820748670000002</v>
      </c>
      <c r="C141" s="4">
        <f ca="1">C163*'Total Trip Tables Sup #1'!C141</f>
        <v>0.99111192137992932</v>
      </c>
      <c r="D141" s="4">
        <f ca="1">D163*'Total Trip Tables Sup #1'!D141</f>
        <v>1.0869023345535553</v>
      </c>
      <c r="E141" s="4">
        <f ca="1">E163*'Total Trip Tables Sup #1'!E141</f>
        <v>1.1665055071837003</v>
      </c>
      <c r="F141" s="4">
        <f ca="1">F163*'Total Trip Tables Sup #1'!F141</f>
        <v>1.2357632430396088</v>
      </c>
      <c r="G141" s="4">
        <f ca="1">G163*'Total Trip Tables Sup #1'!G141</f>
        <v>1.2899749301712016</v>
      </c>
      <c r="H141" s="4">
        <f ca="1">H163*'Total Trip Tables Sup #1'!H141</f>
        <v>1.34104394597817</v>
      </c>
      <c r="I141" s="1">
        <f ca="1">I163*'Total Trip Tables Sup #1'!I141</f>
        <v>1.3530232362601664</v>
      </c>
      <c r="J141" s="1">
        <f ca="1">J163*'Total Trip Tables Sup #1'!J141</f>
        <v>1.3607161570662316</v>
      </c>
      <c r="K141" s="1">
        <f ca="1">K163*'Total Trip Tables Sup #1'!K141</f>
        <v>1.365466038146943</v>
      </c>
    </row>
    <row r="142" spans="1:11" x14ac:dyDescent="0.2">
      <c r="A142" t="str">
        <f ca="1">OFFSET(Otago_Reference,35,2)</f>
        <v>Motorcyclist</v>
      </c>
      <c r="B142" s="4">
        <f ca="1">B164*'Total Trip Tables Sup #1'!B142</f>
        <v>2.0937246197000001</v>
      </c>
      <c r="C142" s="4">
        <f ca="1">C164*'Total Trip Tables Sup #1'!C142</f>
        <v>2.2721576652051452</v>
      </c>
      <c r="D142" s="4">
        <f ca="1">D164*'Total Trip Tables Sup #1'!D142</f>
        <v>2.3621243224900335</v>
      </c>
      <c r="E142" s="4">
        <f ca="1">E164*'Total Trip Tables Sup #1'!E142</f>
        <v>2.3930175979815669</v>
      </c>
      <c r="F142" s="4">
        <f ca="1">F164*'Total Trip Tables Sup #1'!F142</f>
        <v>2.4124227767316735</v>
      </c>
      <c r="G142" s="4">
        <f ca="1">G164*'Total Trip Tables Sup #1'!G142</f>
        <v>2.3915142962854241</v>
      </c>
      <c r="H142" s="4">
        <f ca="1">H164*'Total Trip Tables Sup #1'!H142</f>
        <v>2.3572810755592091</v>
      </c>
      <c r="I142" s="1">
        <f ca="1">I164*'Total Trip Tables Sup #1'!I142</f>
        <v>2.3947264777692365</v>
      </c>
      <c r="J142" s="1">
        <f ca="1">J164*'Total Trip Tables Sup #1'!J142</f>
        <v>2.4250669504666931</v>
      </c>
      <c r="K142" s="1">
        <f ca="1">K164*'Total Trip Tables Sup #1'!K142</f>
        <v>2.4505505373941054</v>
      </c>
    </row>
    <row r="143" spans="1:11" x14ac:dyDescent="0.2">
      <c r="A143" t="str">
        <f ca="1">OFFSET(Canterbury_Reference,42,2)</f>
        <v>Local Train</v>
      </c>
      <c r="B143" s="4">
        <f ca="1">B165*'Total Trip Tables Sup #1'!B143</f>
        <v>0</v>
      </c>
      <c r="C143" s="4">
        <f ca="1">C165*'Total Trip Tables Sup #1'!C143</f>
        <v>0</v>
      </c>
      <c r="D143" s="4">
        <f ca="1">D165*'Total Trip Tables Sup #1'!D143</f>
        <v>0</v>
      </c>
      <c r="E143" s="4">
        <f ca="1">E165*'Total Trip Tables Sup #1'!E143</f>
        <v>0</v>
      </c>
      <c r="F143" s="4">
        <f ca="1">F165*'Total Trip Tables Sup #1'!F143</f>
        <v>0</v>
      </c>
      <c r="G143" s="4">
        <f ca="1">G165*'Total Trip Tables Sup #1'!G143</f>
        <v>0</v>
      </c>
      <c r="H143" s="4">
        <f ca="1">H165*'Total Trip Tables Sup #1'!H143</f>
        <v>0</v>
      </c>
      <c r="I143" s="1">
        <f ca="1">I165*'Total Trip Tables Sup #1'!I143</f>
        <v>0</v>
      </c>
      <c r="J143" s="1">
        <f ca="1">J165*'Total Trip Tables Sup #1'!J143</f>
        <v>0</v>
      </c>
      <c r="K143" s="1">
        <f ca="1">K165*'Total Trip Tables Sup #1'!K143</f>
        <v>0</v>
      </c>
    </row>
    <row r="144" spans="1:11" x14ac:dyDescent="0.2">
      <c r="A144" t="str">
        <f ca="1">OFFSET(Otago_Reference,42,2)</f>
        <v>Local Bus</v>
      </c>
      <c r="B144" s="4">
        <f ca="1">B166*'Total Trip Tables Sup #1'!B144</f>
        <v>4.2627057848999996</v>
      </c>
      <c r="C144" s="4">
        <f ca="1">C166*'Total Trip Tables Sup #1'!C144</f>
        <v>4.2925296689066643</v>
      </c>
      <c r="D144" s="4">
        <f ca="1">D166*'Total Trip Tables Sup #1'!D144</f>
        <v>4.2687995308651958</v>
      </c>
      <c r="E144" s="4">
        <f ca="1">E166*'Total Trip Tables Sup #1'!E144</f>
        <v>4.2477341825243098</v>
      </c>
      <c r="F144" s="4">
        <f ca="1">F166*'Total Trip Tables Sup #1'!F144</f>
        <v>4.1863052788754809</v>
      </c>
      <c r="G144" s="4">
        <f ca="1">G166*'Total Trip Tables Sup #1'!G144</f>
        <v>4.1573734110424665</v>
      </c>
      <c r="H144" s="4">
        <f ca="1">H166*'Total Trip Tables Sup #1'!H144</f>
        <v>4.1078859297063994</v>
      </c>
      <c r="I144" s="1">
        <f ca="1">I166*'Total Trip Tables Sup #1'!I144</f>
        <v>4.1543368350369709</v>
      </c>
      <c r="J144" s="1">
        <f ca="1">J166*'Total Trip Tables Sup #1'!J144</f>
        <v>4.1879647920073788</v>
      </c>
      <c r="K144" s="1">
        <f ca="1">K166*'Total Trip Tables Sup #1'!K144</f>
        <v>4.2128162948710486</v>
      </c>
    </row>
    <row r="145" spans="1:11" x14ac:dyDescent="0.2">
      <c r="A145" t="str">
        <f ca="1">OFFSET(Wellington_Reference,56,2)</f>
        <v>Local Ferry</v>
      </c>
      <c r="B145" s="4">
        <f ca="1">B167*'Total Trip Tables Sup #1'!B145</f>
        <v>0</v>
      </c>
      <c r="C145" s="4">
        <f ca="1">C167*'Total Trip Tables Sup #1'!C145</f>
        <v>0</v>
      </c>
      <c r="D145" s="4">
        <f ca="1">D167*'Total Trip Tables Sup #1'!D145</f>
        <v>0</v>
      </c>
      <c r="E145" s="4">
        <f ca="1">E167*'Total Trip Tables Sup #1'!E145</f>
        <v>0</v>
      </c>
      <c r="F145" s="4">
        <f ca="1">F167*'Total Trip Tables Sup #1'!F145</f>
        <v>0</v>
      </c>
      <c r="G145" s="4">
        <f ca="1">G167*'Total Trip Tables Sup #1'!G145</f>
        <v>0</v>
      </c>
      <c r="H145" s="4">
        <f ca="1">H167*'Total Trip Tables Sup #1'!H145</f>
        <v>0</v>
      </c>
      <c r="I145" s="1">
        <f ca="1">I167*'Total Trip Tables Sup #1'!I145</f>
        <v>0</v>
      </c>
      <c r="J145" s="1">
        <f ca="1">J167*'Total Trip Tables Sup #1'!J145</f>
        <v>0</v>
      </c>
      <c r="K145" s="1">
        <f ca="1">K167*'Total Trip Tables Sup #1'!K145</f>
        <v>0</v>
      </c>
    </row>
    <row r="146" spans="1:11" x14ac:dyDescent="0.2">
      <c r="A146" t="str">
        <f ca="1">OFFSET(Otago_Reference,49,2)</f>
        <v>Other Household Travel</v>
      </c>
      <c r="B146" s="4">
        <f ca="1">B168*'Total Trip Tables Sup #1'!B146</f>
        <v>0.77539158779999995</v>
      </c>
      <c r="C146" s="4">
        <f ca="1">C168*'Total Trip Tables Sup #1'!C146</f>
        <v>0.84511985845994975</v>
      </c>
      <c r="D146" s="4">
        <f ca="1">D168*'Total Trip Tables Sup #1'!D146</f>
        <v>0.90136019497181774</v>
      </c>
      <c r="E146" s="4">
        <f ca="1">E168*'Total Trip Tables Sup #1'!E146</f>
        <v>0.95253582312073481</v>
      </c>
      <c r="F146" s="4">
        <f ca="1">F168*'Total Trip Tables Sup #1'!F146</f>
        <v>1.0060160573476216</v>
      </c>
      <c r="G146" s="4">
        <f ca="1">G168*'Total Trip Tables Sup #1'!G146</f>
        <v>1.0614082268608824</v>
      </c>
      <c r="H146" s="4">
        <f ca="1">H168*'Total Trip Tables Sup #1'!H146</f>
        <v>1.1095449037057081</v>
      </c>
      <c r="I146" s="1">
        <f ca="1">I168*'Total Trip Tables Sup #1'!I146</f>
        <v>1.1247778568477262</v>
      </c>
      <c r="J146" s="1">
        <f ca="1">J168*'Total Trip Tables Sup #1'!J146</f>
        <v>1.1366202854459369</v>
      </c>
      <c r="K146" s="1">
        <f ca="1">K168*'Total Trip Tables Sup #1'!K146</f>
        <v>1.1461476632152301</v>
      </c>
    </row>
    <row r="147" spans="1:11" x14ac:dyDescent="0.2">
      <c r="A147" t="str">
        <f ca="1">OFFSET(Southland_Reference,0,0)</f>
        <v>15 SOUTHLAND</v>
      </c>
      <c r="I147" s="1"/>
      <c r="J147" s="1"/>
      <c r="K147" s="1"/>
    </row>
    <row r="148" spans="1:11" x14ac:dyDescent="0.2">
      <c r="A148" t="str">
        <f ca="1">OFFSET(Southland_Reference,0,2)</f>
        <v>Pedestrian</v>
      </c>
      <c r="B148" s="4">
        <f ca="1">B159*'Total Trip Tables Sup #1'!B148</f>
        <v>12.52065131</v>
      </c>
      <c r="C148" s="4">
        <f ca="1">C159*'Total Trip Tables Sup #1'!C148*(1+'Active Mode Assumptions'!C7)</f>
        <v>12.872775157045314</v>
      </c>
      <c r="D148" s="4">
        <f ca="1">D159*'Total Trip Tables Sup #1'!D148*(1+'Active Mode Assumptions'!D7)</f>
        <v>12.912712751382887</v>
      </c>
      <c r="E148" s="4">
        <f ca="1">E159*'Total Trip Tables Sup #1'!E148*(1+'Active Mode Assumptions'!E7)</f>
        <v>12.890748601574996</v>
      </c>
      <c r="F148" s="4">
        <f ca="1">F159*'Total Trip Tables Sup #1'!F148*(1+'Active Mode Assumptions'!F7)</f>
        <v>12.758705709658868</v>
      </c>
      <c r="G148" s="4">
        <f ca="1">G159*'Total Trip Tables Sup #1'!G148*(1+'Active Mode Assumptions'!G7)</f>
        <v>12.567725322861101</v>
      </c>
      <c r="H148" s="4">
        <f ca="1">H159*'Total Trip Tables Sup #1'!H148*(1+'Active Mode Assumptions'!H7)</f>
        <v>12.326327799191024</v>
      </c>
      <c r="I148" s="1">
        <f ca="1">I159*'Total Trip Tables Sup #1'!I148*(1+'Active Mode Assumptions'!I7)</f>
        <v>12.163860414742775</v>
      </c>
      <c r="J148" s="1">
        <f ca="1">J159*'Total Trip Tables Sup #1'!J148*(1+'Active Mode Assumptions'!J7)</f>
        <v>11.965474009260253</v>
      </c>
      <c r="K148" s="1">
        <f ca="1">K159*'Total Trip Tables Sup #1'!K148*(1+'Active Mode Assumptions'!K7)</f>
        <v>11.745164944438363</v>
      </c>
    </row>
    <row r="149" spans="1:11" x14ac:dyDescent="0.2">
      <c r="A149" t="str">
        <f ca="1">OFFSET(Southland_Reference,7,2)</f>
        <v>Cyclist</v>
      </c>
      <c r="B149" s="4">
        <f ca="1">B160*'Total Trip Tables Sup #1'!B149</f>
        <v>1.0312878256</v>
      </c>
      <c r="C149" s="4">
        <f ca="1">C160*'Total Trip Tables Sup #1'!C149*(1+'Active Mode Assumptions'!C16)</f>
        <v>1.0582802164289684</v>
      </c>
      <c r="D149" s="4">
        <f ca="1">D160*'Total Trip Tables Sup #1'!D149*(1+'Active Mode Assumptions'!D16)</f>
        <v>1.0528906029441518</v>
      </c>
      <c r="E149" s="4">
        <f ca="1">E160*'Total Trip Tables Sup #1'!E149*(1+'Active Mode Assumptions'!E16)</f>
        <v>1.0419240476723208</v>
      </c>
      <c r="F149" s="4">
        <f ca="1">F160*'Total Trip Tables Sup #1'!F149*(1+'Active Mode Assumptions'!F16)</f>
        <v>1.0295455162231899</v>
      </c>
      <c r="G149" s="4">
        <f ca="1">G160*'Total Trip Tables Sup #1'!G149*(1+'Active Mode Assumptions'!G16)</f>
        <v>1.0153238502381425</v>
      </c>
      <c r="H149" s="4">
        <f ca="1">H160*'Total Trip Tables Sup #1'!H149*(1+'Active Mode Assumptions'!H16)</f>
        <v>0.99919325723976449</v>
      </c>
      <c r="I149" s="1">
        <f ca="1">I160*'Total Trip Tables Sup #1'!I149*(1+'Active Mode Assumptions'!I16)</f>
        <v>0.99164540397750012</v>
      </c>
      <c r="J149" s="1">
        <f ca="1">J160*'Total Trip Tables Sup #1'!J149*(1+'Active Mode Assumptions'!J16)</f>
        <v>0.98112066927081965</v>
      </c>
      <c r="K149" s="1">
        <f ca="1">K160*'Total Trip Tables Sup #1'!K149*(1+'Active Mode Assumptions'!K16)</f>
        <v>0.96871774263807697</v>
      </c>
    </row>
    <row r="150" spans="1:11" x14ac:dyDescent="0.2">
      <c r="A150" t="str">
        <f ca="1">OFFSET(Southland_Reference,14,2)</f>
        <v>Light Vehicle Driver</v>
      </c>
      <c r="B150" s="4">
        <f ca="1">B161*'Total Trip Tables Sup #1'!B150</f>
        <v>66.981547285000005</v>
      </c>
      <c r="C150" s="4">
        <f ca="1">C161*'Total Trip Tables Sup #1'!C150-(C148*'Active Mode Assumptions'!C7*'Active Mode Assumptions'!C14/(1+'Active Mode Assumptions'!C7))-(C149*'Active Mode Assumptions'!C16*'Active Mode Assumptions'!C23/(1+'Active Mode Assumptions'!C16))</f>
        <v>70.724439206384801</v>
      </c>
      <c r="D150" s="4">
        <f ca="1">D161*'Total Trip Tables Sup #1'!D150-(D148*'Active Mode Assumptions'!D7*'Active Mode Assumptions'!D14/(1+'Active Mode Assumptions'!D7))-(D149*'Active Mode Assumptions'!D16*'Active Mode Assumptions'!D23/(1+'Active Mode Assumptions'!D16))</f>
        <v>72.125383012025665</v>
      </c>
      <c r="E150" s="4">
        <f ca="1">E161*'Total Trip Tables Sup #1'!E150-(E148*'Active Mode Assumptions'!E7*'Active Mode Assumptions'!E14/(1+'Active Mode Assumptions'!E7))-(E149*'Active Mode Assumptions'!E16*'Active Mode Assumptions'!E23/(1+'Active Mode Assumptions'!E16))</f>
        <v>72.534817926127943</v>
      </c>
      <c r="F150" s="4">
        <f ca="1">F161*'Total Trip Tables Sup #1'!F150-(F148*'Active Mode Assumptions'!F7*'Active Mode Assumptions'!F14/(1+'Active Mode Assumptions'!F7))-(F149*'Active Mode Assumptions'!F16*'Active Mode Assumptions'!F23/(1+'Active Mode Assumptions'!F16))</f>
        <v>72.638621300323635</v>
      </c>
      <c r="G150" s="4">
        <f ca="1">G161*'Total Trip Tables Sup #1'!G150-(G148*'Active Mode Assumptions'!G7*'Active Mode Assumptions'!G14/(1+'Active Mode Assumptions'!G7))-(G149*'Active Mode Assumptions'!G16*'Active Mode Assumptions'!G23/(1+'Active Mode Assumptions'!G16))</f>
        <v>72.021271576323585</v>
      </c>
      <c r="H150" s="4">
        <f ca="1">H161*'Total Trip Tables Sup #1'!H150-(H148*'Active Mode Assumptions'!H7*'Active Mode Assumptions'!H14/(1+'Active Mode Assumptions'!H7))-(H149*'Active Mode Assumptions'!H16*'Active Mode Assumptions'!H23/(1+'Active Mode Assumptions'!H16))</f>
        <v>71.109807884795231</v>
      </c>
      <c r="I150" s="1">
        <f ca="1">I161*'Total Trip Tables Sup #1'!I150-(I148*'Active Mode Assumptions'!I7*'Active Mode Assumptions'!I14/(1+'Active Mode Assumptions'!I7))-(I149*'Active Mode Assumptions'!I16*'Active Mode Assumptions'!I23/(1+'Active Mode Assumptions'!I16))</f>
        <v>70.19763493977787</v>
      </c>
      <c r="J150" s="1">
        <f ca="1">J161*'Total Trip Tables Sup #1'!J150-(J148*'Active Mode Assumptions'!J7*'Active Mode Assumptions'!J14/(1+'Active Mode Assumptions'!J7))-(J149*'Active Mode Assumptions'!J16*'Active Mode Assumptions'!J23/(1+'Active Mode Assumptions'!J16))</f>
        <v>69.076777999089742</v>
      </c>
      <c r="K150" s="1">
        <f ca="1">K161*'Total Trip Tables Sup #1'!K150-(K148*'Active Mode Assumptions'!K7*'Active Mode Assumptions'!K14/(1+'Active Mode Assumptions'!K7))-(K149*'Active Mode Assumptions'!K16*'Active Mode Assumptions'!K23/(1+'Active Mode Assumptions'!K16))</f>
        <v>67.827912970104222</v>
      </c>
    </row>
    <row r="151" spans="1:11" x14ac:dyDescent="0.2">
      <c r="A151" t="str">
        <f ca="1">OFFSET(Southland_Reference,21,2)</f>
        <v>Light Vehicle Passenger</v>
      </c>
      <c r="B151" s="4">
        <f ca="1">B162*'Total Trip Tables Sup #1'!B151</f>
        <v>28.419434702000007</v>
      </c>
      <c r="C151" s="4">
        <f ca="1">C162*'Total Trip Tables Sup #1'!C151-(C148*'Active Mode Assumptions'!C7*'Active Mode Assumptions'!C15/(1+'Active Mode Assumptions'!C7))-(C149*'Active Mode Assumptions'!C16*'Active Mode Assumptions'!C24/(1+'Active Mode Assumptions'!C16))</f>
        <v>28.542596201191994</v>
      </c>
      <c r="D151" s="4">
        <f ca="1">D162*'Total Trip Tables Sup #1'!D151-(D148*'Active Mode Assumptions'!D7*'Active Mode Assumptions'!D15/(1+'Active Mode Assumptions'!D7))-(D149*'Active Mode Assumptions'!D16*'Active Mode Assumptions'!D24/(1+'Active Mode Assumptions'!D16))</f>
        <v>28.236730499091948</v>
      </c>
      <c r="E151" s="4">
        <f ca="1">E162*'Total Trip Tables Sup #1'!E151-(E148*'Active Mode Assumptions'!E7*'Active Mode Assumptions'!E15/(1+'Active Mode Assumptions'!E7))-(E149*'Active Mode Assumptions'!E16*'Active Mode Assumptions'!E24/(1+'Active Mode Assumptions'!E16))</f>
        <v>27.818958549729757</v>
      </c>
      <c r="F151" s="4">
        <f ca="1">F162*'Total Trip Tables Sup #1'!F151-(F148*'Active Mode Assumptions'!F7*'Active Mode Assumptions'!F15/(1+'Active Mode Assumptions'!F7))-(F149*'Active Mode Assumptions'!F16*'Active Mode Assumptions'!F24/(1+'Active Mode Assumptions'!F16))</f>
        <v>27.365247916414155</v>
      </c>
      <c r="G151" s="4">
        <f ca="1">G162*'Total Trip Tables Sup #1'!G151-(G148*'Active Mode Assumptions'!G7*'Active Mode Assumptions'!G15/(1+'Active Mode Assumptions'!G7))-(G149*'Active Mode Assumptions'!G16*'Active Mode Assumptions'!G24/(1+'Active Mode Assumptions'!G16))</f>
        <v>26.784032203920358</v>
      </c>
      <c r="H151" s="4">
        <f ca="1">H162*'Total Trip Tables Sup #1'!H151-(H148*'Active Mode Assumptions'!H7*'Active Mode Assumptions'!H15/(1+'Active Mode Assumptions'!H7))-(H149*'Active Mode Assumptions'!H16*'Active Mode Assumptions'!H24/(1+'Active Mode Assumptions'!H16))</f>
        <v>26.078724500328374</v>
      </c>
      <c r="I151" s="1">
        <f ca="1">I162*'Total Trip Tables Sup #1'!I151-(I148*'Active Mode Assumptions'!I7*'Active Mode Assumptions'!I15/(1+'Active Mode Assumptions'!I7))-(I149*'Active Mode Assumptions'!I16*'Active Mode Assumptions'!I24/(1+'Active Mode Assumptions'!I16))</f>
        <v>25.744402979643766</v>
      </c>
      <c r="J151" s="1">
        <f ca="1">J162*'Total Trip Tables Sup #1'!J151-(J148*'Active Mode Assumptions'!J7*'Active Mode Assumptions'!J15/(1+'Active Mode Assumptions'!J7))-(J149*'Active Mode Assumptions'!J16*'Active Mode Assumptions'!J24/(1+'Active Mode Assumptions'!J16))</f>
        <v>25.333441294219863</v>
      </c>
      <c r="K151" s="1">
        <f ca="1">K162*'Total Trip Tables Sup #1'!K151-(K148*'Active Mode Assumptions'!K7*'Active Mode Assumptions'!K15/(1+'Active Mode Assumptions'!K7))-(K149*'Active Mode Assumptions'!K16*'Active Mode Assumptions'!K24/(1+'Active Mode Assumptions'!K16))</f>
        <v>24.875430136324319</v>
      </c>
    </row>
    <row r="152" spans="1:11" x14ac:dyDescent="0.2">
      <c r="A152" t="str">
        <f ca="1">OFFSET(Southland_Reference,28,2)</f>
        <v>Taxi/Vehicle Share</v>
      </c>
      <c r="B152" s="4">
        <f ca="1">B163*'Total Trip Tables Sup #1'!B152</f>
        <v>0.47613164409999997</v>
      </c>
      <c r="C152" s="4">
        <f ca="1">C163*'Total Trip Tables Sup #1'!C152</f>
        <v>0.52541739030509982</v>
      </c>
      <c r="D152" s="4">
        <f ca="1">D163*'Total Trip Tables Sup #1'!D152</f>
        <v>0.5562968548052174</v>
      </c>
      <c r="E152" s="4">
        <f ca="1">E163*'Total Trip Tables Sup #1'!E152</f>
        <v>0.58345720377109045</v>
      </c>
      <c r="F152" s="4">
        <f ca="1">F163*'Total Trip Tables Sup #1'!F152</f>
        <v>0.60415801708511074</v>
      </c>
      <c r="G152" s="4">
        <f ca="1">G163*'Total Trip Tables Sup #1'!G152</f>
        <v>0.61598485815386816</v>
      </c>
      <c r="H152" s="4">
        <f ca="1">H163*'Total Trip Tables Sup #1'!H152</f>
        <v>0.62555087294804212</v>
      </c>
      <c r="I152" s="1">
        <f ca="1">I163*'Total Trip Tables Sup #1'!I152</f>
        <v>0.61653216308351666</v>
      </c>
      <c r="J152" s="1">
        <f ca="1">J163*'Total Trip Tables Sup #1'!J152</f>
        <v>0.60568787845937622</v>
      </c>
      <c r="K152" s="1">
        <f ca="1">K163*'Total Trip Tables Sup #1'!K152</f>
        <v>0.59373561619426773</v>
      </c>
    </row>
    <row r="153" spans="1:11" x14ac:dyDescent="0.2">
      <c r="A153" t="str">
        <f ca="1">OFFSET(Southland_Reference,35,2)</f>
        <v>Motorcyclist</v>
      </c>
      <c r="B153" s="4">
        <f ca="1">B164*'Total Trip Tables Sup #1'!B153</f>
        <v>0.62652592730000001</v>
      </c>
      <c r="C153" s="4">
        <f ca="1">C164*'Total Trip Tables Sup #1'!C153</f>
        <v>0.64968815336851482</v>
      </c>
      <c r="D153" s="4">
        <f ca="1">D164*'Total Trip Tables Sup #1'!D153</f>
        <v>0.6520840468925827</v>
      </c>
      <c r="E153" s="4">
        <f ca="1">E164*'Total Trip Tables Sup #1'!E153</f>
        <v>0.64558413045122598</v>
      </c>
      <c r="F153" s="4">
        <f ca="1">F164*'Total Trip Tables Sup #1'!F153</f>
        <v>0.63614106370184542</v>
      </c>
      <c r="G153" s="4">
        <f ca="1">G164*'Total Trip Tables Sup #1'!G153</f>
        <v>0.61595145983919919</v>
      </c>
      <c r="H153" s="4">
        <f ca="1">H164*'Total Trip Tables Sup #1'!H153</f>
        <v>0.59308335436436876</v>
      </c>
      <c r="I153" s="1">
        <f ca="1">I164*'Total Trip Tables Sup #1'!I153</f>
        <v>0.58856053750351089</v>
      </c>
      <c r="J153" s="1">
        <f ca="1">J164*'Total Trip Tables Sup #1'!J153</f>
        <v>0.58222361249099075</v>
      </c>
      <c r="K153" s="1">
        <f ca="1">K164*'Total Trip Tables Sup #1'!K153</f>
        <v>0.5747256802784585</v>
      </c>
    </row>
    <row r="154" spans="1:11" x14ac:dyDescent="0.2">
      <c r="A154" t="str">
        <f ca="1">OFFSET(Canterbury_Reference,42,2)</f>
        <v>Local Train</v>
      </c>
      <c r="B154" s="4">
        <f ca="1">B165*'Total Trip Tables Sup #1'!B154</f>
        <v>0</v>
      </c>
      <c r="C154" s="4">
        <f ca="1">C165*'Total Trip Tables Sup #1'!C154</f>
        <v>0</v>
      </c>
      <c r="D154" s="4">
        <f ca="1">D165*'Total Trip Tables Sup #1'!D154</f>
        <v>0</v>
      </c>
      <c r="E154" s="4">
        <f ca="1">E165*'Total Trip Tables Sup #1'!E154</f>
        <v>0</v>
      </c>
      <c r="F154" s="4">
        <f ca="1">F165*'Total Trip Tables Sup #1'!F154</f>
        <v>0</v>
      </c>
      <c r="G154" s="4">
        <f ca="1">G165*'Total Trip Tables Sup #1'!G154</f>
        <v>0</v>
      </c>
      <c r="H154" s="4">
        <f ca="1">H165*'Total Trip Tables Sup #1'!H154</f>
        <v>0</v>
      </c>
      <c r="I154" s="1">
        <f ca="1">I165*'Total Trip Tables Sup #1'!I154</f>
        <v>0</v>
      </c>
      <c r="J154" s="1">
        <f ca="1">J165*'Total Trip Tables Sup #1'!J154</f>
        <v>0</v>
      </c>
      <c r="K154" s="1">
        <f ca="1">K165*'Total Trip Tables Sup #1'!K154</f>
        <v>0</v>
      </c>
    </row>
    <row r="155" spans="1:11" x14ac:dyDescent="0.2">
      <c r="A155" t="str">
        <f ca="1">OFFSET(Southland_Reference,42,2)</f>
        <v>Local Bus</v>
      </c>
      <c r="B155" s="4">
        <f ca="1">B166*'Total Trip Tables Sup #1'!B155</f>
        <v>2.6369167839999998</v>
      </c>
      <c r="C155" s="4">
        <f ca="1">C166*'Total Trip Tables Sup #1'!C155</f>
        <v>2.5372973600147541</v>
      </c>
      <c r="D155" s="4">
        <f ca="1">D166*'Total Trip Tables Sup #1'!D155</f>
        <v>2.4361171105021926</v>
      </c>
      <c r="E155" s="4">
        <f ca="1">E166*'Total Trip Tables Sup #1'!E155</f>
        <v>2.3689498296540421</v>
      </c>
      <c r="F155" s="4">
        <f ca="1">F166*'Total Trip Tables Sup #1'!F155</f>
        <v>2.2820359612549761</v>
      </c>
      <c r="G155" s="4">
        <f ca="1">G166*'Total Trip Tables Sup #1'!G155</f>
        <v>2.2135234114364466</v>
      </c>
      <c r="H155" s="4">
        <f ca="1">H166*'Total Trip Tables Sup #1'!H155</f>
        <v>2.1365561897937022</v>
      </c>
      <c r="I155" s="1">
        <f ca="1">I166*'Total Trip Tables Sup #1'!I155</f>
        <v>2.1107097097367067</v>
      </c>
      <c r="J155" s="1">
        <f ca="1">J166*'Total Trip Tables Sup #1'!J155</f>
        <v>2.0785509839471592</v>
      </c>
      <c r="K155" s="1">
        <f ca="1">K166*'Total Trip Tables Sup #1'!K155</f>
        <v>2.0424951751977796</v>
      </c>
    </row>
    <row r="156" spans="1:11" x14ac:dyDescent="0.2">
      <c r="A156" t="str">
        <f ca="1">OFFSET(Wellington_Reference,56,2)</f>
        <v>Local Ferry</v>
      </c>
      <c r="B156" s="4">
        <f ca="1">B167*'Total Trip Tables Sup #1'!B156</f>
        <v>0</v>
      </c>
      <c r="C156" s="4">
        <f ca="1">C167*'Total Trip Tables Sup #1'!C156</f>
        <v>0</v>
      </c>
      <c r="D156" s="4">
        <f ca="1">D167*'Total Trip Tables Sup #1'!D156</f>
        <v>0</v>
      </c>
      <c r="E156" s="4">
        <f ca="1">E167*'Total Trip Tables Sup #1'!E156</f>
        <v>0</v>
      </c>
      <c r="F156" s="4">
        <f ca="1">F167*'Total Trip Tables Sup #1'!F156</f>
        <v>0</v>
      </c>
      <c r="G156" s="4">
        <f ca="1">G167*'Total Trip Tables Sup #1'!G156</f>
        <v>0</v>
      </c>
      <c r="H156" s="4">
        <f ca="1">H167*'Total Trip Tables Sup #1'!H156</f>
        <v>0</v>
      </c>
      <c r="I156" s="1">
        <f ca="1">I167*'Total Trip Tables Sup #1'!I156</f>
        <v>0</v>
      </c>
      <c r="J156" s="1">
        <f ca="1">J167*'Total Trip Tables Sup #1'!J156</f>
        <v>0</v>
      </c>
      <c r="K156" s="1">
        <f ca="1">K167*'Total Trip Tables Sup #1'!K156</f>
        <v>0</v>
      </c>
    </row>
    <row r="157" spans="1:11" x14ac:dyDescent="0.2">
      <c r="A157" t="str">
        <f ca="1">OFFSET(Southland_Reference,49,2)</f>
        <v>Other Household Travel</v>
      </c>
      <c r="B157" s="4">
        <f ca="1">B168*'Total Trip Tables Sup #1'!B157</f>
        <v>0.42937289560000003</v>
      </c>
      <c r="C157" s="4">
        <f ca="1">C168*'Total Trip Tables Sup #1'!C157</f>
        <v>0.44717636720736892</v>
      </c>
      <c r="D157" s="4">
        <f ca="1">D168*'Total Trip Tables Sup #1'!D157</f>
        <v>0.46046142362758435</v>
      </c>
      <c r="E157" s="4">
        <f ca="1">E168*'Total Trip Tables Sup #1'!E157</f>
        <v>0.47553482162602778</v>
      </c>
      <c r="F157" s="4">
        <f ca="1">F168*'Total Trip Tables Sup #1'!F157</f>
        <v>0.49090671865079061</v>
      </c>
      <c r="G157" s="4">
        <f ca="1">G168*'Total Trip Tables Sup #1'!G157</f>
        <v>0.50588291185399303</v>
      </c>
      <c r="H157" s="4">
        <f ca="1">H168*'Total Trip Tables Sup #1'!H157</f>
        <v>0.51658679584327527</v>
      </c>
      <c r="I157" s="1">
        <f ca="1">I168*'Total Trip Tables Sup #1'!I157</f>
        <v>0.51155935868950175</v>
      </c>
      <c r="J157" s="1">
        <f ca="1">J168*'Total Trip Tables Sup #1'!J157</f>
        <v>0.50498158026414763</v>
      </c>
      <c r="K157" s="1">
        <f ca="1">K168*'Total Trip Tables Sup #1'!K157</f>
        <v>0.49742953231793335</v>
      </c>
    </row>
    <row r="158" spans="1:11" x14ac:dyDescent="0.2">
      <c r="A158" t="s">
        <v>18</v>
      </c>
    </row>
    <row r="159" spans="1:11" x14ac:dyDescent="0.2">
      <c r="A159" t="str">
        <f ca="1">'Total Trip Tables'!A16</f>
        <v>Pedestrian</v>
      </c>
      <c r="B159" s="58">
        <f ca="1">('Total Trip Tables Sup #1'!B170*'Updated Population'!B$158)/('Total Trip Tables Sup #1'!B159*1000000)</f>
        <v>1</v>
      </c>
      <c r="C159" s="58">
        <f ca="1">('Total Trip Tables Sup #1'!C170*'Updated Population'!C$158)/('Total Trip Tables Sup #1'!C159*1000000)</f>
        <v>1.0009216319640075</v>
      </c>
      <c r="D159" s="58">
        <f ca="1">('Total Trip Tables Sup #1'!D170*'Updated Population'!D$158)/('Total Trip Tables Sup #1'!D159*1000000)</f>
        <v>1.0014079786566443</v>
      </c>
      <c r="E159" s="58">
        <f ca="1">('Total Trip Tables Sup #1'!E170*'Updated Population'!E$158)/('Total Trip Tables Sup #1'!E159*1000000)</f>
        <v>1.0017903502470789</v>
      </c>
      <c r="F159" s="58">
        <f ca="1">('Total Trip Tables Sup #1'!F170*'Updated Population'!F$158)/('Total Trip Tables Sup #1'!F159*1000000)</f>
        <v>1.0020399231415582</v>
      </c>
      <c r="G159" s="58">
        <f ca="1">('Total Trip Tables Sup #1'!G170*'Updated Population'!G$158)/('Total Trip Tables Sup #1'!G159*1000000)</f>
        <v>1.0022211139310122</v>
      </c>
      <c r="H159" s="58">
        <f ca="1">('Total Trip Tables Sup #1'!H170*'Updated Population'!H$158)/('Total Trip Tables Sup #1'!H159*1000000)</f>
        <v>1.0024263338562149</v>
      </c>
      <c r="I159" s="58">
        <f ca="1">('Total Trip Tables Sup #1'!I170*'Updated Population'!I$158)/('Total Trip Tables Sup #1'!I159*1000000)</f>
        <v>1.0026448649202213</v>
      </c>
      <c r="J159" s="58">
        <f ca="1">('Total Trip Tables Sup #1'!J170*'Updated Population'!J$158)/('Total Trip Tables Sup #1'!J159*1000000)</f>
        <v>1.0028759229683619</v>
      </c>
      <c r="K159" s="58">
        <f ca="1">('Total Trip Tables Sup #1'!K170*'Updated Population'!K$158)/('Total Trip Tables Sup #1'!K159*1000000)</f>
        <v>1.0031187301917825</v>
      </c>
    </row>
    <row r="160" spans="1:11" x14ac:dyDescent="0.2">
      <c r="A160" t="str">
        <f ca="1">'Total Trip Tables'!A17</f>
        <v>Cyclist</v>
      </c>
      <c r="B160" s="58">
        <f ca="1">('Total Trip Tables Sup #1'!B171*'Updated Population'!B$158)/('Total Trip Tables Sup #1'!B160*1000000)</f>
        <v>1</v>
      </c>
      <c r="C160" s="58">
        <f ca="1">('Total Trip Tables Sup #1'!C171*'Updated Population'!C$158)/('Total Trip Tables Sup #1'!C160*1000000)</f>
        <v>1.0090099113507938</v>
      </c>
      <c r="D160" s="58">
        <f ca="1">('Total Trip Tables Sup #1'!D171*'Updated Population'!D$158)/('Total Trip Tables Sup #1'!D160*1000000)</f>
        <v>1.0171018580546958</v>
      </c>
      <c r="E160" s="58">
        <f ca="1">('Total Trip Tables Sup #1'!E171*'Updated Population'!E$158)/('Total Trip Tables Sup #1'!E160*1000000)</f>
        <v>1.0244407126351001</v>
      </c>
      <c r="F160" s="58">
        <f ca="1">('Total Trip Tables Sup #1'!F171*'Updated Population'!F$158)/('Total Trip Tables Sup #1'!F160*1000000)</f>
        <v>1.0311784950008338</v>
      </c>
      <c r="G160" s="58">
        <f ca="1">('Total Trip Tables Sup #1'!G171*'Updated Population'!G$158)/('Total Trip Tables Sup #1'!G160*1000000)</f>
        <v>1.0373963666813486</v>
      </c>
      <c r="H160" s="58">
        <f ca="1">('Total Trip Tables Sup #1'!H171*'Updated Population'!H$158)/('Total Trip Tables Sup #1'!H160*1000000)</f>
        <v>1.0434322537023422</v>
      </c>
      <c r="I160" s="58">
        <f ca="1">('Total Trip Tables Sup #1'!I171*'Updated Population'!I$158)/('Total Trip Tables Sup #1'!I160*1000000)</f>
        <v>1.0496103819804117</v>
      </c>
      <c r="J160" s="58">
        <f ca="1">('Total Trip Tables Sup #1'!J171*'Updated Population'!J$158)/('Total Trip Tables Sup #1'!J160*1000000)</f>
        <v>1.0559314630655776</v>
      </c>
      <c r="K160" s="58">
        <f ca="1">('Total Trip Tables Sup #1'!K171*'Updated Population'!K$158)/('Total Trip Tables Sup #1'!K160*1000000)</f>
        <v>1.0623961345123512</v>
      </c>
    </row>
    <row r="161" spans="1:11" x14ac:dyDescent="0.2">
      <c r="A161" t="str">
        <f ca="1">'Total Trip Tables'!A18</f>
        <v>Light Vehicle Driver</v>
      </c>
      <c r="B161" s="58">
        <f ca="1">('Total Trip Tables Sup #1'!B172*'Updated Population'!B$158)/('Total Trip Tables Sup #1'!B161*1000000)</f>
        <v>1</v>
      </c>
      <c r="C161" s="58">
        <f ca="1">('Total Trip Tables Sup #1'!C172*'Updated Population'!C$158)/('Total Trip Tables Sup #1'!C161*1000000)</f>
        <v>1.0011527253624997</v>
      </c>
      <c r="D161" s="58">
        <f ca="1">('Total Trip Tables Sup #1'!D172*'Updated Population'!D$158)/('Total Trip Tables Sup #1'!D161*1000000)</f>
        <v>1.0021212792116272</v>
      </c>
      <c r="E161" s="58">
        <f ca="1">('Total Trip Tables Sup #1'!E172*'Updated Population'!E$158)/('Total Trip Tables Sup #1'!E161*1000000)</f>
        <v>1.0028676373674104</v>
      </c>
      <c r="F161" s="58">
        <f ca="1">('Total Trip Tables Sup #1'!F172*'Updated Population'!F$158)/('Total Trip Tables Sup #1'!F161*1000000)</f>
        <v>1.0035366176729499</v>
      </c>
      <c r="G161" s="58">
        <f ca="1">('Total Trip Tables Sup #1'!G172*'Updated Population'!G$158)/('Total Trip Tables Sup #1'!G161*1000000)</f>
        <v>1.004139277548322</v>
      </c>
      <c r="H161" s="58">
        <f ca="1">('Total Trip Tables Sup #1'!H172*'Updated Population'!H$158)/('Total Trip Tables Sup #1'!H161*1000000)</f>
        <v>1.004714086949992</v>
      </c>
      <c r="I161" s="58">
        <f ca="1">('Total Trip Tables Sup #1'!I172*'Updated Population'!I$158)/('Total Trip Tables Sup #1'!I161*1000000)</f>
        <v>1.0052924443198352</v>
      </c>
      <c r="J161" s="58">
        <f ca="1">('Total Trip Tables Sup #1'!J172*'Updated Population'!J$158)/('Total Trip Tables Sup #1'!J161*1000000)</f>
        <v>1.0058740435114897</v>
      </c>
      <c r="K161" s="58">
        <f ca="1">('Total Trip Tables Sup #1'!K172*'Updated Population'!K$158)/('Total Trip Tables Sup #1'!K161*1000000)</f>
        <v>1.0064585778794555</v>
      </c>
    </row>
    <row r="162" spans="1:11" x14ac:dyDescent="0.2">
      <c r="A162" t="str">
        <f ca="1">'Total Trip Tables'!A19</f>
        <v>Light Vehicle Passenger</v>
      </c>
      <c r="B162" s="58">
        <f ca="1">('Total Trip Tables Sup #1'!B173*'Updated Population'!B$158)/('Total Trip Tables Sup #1'!B162*1000000)</f>
        <v>1.0000000000000002</v>
      </c>
      <c r="C162" s="58">
        <f ca="1">('Total Trip Tables Sup #1'!C173*'Updated Population'!C$158)/('Total Trip Tables Sup #1'!C162*1000000)</f>
        <v>1.0012854301831999</v>
      </c>
      <c r="D162" s="58">
        <f ca="1">('Total Trip Tables Sup #1'!D173*'Updated Population'!D$158)/('Total Trip Tables Sup #1'!D162*1000000)</f>
        <v>1.0022338756861204</v>
      </c>
      <c r="E162" s="58">
        <f ca="1">('Total Trip Tables Sup #1'!E173*'Updated Population'!E$158)/('Total Trip Tables Sup #1'!E162*1000000)</f>
        <v>1.0029328143236138</v>
      </c>
      <c r="F162" s="58">
        <f ca="1">('Total Trip Tables Sup #1'!F173*'Updated Population'!F$158)/('Total Trip Tables Sup #1'!F162*1000000)</f>
        <v>1.0035844122707487</v>
      </c>
      <c r="G162" s="58">
        <f ca="1">('Total Trip Tables Sup #1'!G173*'Updated Population'!G$158)/('Total Trip Tables Sup #1'!G162*1000000)</f>
        <v>1.0041952291044856</v>
      </c>
      <c r="H162" s="58">
        <f ca="1">('Total Trip Tables Sup #1'!H173*'Updated Population'!H$158)/('Total Trip Tables Sup #1'!H162*1000000)</f>
        <v>1.0047821505711749</v>
      </c>
      <c r="I162" s="58">
        <f ca="1">('Total Trip Tables Sup #1'!I173*'Updated Population'!I$158)/('Total Trip Tables Sup #1'!I162*1000000)</f>
        <v>1.0053686572822031</v>
      </c>
      <c r="J162" s="58">
        <f ca="1">('Total Trip Tables Sup #1'!J173*'Updated Population'!J$158)/('Total Trip Tables Sup #1'!J162*1000000)</f>
        <v>1.0059544041457218</v>
      </c>
      <c r="K162" s="58">
        <f ca="1">('Total Trip Tables Sup #1'!K173*'Updated Population'!K$158)/('Total Trip Tables Sup #1'!K162*1000000)</f>
        <v>1.0065390518860708</v>
      </c>
    </row>
    <row r="163" spans="1:11" x14ac:dyDescent="0.2">
      <c r="A163" t="str">
        <f ca="1">'Total Trip Tables'!A20</f>
        <v>Taxi/Vehicle Share</v>
      </c>
      <c r="B163" s="58">
        <f ca="1">('Total Trip Tables Sup #1'!B174*'Updated Population'!B$158)/('Total Trip Tables Sup #1'!B163*1000000)</f>
        <v>1</v>
      </c>
      <c r="C163" s="58">
        <f ca="1">('Total Trip Tables Sup #1'!C174*'Updated Population'!C$158)/('Total Trip Tables Sup #1'!C163*1000000)</f>
        <v>0.99966876229547086</v>
      </c>
      <c r="D163" s="58">
        <f ca="1">('Total Trip Tables Sup #1'!D174*'Updated Population'!D$158)/('Total Trip Tables Sup #1'!D163*1000000)</f>
        <v>0.99860003062273717</v>
      </c>
      <c r="E163" s="58">
        <f ca="1">('Total Trip Tables Sup #1'!E174*'Updated Population'!E$158)/('Total Trip Tables Sup #1'!E163*1000000)</f>
        <v>0.99776247839940935</v>
      </c>
      <c r="F163" s="58">
        <f ca="1">('Total Trip Tables Sup #1'!F174*'Updated Population'!F$158)/('Total Trip Tables Sup #1'!F163*1000000)</f>
        <v>0.99682194050612283</v>
      </c>
      <c r="G163" s="58">
        <f ca="1">('Total Trip Tables Sup #1'!G174*'Updated Population'!G$158)/('Total Trip Tables Sup #1'!G163*1000000)</f>
        <v>0.99582149023915834</v>
      </c>
      <c r="H163" s="58">
        <f ca="1">('Total Trip Tables Sup #1'!H174*'Updated Population'!H$158)/('Total Trip Tables Sup #1'!H163*1000000)</f>
        <v>0.99482706633900819</v>
      </c>
      <c r="I163" s="58">
        <f ca="1">('Total Trip Tables Sup #1'!I174*'Updated Population'!I$158)/('Total Trip Tables Sup #1'!I163*1000000)</f>
        <v>0.99379692305325973</v>
      </c>
      <c r="J163" s="58">
        <f ca="1">('Total Trip Tables Sup #1'!J174*'Updated Population'!J$158)/('Total Trip Tables Sup #1'!J163*1000000)</f>
        <v>0.99273282778056759</v>
      </c>
      <c r="K163" s="58">
        <f ca="1">('Total Trip Tables Sup #1'!K174*'Updated Population'!K$158)/('Total Trip Tables Sup #1'!K163*1000000)</f>
        <v>0.99163654821712588</v>
      </c>
    </row>
    <row r="164" spans="1:11" x14ac:dyDescent="0.2">
      <c r="A164" t="str">
        <f ca="1">'Total Trip Tables'!A21</f>
        <v>Motorcyclist</v>
      </c>
      <c r="B164" s="58">
        <f ca="1">('Total Trip Tables Sup #1'!B175*'Updated Population'!B$158)/('Total Trip Tables Sup #1'!B164*1000000)</f>
        <v>1</v>
      </c>
      <c r="C164" s="58">
        <f ca="1">('Total Trip Tables Sup #1'!C175*'Updated Population'!C$158)/('Total Trip Tables Sup #1'!C164*1000000)</f>
        <v>1.0104948164877445</v>
      </c>
      <c r="D164" s="58">
        <f ca="1">('Total Trip Tables Sup #1'!D175*'Updated Population'!D$158)/('Total Trip Tables Sup #1'!D164*1000000)</f>
        <v>1.0187981402360369</v>
      </c>
      <c r="E164" s="58">
        <f ca="1">('Total Trip Tables Sup #1'!E175*'Updated Population'!E$158)/('Total Trip Tables Sup #1'!E164*1000000)</f>
        <v>1.0253196386375223</v>
      </c>
      <c r="F164" s="58">
        <f ca="1">('Total Trip Tables Sup #1'!F175*'Updated Population'!F$158)/('Total Trip Tables Sup #1'!F164*1000000)</f>
        <v>1.031635787603747</v>
      </c>
      <c r="G164" s="58">
        <f ca="1">('Total Trip Tables Sup #1'!G175*'Updated Population'!G$158)/('Total Trip Tables Sup #1'!G164*1000000)</f>
        <v>1.0377061443741322</v>
      </c>
      <c r="H164" s="58">
        <f ca="1">('Total Trip Tables Sup #1'!H175*'Updated Population'!H$158)/('Total Trip Tables Sup #1'!H164*1000000)</f>
        <v>1.0437521219834009</v>
      </c>
      <c r="I164" s="58">
        <f ca="1">('Total Trip Tables Sup #1'!I175*'Updated Population'!I$158)/('Total Trip Tables Sup #1'!I164*1000000)</f>
        <v>1.0498559836358028</v>
      </c>
      <c r="J164" s="58">
        <f ca="1">('Total Trip Tables Sup #1'!J175*'Updated Population'!J$158)/('Total Trip Tables Sup #1'!J164*1000000)</f>
        <v>1.0560147730945535</v>
      </c>
      <c r="K164" s="58">
        <f ca="1">('Total Trip Tables Sup #1'!K175*'Updated Population'!K$158)/('Total Trip Tables Sup #1'!K164*1000000)</f>
        <v>1.0622254547623251</v>
      </c>
    </row>
    <row r="165" spans="1:11" x14ac:dyDescent="0.2">
      <c r="A165" t="str">
        <f ca="1">'Total Trip Tables'!A22</f>
        <v>Local Train</v>
      </c>
      <c r="B165" s="58">
        <f ca="1">('Total Trip Tables Sup #1'!B176*'Updated Population'!B$158)/('Total Trip Tables Sup #1'!B165*1000000)</f>
        <v>1</v>
      </c>
      <c r="C165" s="58">
        <f ca="1">('Total Trip Tables Sup #1'!C176*'Updated Population'!C$158)/('Total Trip Tables Sup #1'!C165*1000000)</f>
        <v>1.0265940606597859</v>
      </c>
      <c r="D165" s="58">
        <f ca="1">('Total Trip Tables Sup #1'!D176*'Updated Population'!D$158)/('Total Trip Tables Sup #1'!D165*1000000)</f>
        <v>1.0422788545098118</v>
      </c>
      <c r="E165" s="58">
        <f ca="1">('Total Trip Tables Sup #1'!E176*'Updated Population'!E$158)/('Total Trip Tables Sup #1'!E165*1000000)</f>
        <v>1.0459194565744785</v>
      </c>
      <c r="F165" s="58">
        <f ca="1">('Total Trip Tables Sup #1'!F176*'Updated Population'!F$158)/('Total Trip Tables Sup #1'!F165*1000000)</f>
        <v>1.0480526049570056</v>
      </c>
      <c r="G165" s="58">
        <f ca="1">('Total Trip Tables Sup #1'!G176*'Updated Population'!G$158)/('Total Trip Tables Sup #1'!G165*1000000)</f>
        <v>1.0492125268250101</v>
      </c>
      <c r="H165" s="58">
        <f ca="1">('Total Trip Tables Sup #1'!H176*'Updated Population'!H$158)/('Total Trip Tables Sup #1'!H165*1000000)</f>
        <v>1.0503121231467689</v>
      </c>
      <c r="I165" s="58">
        <f ca="1">('Total Trip Tables Sup #1'!I176*'Updated Population'!I$158)/('Total Trip Tables Sup #1'!I165*1000000)</f>
        <v>1.046899719385352</v>
      </c>
      <c r="J165" s="58">
        <f ca="1">('Total Trip Tables Sup #1'!J176*'Updated Population'!J$158)/('Total Trip Tables Sup #1'!J165*1000000)</f>
        <v>1.0435133330962667</v>
      </c>
      <c r="K165" s="58">
        <f ca="1">('Total Trip Tables Sup #1'!K176*'Updated Population'!K$158)/('Total Trip Tables Sup #1'!K165*1000000)</f>
        <v>1.0401516873086447</v>
      </c>
    </row>
    <row r="166" spans="1:11" x14ac:dyDescent="0.2">
      <c r="A166" t="str">
        <f ca="1">'Total Trip Tables'!A23</f>
        <v>Local Bus</v>
      </c>
      <c r="B166" s="58">
        <f ca="1">('Total Trip Tables Sup #1'!B177*'Updated Population'!B$169)/('Total Trip Tables Sup #1'!B166*1000000)</f>
        <v>1</v>
      </c>
      <c r="C166" s="58">
        <f ca="1">('Total Trip Tables Sup #1'!C177*'Updated Population'!C$169)/('Total Trip Tables Sup #1'!C166*1000000)</f>
        <v>1.0017631575018244</v>
      </c>
      <c r="D166" s="58">
        <f ca="1">('Total Trip Tables Sup #1'!D177*'Updated Population'!D$169)/('Total Trip Tables Sup #1'!D166*1000000)</f>
        <v>1.0031719338509422</v>
      </c>
      <c r="E166" s="58">
        <f ca="1">('Total Trip Tables Sup #1'!E177*'Updated Population'!E$169)/('Total Trip Tables Sup #1'!E166*1000000)</f>
        <v>1.0044434328787895</v>
      </c>
      <c r="F166" s="58">
        <f ca="1">('Total Trip Tables Sup #1'!F177*'Updated Population'!F$169)/('Total Trip Tables Sup #1'!F166*1000000)</f>
        <v>1.0057181684830083</v>
      </c>
      <c r="G166" s="58">
        <f ca="1">('Total Trip Tables Sup #1'!G177*'Updated Population'!G$169)/('Total Trip Tables Sup #1'!G166*1000000)</f>
        <v>1.0070120393535009</v>
      </c>
      <c r="H166" s="58">
        <f ca="1">('Total Trip Tables Sup #1'!H177*'Updated Population'!H$169)/('Total Trip Tables Sup #1'!H166*1000000)</f>
        <v>1.0083308877443653</v>
      </c>
      <c r="I166" s="58">
        <f ca="1">('Total Trip Tables Sup #1'!I177*'Updated Population'!I$169)/('Total Trip Tables Sup #1'!I166*1000000)</f>
        <v>1.0096578168062051</v>
      </c>
      <c r="J166" s="58">
        <f ca="1">('Total Trip Tables Sup #1'!J177*'Updated Population'!J$169)/('Total Trip Tables Sup #1'!J166*1000000)</f>
        <v>1.0109925996030056</v>
      </c>
      <c r="K166" s="58">
        <f ca="1">('Total Trip Tables Sup #1'!K177*'Updated Population'!K$169)/('Total Trip Tables Sup #1'!K166*1000000)</f>
        <v>1.0123350101429063</v>
      </c>
    </row>
    <row r="167" spans="1:11" x14ac:dyDescent="0.2">
      <c r="A167" t="str">
        <f ca="1">'Total Trip Tables'!A24</f>
        <v>Local Ferry</v>
      </c>
      <c r="B167" s="58">
        <f ca="1">('Total Trip Tables Sup #1'!B178*'Updated Population'!B$158)/('Total Trip Tables Sup #1'!B167*1000000)</f>
        <v>1</v>
      </c>
      <c r="C167" s="58">
        <f ca="1">('Total Trip Tables Sup #1'!C178*'Updated Population'!C$158)/('Total Trip Tables Sup #1'!C167*1000000)</f>
        <v>0.96928375846928394</v>
      </c>
      <c r="D167" s="58">
        <f ca="1">('Total Trip Tables Sup #1'!D178*'Updated Population'!D$158)/('Total Trip Tables Sup #1'!D167*1000000)</f>
        <v>0.94534548261603435</v>
      </c>
      <c r="E167" s="58">
        <f ca="1">('Total Trip Tables Sup #1'!E178*'Updated Population'!E$158)/('Total Trip Tables Sup #1'!E167*1000000)</f>
        <v>0.92698693231985263</v>
      </c>
      <c r="F167" s="58">
        <f ca="1">('Total Trip Tables Sup #1'!F178*'Updated Population'!F$158)/('Total Trip Tables Sup #1'!F167*1000000)</f>
        <v>0.91038248136929434</v>
      </c>
      <c r="G167" s="58">
        <f ca="1">('Total Trip Tables Sup #1'!G178*'Updated Population'!G$158)/('Total Trip Tables Sup #1'!G167*1000000)</f>
        <v>0.89530707711738966</v>
      </c>
      <c r="H167" s="58">
        <f ca="1">('Total Trip Tables Sup #1'!H178*'Updated Population'!H$158)/('Total Trip Tables Sup #1'!H167*1000000)</f>
        <v>0.88118110773534841</v>
      </c>
      <c r="I167" s="58">
        <f ca="1">('Total Trip Tables Sup #1'!I178*'Updated Population'!I$158)/('Total Trip Tables Sup #1'!I167*1000000)</f>
        <v>0.8674679505446703</v>
      </c>
      <c r="J167" s="58">
        <f ca="1">('Total Trip Tables Sup #1'!J178*'Updated Population'!J$158)/('Total Trip Tables Sup #1'!J167*1000000)</f>
        <v>0.85415613115451416</v>
      </c>
      <c r="K167" s="58">
        <f ca="1">('Total Trip Tables Sup #1'!K178*'Updated Population'!K$158)/('Total Trip Tables Sup #1'!K167*1000000)</f>
        <v>0.84123439841724468</v>
      </c>
    </row>
    <row r="168" spans="1:11" x14ac:dyDescent="0.2">
      <c r="A168" t="str">
        <f ca="1">'Total Trip Tables'!A25</f>
        <v>Other Household Travel</v>
      </c>
      <c r="B168" s="58">
        <f ca="1">('Total Trip Tables Sup #1'!B179*'Updated Population'!B$158)/('Total Trip Tables Sup #1'!B168*1000000)</f>
        <v>1</v>
      </c>
      <c r="C168" s="58">
        <f ca="1">('Total Trip Tables Sup #1'!C179*'Updated Population'!C$158)/('Total Trip Tables Sup #1'!C168*1000000)</f>
        <v>1.0051303354558563</v>
      </c>
      <c r="D168" s="58">
        <f ca="1">('Total Trip Tables Sup #1'!D179*'Updated Population'!D$158)/('Total Trip Tables Sup #1'!D168*1000000)</f>
        <v>1.0099405869016047</v>
      </c>
      <c r="E168" s="58">
        <f ca="1">('Total Trip Tables Sup #1'!E179*'Updated Population'!E$158)/('Total Trip Tables Sup #1'!E168*1000000)</f>
        <v>1.0139500718075503</v>
      </c>
      <c r="F168" s="58">
        <f ca="1">('Total Trip Tables Sup #1'!F179*'Updated Population'!F$158)/('Total Trip Tables Sup #1'!F168*1000000)</f>
        <v>1.0178163894665251</v>
      </c>
      <c r="G168" s="58">
        <f ca="1">('Total Trip Tables Sup #1'!G179*'Updated Population'!G$158)/('Total Trip Tables Sup #1'!G168*1000000)</f>
        <v>1.0215458787144609</v>
      </c>
      <c r="H168" s="58">
        <f ca="1">('Total Trip Tables Sup #1'!H179*'Updated Population'!H$158)/('Total Trip Tables Sup #1'!H168*1000000)</f>
        <v>1.0253109872238204</v>
      </c>
      <c r="I168" s="58">
        <f ca="1">('Total Trip Tables Sup #1'!I179*'Updated Population'!I$158)/('Total Trip Tables Sup #1'!I168*1000000)</f>
        <v>1.0291182887137378</v>
      </c>
      <c r="J168" s="58">
        <f ca="1">('Total Trip Tables Sup #1'!J179*'Updated Population'!J$158)/('Total Trip Tables Sup #1'!J168*1000000)</f>
        <v>1.032966863602242</v>
      </c>
      <c r="K168" s="58">
        <f ca="1">('Total Trip Tables Sup #1'!K179*'Updated Population'!K$158)/('Total Trip Tables Sup #1'!K168*1000000)</f>
        <v>1.0368557512563394</v>
      </c>
    </row>
    <row r="169" spans="1:11" x14ac:dyDescent="0.2">
      <c r="A169" t="s">
        <v>123</v>
      </c>
    </row>
    <row r="170" spans="1:11" x14ac:dyDescent="0.2">
      <c r="A170" t="s">
        <v>34</v>
      </c>
      <c r="B170" s="4">
        <f>'[1]Transition '!B$38</f>
        <v>0</v>
      </c>
      <c r="C170" s="4">
        <f>'[1]Transition '!C$38</f>
        <v>11.712251088164892</v>
      </c>
      <c r="D170" s="4">
        <f>'[1]Transition '!D$38</f>
        <v>28.000682979208626</v>
      </c>
      <c r="E170" s="4">
        <f>'[1]Transition '!E$38</f>
        <v>44.25966355655089</v>
      </c>
      <c r="F170" s="4">
        <f>'[1]Transition '!F$38</f>
        <v>51.980302712231953</v>
      </c>
      <c r="G170" s="4">
        <f>'[1]Transition '!G$38</f>
        <v>59.922255752793333</v>
      </c>
      <c r="H170" s="4">
        <f>'[1]Transition '!H$38</f>
        <v>67.953214092293521</v>
      </c>
      <c r="I170" s="1">
        <f>'[1]Transition '!I$38</f>
        <v>75.847254183959393</v>
      </c>
      <c r="J170" s="1">
        <f>'[1]Transition '!J$38</f>
        <v>84.265331378817223</v>
      </c>
      <c r="K170" s="1">
        <f>'[1]Transition '!K$38</f>
        <v>93.587997994290433</v>
      </c>
    </row>
    <row r="171" spans="1:11" x14ac:dyDescent="0.2">
      <c r="A171" t="s">
        <v>41</v>
      </c>
      <c r="B171" s="4">
        <f>'[2]Transition '!B$38</f>
        <v>0</v>
      </c>
      <c r="C171" s="4">
        <f>'[2]Transition '!C$38</f>
        <v>0.28854635749980773</v>
      </c>
      <c r="D171" s="4">
        <f>'[2]Transition '!D$38</f>
        <v>1.2724689095795387</v>
      </c>
      <c r="E171" s="4">
        <f>'[2]Transition '!E$38</f>
        <v>2.2172709087787457</v>
      </c>
      <c r="F171" s="4">
        <f>'[2]Transition '!F$38</f>
        <v>3.005092854551604</v>
      </c>
      <c r="G171" s="4">
        <f>'[2]Transition '!G$38</f>
        <v>3.7246262519093296</v>
      </c>
      <c r="H171" s="4">
        <f>'[2]Transition '!H$38</f>
        <v>4.497124307268372</v>
      </c>
      <c r="I171" s="1">
        <f>'[2]Transition '!I$38</f>
        <v>5.5516150990482043</v>
      </c>
      <c r="J171" s="1">
        <f>'[2]Transition '!J$38</f>
        <v>6.713934060584716</v>
      </c>
      <c r="K171" s="1">
        <f>'[2]Transition '!K$38</f>
        <v>7.9795899905257315</v>
      </c>
    </row>
    <row r="172" spans="1:11" x14ac:dyDescent="0.2">
      <c r="A172" t="s">
        <v>124</v>
      </c>
      <c r="B172" s="4"/>
      <c r="C172" s="4"/>
      <c r="D172" s="4"/>
      <c r="E172" s="4"/>
      <c r="F172" s="4"/>
      <c r="G172" s="4"/>
      <c r="H172" s="4"/>
      <c r="I172" s="1"/>
      <c r="J172" s="1"/>
      <c r="K172" s="1"/>
    </row>
    <row r="173" spans="1:11" x14ac:dyDescent="0.2">
      <c r="A173" t="s">
        <v>34</v>
      </c>
      <c r="B173" s="4">
        <f>'[1]Transition '!B$41</f>
        <v>0</v>
      </c>
      <c r="C173" s="4">
        <f>'[1]Transition '!C$41</f>
        <v>5.87829619751016</v>
      </c>
      <c r="D173" s="4">
        <f>'[1]Transition '!D$41</f>
        <v>10.861423076137818</v>
      </c>
      <c r="E173" s="4">
        <f>'[1]Transition '!E$41</f>
        <v>15.097914622730613</v>
      </c>
      <c r="F173" s="4">
        <f>'[1]Transition '!F$41</f>
        <v>20.372765188747607</v>
      </c>
      <c r="G173" s="4">
        <f>'[1]Transition '!G$41</f>
        <v>25.756648355021383</v>
      </c>
      <c r="H173" s="4">
        <f>'[1]Transition '!H$41</f>
        <v>31.575560302421323</v>
      </c>
      <c r="I173" s="1">
        <f>'[1]Transition '!I$41</f>
        <v>36.401937959674001</v>
      </c>
      <c r="J173" s="1">
        <f>'[1]Transition '!J$41</f>
        <v>41.694102138376337</v>
      </c>
      <c r="K173" s="1">
        <f>'[1]Transition '!K$41</f>
        <v>47.656216567004762</v>
      </c>
    </row>
    <row r="174" spans="1:11" x14ac:dyDescent="0.2">
      <c r="A174" t="s">
        <v>41</v>
      </c>
      <c r="B174" s="4">
        <f>'[2]Transition '!B$41</f>
        <v>0</v>
      </c>
      <c r="C174" s="4">
        <f>'[2]Transition '!C$41</f>
        <v>0.41188752627259362</v>
      </c>
      <c r="D174" s="4">
        <f>'[2]Transition '!D$41</f>
        <v>3.0562724795702536</v>
      </c>
      <c r="E174" s="4">
        <f>'[2]Transition '!E$41</f>
        <v>4.9048596751611662</v>
      </c>
      <c r="F174" s="4">
        <f>'[2]Transition '!F$41</f>
        <v>5.849175684566692</v>
      </c>
      <c r="G174" s="4">
        <f>'[2]Transition '!G$41</f>
        <v>6.9538134562679588</v>
      </c>
      <c r="H174" s="4">
        <f>'[2]Transition '!H$41</f>
        <v>8.1774492106575707</v>
      </c>
      <c r="I174" s="1">
        <f>'[2]Transition '!I$41</f>
        <v>8.9683522881181439</v>
      </c>
      <c r="J174" s="1">
        <f>'[2]Transition '!J$41</f>
        <v>9.8617007749256409</v>
      </c>
      <c r="K174" s="1">
        <f>'[2]Transition '!K$41</f>
        <v>10.836612184069303</v>
      </c>
    </row>
    <row r="175" spans="1:11" x14ac:dyDescent="0.2">
      <c r="B175" s="4"/>
      <c r="C175" s="4"/>
      <c r="D175" s="4"/>
      <c r="E175" s="4"/>
      <c r="F175" s="4"/>
      <c r="G175" s="4"/>
      <c r="H175" s="4"/>
    </row>
    <row r="176" spans="1:11" x14ac:dyDescent="0.2">
      <c r="B176" s="4"/>
      <c r="C176" s="4"/>
      <c r="D176" s="4"/>
      <c r="E176" s="4"/>
      <c r="F176" s="4"/>
      <c r="G176" s="4"/>
      <c r="H176" s="4"/>
    </row>
    <row r="177" spans="2:8" x14ac:dyDescent="0.2">
      <c r="B177" s="4"/>
      <c r="C177" s="4"/>
      <c r="D177" s="4"/>
      <c r="E177" s="4"/>
      <c r="F177" s="4"/>
      <c r="G177" s="4"/>
      <c r="H177" s="4"/>
    </row>
    <row r="178" spans="2:8" x14ac:dyDescent="0.2">
      <c r="B178" s="4"/>
      <c r="C178" s="4"/>
      <c r="D178" s="4"/>
      <c r="E178" s="4"/>
      <c r="F178" s="4"/>
      <c r="G178" s="4"/>
      <c r="H178" s="4"/>
    </row>
    <row r="179" spans="2:8" x14ac:dyDescent="0.2">
      <c r="B179" s="4"/>
      <c r="C179" s="4"/>
      <c r="D179" s="4"/>
      <c r="E179" s="4"/>
      <c r="F179" s="4"/>
      <c r="G179" s="4"/>
      <c r="H179" s="4"/>
    </row>
    <row r="180" spans="2:8" x14ac:dyDescent="0.2">
      <c r="B180" s="4"/>
      <c r="C180" s="4"/>
      <c r="D180" s="4"/>
      <c r="E180" s="4"/>
      <c r="F180" s="4"/>
      <c r="G180" s="4"/>
      <c r="H180" s="4"/>
    </row>
    <row r="182" spans="2:8" x14ac:dyDescent="0.2">
      <c r="B182" s="4"/>
      <c r="C182" s="4"/>
      <c r="D182" s="4"/>
      <c r="E182" s="4"/>
      <c r="F182" s="4"/>
      <c r="G182" s="4"/>
      <c r="H182" s="4"/>
    </row>
    <row r="183" spans="2:8" x14ac:dyDescent="0.2">
      <c r="B183" s="4"/>
      <c r="C183" s="4"/>
      <c r="D183" s="4"/>
      <c r="E183" s="4"/>
      <c r="F183" s="4"/>
      <c r="G183" s="4"/>
      <c r="H183" s="4"/>
    </row>
    <row r="184" spans="2:8" x14ac:dyDescent="0.2">
      <c r="B184" s="4"/>
      <c r="C184" s="4"/>
      <c r="D184" s="4"/>
      <c r="E184" s="4"/>
      <c r="F184" s="4"/>
      <c r="G184" s="4"/>
      <c r="H184" s="4"/>
    </row>
    <row r="185" spans="2:8" x14ac:dyDescent="0.2">
      <c r="B185" s="4"/>
      <c r="C185" s="4"/>
      <c r="D185" s="4"/>
      <c r="E185" s="4"/>
      <c r="F185" s="4"/>
      <c r="G185" s="4"/>
      <c r="H185" s="4"/>
    </row>
    <row r="186" spans="2:8" x14ac:dyDescent="0.2">
      <c r="B186" s="4"/>
      <c r="C186" s="4"/>
      <c r="D186" s="4"/>
      <c r="E186" s="4"/>
      <c r="F186" s="4"/>
      <c r="G186" s="4"/>
      <c r="H186" s="4"/>
    </row>
    <row r="187" spans="2:8" x14ac:dyDescent="0.2">
      <c r="B187" s="4"/>
      <c r="C187" s="4"/>
      <c r="D187" s="4"/>
      <c r="E187" s="4"/>
      <c r="F187" s="4"/>
      <c r="G187" s="4"/>
      <c r="H187" s="4"/>
    </row>
    <row r="188" spans="2:8" x14ac:dyDescent="0.2">
      <c r="B188" s="4"/>
      <c r="C188" s="4"/>
      <c r="D188" s="4"/>
      <c r="E188" s="4"/>
      <c r="F188" s="4"/>
      <c r="G188" s="4"/>
      <c r="H188" s="4"/>
    </row>
    <row r="189" spans="2:8" x14ac:dyDescent="0.2">
      <c r="B189" s="4"/>
      <c r="C189" s="4"/>
      <c r="D189" s="4"/>
      <c r="E189" s="4"/>
      <c r="F189" s="4"/>
      <c r="G189" s="4"/>
      <c r="H189" s="4"/>
    </row>
    <row r="190" spans="2:8" x14ac:dyDescent="0.2">
      <c r="B190" s="4"/>
      <c r="C190" s="4"/>
      <c r="D190" s="4"/>
      <c r="E190" s="4"/>
      <c r="F190" s="4"/>
      <c r="G190" s="4"/>
      <c r="H190" s="4"/>
    </row>
    <row r="191" spans="2:8" x14ac:dyDescent="0.2">
      <c r="B191" s="4"/>
      <c r="C191" s="4"/>
      <c r="D191" s="4"/>
      <c r="E191" s="4"/>
      <c r="F191" s="4"/>
      <c r="G191" s="4"/>
      <c r="H191" s="4"/>
    </row>
    <row r="193" spans="2:8" x14ac:dyDescent="0.2">
      <c r="B193" s="4"/>
      <c r="C193" s="4"/>
      <c r="D193" s="4"/>
      <c r="E193" s="4"/>
      <c r="F193" s="4"/>
      <c r="G193" s="4"/>
      <c r="H193" s="4"/>
    </row>
    <row r="194" spans="2:8" x14ac:dyDescent="0.2">
      <c r="B194" s="4"/>
      <c r="C194" s="4"/>
      <c r="D194" s="4"/>
      <c r="E194" s="4"/>
      <c r="F194" s="4"/>
      <c r="G194" s="4"/>
      <c r="H194" s="4"/>
    </row>
    <row r="195" spans="2:8" x14ac:dyDescent="0.2">
      <c r="B195" s="4"/>
      <c r="C195" s="4"/>
      <c r="D195" s="4"/>
      <c r="E195" s="4"/>
      <c r="F195" s="4"/>
      <c r="G195" s="4"/>
      <c r="H195" s="4"/>
    </row>
    <row r="196" spans="2:8" x14ac:dyDescent="0.2">
      <c r="B196" s="4"/>
      <c r="C196" s="4"/>
      <c r="D196" s="4"/>
      <c r="E196" s="4"/>
      <c r="F196" s="4"/>
      <c r="G196" s="4"/>
      <c r="H196" s="4"/>
    </row>
    <row r="197" spans="2:8" x14ac:dyDescent="0.2">
      <c r="B197" s="4"/>
      <c r="C197" s="4"/>
      <c r="D197" s="4"/>
      <c r="E197" s="4"/>
      <c r="F197" s="4"/>
      <c r="G197" s="4"/>
      <c r="H197" s="4"/>
    </row>
    <row r="198" spans="2:8" x14ac:dyDescent="0.2">
      <c r="B198" s="4"/>
      <c r="C198" s="4"/>
      <c r="D198" s="4"/>
      <c r="E198" s="4"/>
      <c r="F198" s="4"/>
      <c r="G198" s="4"/>
      <c r="H198" s="4"/>
    </row>
    <row r="199" spans="2:8" x14ac:dyDescent="0.2">
      <c r="B199" s="4"/>
      <c r="C199" s="4"/>
      <c r="D199" s="4"/>
      <c r="E199" s="4"/>
      <c r="F199" s="4"/>
      <c r="G199" s="4"/>
      <c r="H199" s="4"/>
    </row>
    <row r="200" spans="2:8" x14ac:dyDescent="0.2">
      <c r="B200" s="4"/>
      <c r="C200" s="4"/>
      <c r="D200" s="4"/>
      <c r="E200" s="4"/>
      <c r="F200" s="4"/>
      <c r="G200" s="4"/>
      <c r="H200" s="4"/>
    </row>
    <row r="201" spans="2:8" x14ac:dyDescent="0.2">
      <c r="B201" s="4"/>
      <c r="C201" s="4"/>
      <c r="D201" s="4"/>
      <c r="E201" s="4"/>
      <c r="F201" s="4"/>
      <c r="G201" s="4"/>
      <c r="H201" s="4"/>
    </row>
    <row r="202" spans="2:8" x14ac:dyDescent="0.2">
      <c r="B202" s="4"/>
      <c r="C202" s="4"/>
      <c r="D202" s="4"/>
      <c r="E202" s="4"/>
      <c r="F202" s="4"/>
      <c r="G202" s="4"/>
      <c r="H202" s="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T19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24" sqref="K24"/>
    </sheetView>
  </sheetViews>
  <sheetFormatPr defaultRowHeight="12.75" x14ac:dyDescent="0.2"/>
  <cols>
    <col min="1" max="1" width="26.140625" customWidth="1"/>
  </cols>
  <sheetData>
    <row r="2" spans="1:11" x14ac:dyDescent="0.2">
      <c r="A2" s="3" t="s">
        <v>17</v>
      </c>
    </row>
    <row r="3" spans="1:11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">
      <c r="A4" t="str">
        <f ca="1">OFFSET(Northland_Reference,0,0)</f>
        <v>01 NORTHLAND</v>
      </c>
    </row>
    <row r="5" spans="1:11" x14ac:dyDescent="0.2">
      <c r="A5" t="str">
        <f ca="1">OFFSET(Northland_Reference,0,2)</f>
        <v>Pedestrian</v>
      </c>
      <c r="B5" s="4">
        <f ca="1">OFFSET(Northland_Reference,0,5)</f>
        <v>23.706864376999999</v>
      </c>
      <c r="C5" s="4">
        <f ca="1">$B5*('Updated Population'!C$4/'Updated Population'!$B$4)*('Total Trip Tables Sup #1'!C170/'Total Trip Tables Sup #1'!$B170)</f>
        <v>25.196755411988903</v>
      </c>
      <c r="D5" s="4">
        <f ca="1">$B5*('Updated Population'!D$4/'Updated Population'!$B$4)*('Total Trip Tables Sup #1'!D170/'Total Trip Tables Sup #1'!$B170)</f>
        <v>26.059114754446441</v>
      </c>
      <c r="E5" s="4">
        <f ca="1">$B5*('Updated Population'!E$4/'Updated Population'!$B$4)*('Total Trip Tables Sup #1'!E170/'Total Trip Tables Sup #1'!$B170)</f>
        <v>26.623787024671874</v>
      </c>
      <c r="F5" s="4">
        <f ca="1">$B5*('Updated Population'!F$4/'Updated Population'!$B$4)*('Total Trip Tables Sup #1'!F170/'Total Trip Tables Sup #1'!$B170)</f>
        <v>26.889280179992223</v>
      </c>
      <c r="G5" s="4">
        <f ca="1">$B5*('Updated Population'!G$4/'Updated Population'!$B$4)*('Total Trip Tables Sup #1'!G170/'Total Trip Tables Sup #1'!$B170)</f>
        <v>27.000712834618909</v>
      </c>
      <c r="H5" s="4">
        <f ca="1">$B5*('Updated Population'!H$4/'Updated Population'!$B$4)*('Total Trip Tables Sup #1'!H170/'Total Trip Tables Sup #1'!$B170)</f>
        <v>26.963436304195159</v>
      </c>
      <c r="I5" s="1">
        <f ca="1">$B5*('Updated Population'!I$4/'Updated Population'!$B$4)*('Total Trip Tables Sup #1'!I170/'Total Trip Tables Sup #1'!$B170)</f>
        <v>27.091321065250828</v>
      </c>
      <c r="J5" s="1">
        <f ca="1">$B5*('Updated Population'!J$4/'Updated Population'!$B$4)*('Total Trip Tables Sup #1'!J170/'Total Trip Tables Sup #1'!$B170)</f>
        <v>27.133167017498611</v>
      </c>
      <c r="K5" s="1">
        <f ca="1">$B5*('Updated Population'!K$4/'Updated Population'!$B$4)*('Total Trip Tables Sup #1'!K170/'Total Trip Tables Sup #1'!$B170)</f>
        <v>27.116676609237143</v>
      </c>
    </row>
    <row r="6" spans="1:11" x14ac:dyDescent="0.2">
      <c r="A6" t="str">
        <f ca="1">OFFSET(Northland_Reference,7,2)</f>
        <v>Cyclist</v>
      </c>
      <c r="B6" s="4">
        <f ca="1">OFFSET(Northland_Reference,7,5)</f>
        <v>0.66592947719999995</v>
      </c>
      <c r="C6" s="4">
        <f ca="1">$B6*('Updated Population'!C$4/'Updated Population'!$B$4)*('Total Trip Tables Sup #1'!C171/'Total Trip Tables Sup #1'!$B171)</f>
        <v>0.70077550207322226</v>
      </c>
      <c r="D6" s="4">
        <f ca="1">$B6*('Updated Population'!D$4/'Updated Population'!$B$4)*('Total Trip Tables Sup #1'!D171/'Total Trip Tables Sup #1'!$B171)</f>
        <v>0.71346581904673845</v>
      </c>
      <c r="E6" s="4">
        <f ca="1">$B6*('Updated Population'!E$4/'Updated Population'!$B$4)*('Total Trip Tables Sup #1'!E171/'Total Trip Tables Sup #1'!$B171)</f>
        <v>0.71766029948796051</v>
      </c>
      <c r="F6" s="4">
        <f ca="1">$B6*('Updated Population'!F$4/'Updated Population'!$B$4)*('Total Trip Tables Sup #1'!F171/'Total Trip Tables Sup #1'!$B171)</f>
        <v>0.7190687903814057</v>
      </c>
      <c r="G6" s="4">
        <f ca="1">$B6*('Updated Population'!G$4/'Updated Population'!$B$4)*('Total Trip Tables Sup #1'!G171/'Total Trip Tables Sup #1'!$B171)</f>
        <v>0.71869250702422882</v>
      </c>
      <c r="H6" s="4">
        <f ca="1">$B6*('Updated Population'!H$4/'Updated Population'!$B$4)*('Total Trip Tables Sup #1'!H171/'Total Trip Tables Sup #1'!$B171)</f>
        <v>0.71611106627553356</v>
      </c>
      <c r="I6" s="1">
        <f ca="1">$B6*('Updated Population'!I$4/'Updated Population'!$B$4)*('Total Trip Tables Sup #1'!I171/'Total Trip Tables Sup #1'!$B171)</f>
        <v>0.7195075062384072</v>
      </c>
      <c r="J6" s="1">
        <f ca="1">$B6*('Updated Population'!J$4/'Updated Population'!$B$4)*('Total Trip Tables Sup #1'!J171/'Total Trip Tables Sup #1'!$B171)</f>
        <v>0.72061887606328412</v>
      </c>
      <c r="K6" s="1">
        <f ca="1">$B6*('Updated Population'!K$4/'Updated Population'!$B$4)*('Total Trip Tables Sup #1'!K171/'Total Trip Tables Sup #1'!$B171)</f>
        <v>0.72018091393893879</v>
      </c>
    </row>
    <row r="7" spans="1:11" x14ac:dyDescent="0.2">
      <c r="A7" t="str">
        <f ca="1">OFFSET(Northland_Reference,14,2)</f>
        <v>Light Vehicle Driver</v>
      </c>
      <c r="B7" s="4">
        <f ca="1">OFFSET(Northland_Reference,14,5)</f>
        <v>86.333691700000003</v>
      </c>
      <c r="C7" s="4">
        <f ca="1">$B7*('Updated Population'!C$4/'Updated Population'!$B$4)*('Total Trip Tables Sup #1'!C172/'Total Trip Tables Sup #1'!$B172)</f>
        <v>94.214908947495047</v>
      </c>
      <c r="D7" s="4">
        <f ca="1">$B7*('Updated Population'!D$4/'Updated Population'!$B$4)*('Total Trip Tables Sup #1'!D172/'Total Trip Tables Sup #1'!$B172)</f>
        <v>99.014547296294154</v>
      </c>
      <c r="E7" s="4">
        <f ca="1">$B7*('Updated Population'!E$4/'Updated Population'!$B$4)*('Total Trip Tables Sup #1'!E172/'Total Trip Tables Sup #1'!$B172)</f>
        <v>101.8707225358945</v>
      </c>
      <c r="F7" s="4">
        <f ca="1">$B7*('Updated Population'!F$4/'Updated Population'!$B$4)*('Total Trip Tables Sup #1'!F172/'Total Trip Tables Sup #1'!$B172)</f>
        <v>104.05666246859793</v>
      </c>
      <c r="G7" s="4">
        <f ca="1">$B7*('Updated Population'!G$4/'Updated Population'!$B$4)*('Total Trip Tables Sup #1'!G172/'Total Trip Tables Sup #1'!$B172)</f>
        <v>105.13004963831798</v>
      </c>
      <c r="H7" s="4">
        <f ca="1">$B7*('Updated Population'!H$4/'Updated Population'!$B$4)*('Total Trip Tables Sup #1'!H172/'Total Trip Tables Sup #1'!$B172)</f>
        <v>105.64743310176702</v>
      </c>
      <c r="I7" s="1">
        <f ca="1">$B7*('Updated Population'!I$4/'Updated Population'!$B$4)*('Total Trip Tables Sup #1'!I172/'Total Trip Tables Sup #1'!$B172)</f>
        <v>106.14850783815965</v>
      </c>
      <c r="J7" s="1">
        <f ca="1">$B7*('Updated Population'!J$4/'Updated Population'!$B$4)*('Total Trip Tables Sup #1'!J172/'Total Trip Tables Sup #1'!$B172)</f>
        <v>106.3124675571955</v>
      </c>
      <c r="K7" s="1">
        <f ca="1">$B7*('Updated Population'!K$4/'Updated Population'!$B$4)*('Total Trip Tables Sup #1'!K172/'Total Trip Tables Sup #1'!$B172)</f>
        <v>106.24785526950454</v>
      </c>
    </row>
    <row r="8" spans="1:11" x14ac:dyDescent="0.2">
      <c r="A8" t="str">
        <f ca="1">OFFSET(Northland_Reference,21,2)</f>
        <v>Light Vehicle Passenger</v>
      </c>
      <c r="B8" s="4">
        <f ca="1">OFFSET(Northland_Reference,21,5)</f>
        <v>50.299563868</v>
      </c>
      <c r="C8" s="4">
        <f ca="1">$B8*('Updated Population'!C$4/'Updated Population'!$B$4)*('Total Trip Tables Sup #1'!C173/'Total Trip Tables Sup #1'!$B173)</f>
        <v>52.204708951542827</v>
      </c>
      <c r="D8" s="4">
        <f ca="1">$B8*('Updated Population'!D$4/'Updated Population'!$B$4)*('Total Trip Tables Sup #1'!D173/'Total Trip Tables Sup #1'!$B173)</f>
        <v>53.223096333370023</v>
      </c>
      <c r="E8" s="4">
        <f ca="1">$B8*('Updated Population'!E$4/'Updated Population'!$B$4)*('Total Trip Tables Sup #1'!E173/'Total Trip Tables Sup #1'!$B173)</f>
        <v>53.646223229057313</v>
      </c>
      <c r="F8" s="4">
        <f ca="1">$B8*('Updated Population'!F$4/'Updated Population'!$B$4)*('Total Trip Tables Sup #1'!F173/'Total Trip Tables Sup #1'!$B173)</f>
        <v>53.827554731038255</v>
      </c>
      <c r="G8" s="4">
        <f ca="1">$B8*('Updated Population'!G$4/'Updated Population'!$B$4)*('Total Trip Tables Sup #1'!G173/'Total Trip Tables Sup #1'!$B173)</f>
        <v>53.683582781341087</v>
      </c>
      <c r="H8" s="4">
        <f ca="1">$B8*('Updated Population'!H$4/'Updated Population'!$B$4)*('Total Trip Tables Sup #1'!H173/'Total Trip Tables Sup #1'!$B173)</f>
        <v>53.199802324198942</v>
      </c>
      <c r="I8" s="1">
        <f ca="1">$B8*('Updated Population'!I$4/'Updated Population'!$B$4)*('Total Trip Tables Sup #1'!I173/'Total Trip Tables Sup #1'!$B173)</f>
        <v>53.452123427921926</v>
      </c>
      <c r="J8" s="1">
        <f ca="1">$B8*('Updated Population'!J$4/'Updated Population'!$B$4)*('Total Trip Tables Sup #1'!J173/'Total Trip Tables Sup #1'!$B173)</f>
        <v>53.534686954415157</v>
      </c>
      <c r="K8" s="1">
        <f ca="1">$B8*('Updated Population'!K$4/'Updated Population'!$B$4)*('Total Trip Tables Sup #1'!K173/'Total Trip Tables Sup #1'!$B173)</f>
        <v>53.502150802499727</v>
      </c>
    </row>
    <row r="9" spans="1:11" x14ac:dyDescent="0.2">
      <c r="A9" t="str">
        <f ca="1">OFFSET(Northland_Reference,28,2)</f>
        <v>Taxi/Vehicle Share</v>
      </c>
      <c r="B9" s="4">
        <f ca="1">OFFSET(Northland_Reference,28,5)</f>
        <v>0.18126348840000001</v>
      </c>
      <c r="C9" s="4">
        <f ca="1">$B9*('Updated Population'!C$4/'Updated Population'!$B$4)*('Total Trip Tables Sup #1'!C174/'Total Trip Tables Sup #1'!$B174)</f>
        <v>0.20704127187736204</v>
      </c>
      <c r="D9" s="4">
        <f ca="1">$B9*('Updated Population'!D$4/'Updated Population'!$B$4)*('Total Trip Tables Sup #1'!D174/'Total Trip Tables Sup #1'!$B174)</f>
        <v>0.22636242536292064</v>
      </c>
      <c r="E9" s="4">
        <f ca="1">$B9*('Updated Population'!E$4/'Updated Population'!$B$4)*('Total Trip Tables Sup #1'!E174/'Total Trip Tables Sup #1'!$B174)</f>
        <v>0.24326883067896163</v>
      </c>
      <c r="F9" s="4">
        <f ca="1">$B9*('Updated Population'!F$4/'Updated Population'!$B$4)*('Total Trip Tables Sup #1'!F174/'Total Trip Tables Sup #1'!$B174)</f>
        <v>0.25735145567904261</v>
      </c>
      <c r="G9" s="4">
        <f ca="1">$B9*('Updated Population'!G$4/'Updated Population'!$B$4)*('Total Trip Tables Sup #1'!G174/'Total Trip Tables Sup #1'!$B174)</f>
        <v>0.26779763255211736</v>
      </c>
      <c r="H9" s="4">
        <f ca="1">$B9*('Updated Population'!H$4/'Updated Population'!$B$4)*('Total Trip Tables Sup #1'!H174/'Total Trip Tables Sup #1'!$B174)</f>
        <v>0.27723313031185098</v>
      </c>
      <c r="I9" s="1">
        <f ca="1">$B9*('Updated Population'!I$4/'Updated Population'!$B$4)*('Total Trip Tables Sup #1'!I174/'Total Trip Tables Sup #1'!$B174)</f>
        <v>0.27854801808159452</v>
      </c>
      <c r="J9" s="1">
        <f ca="1">$B9*('Updated Population'!J$4/'Updated Population'!$B$4)*('Total Trip Tables Sup #1'!J174/'Total Trip Tables Sup #1'!$B174)</f>
        <v>0.27897827052425994</v>
      </c>
      <c r="K9" s="1">
        <f ca="1">$B9*('Updated Population'!K$4/'Updated Population'!$B$4)*('Total Trip Tables Sup #1'!K174/'Total Trip Tables Sup #1'!$B174)</f>
        <v>0.27880871915659045</v>
      </c>
    </row>
    <row r="10" spans="1:11" x14ac:dyDescent="0.2">
      <c r="A10" t="str">
        <f ca="1">OFFSET(Northland_Reference,35,2)</f>
        <v>Motorcyclist</v>
      </c>
      <c r="B10" s="4">
        <f ca="1">OFFSET(Northland_Reference,35,5)</f>
        <v>1.4141085707000001</v>
      </c>
      <c r="C10" s="4">
        <f ca="1">$B10*('Updated Population'!C$4/'Updated Population'!$B$4)*('Total Trip Tables Sup #1'!C175/'Total Trip Tables Sup #1'!$B175)</f>
        <v>1.5015502889857932</v>
      </c>
      <c r="D10" s="4">
        <f ca="1">$B10*('Updated Population'!D$4/'Updated Population'!$B$4)*('Total Trip Tables Sup #1'!D175/'Total Trip Tables Sup #1'!$B175)</f>
        <v>1.5419317807309658</v>
      </c>
      <c r="E10" s="4">
        <f ca="1">$B10*('Updated Population'!E$4/'Updated Population'!$B$4)*('Total Trip Tables Sup #1'!E175/'Total Trip Tables Sup #1'!$B175)</f>
        <v>1.5529540956002834</v>
      </c>
      <c r="F10" s="4">
        <f ca="1">$B10*('Updated Population'!F$4/'Updated Population'!$B$4)*('Total Trip Tables Sup #1'!F175/'Total Trip Tables Sup #1'!$B175)</f>
        <v>1.5523195418701576</v>
      </c>
      <c r="G10" s="4">
        <f ca="1">$B10*('Updated Population'!G$4/'Updated Population'!$B$4)*('Total Trip Tables Sup #1'!G175/'Total Trip Tables Sup #1'!$B175)</f>
        <v>1.5235289476162286</v>
      </c>
      <c r="H10" s="4">
        <f ca="1">$B10*('Updated Population'!H$4/'Updated Population'!$B$4)*('Total Trip Tables Sup #1'!H175/'Total Trip Tables Sup #1'!$B175)</f>
        <v>1.4852818343082081</v>
      </c>
      <c r="I10" s="1">
        <f ca="1">$B10*('Updated Population'!I$4/'Updated Population'!$B$4)*('Total Trip Tables Sup #1'!I175/'Total Trip Tables Sup #1'!$B175)</f>
        <v>1.4923263708553274</v>
      </c>
      <c r="J10" s="1">
        <f ca="1">$B10*('Updated Population'!J$4/'Updated Population'!$B$4)*('Total Trip Tables Sup #1'!J175/'Total Trip Tables Sup #1'!$B175)</f>
        <v>1.4946314566022538</v>
      </c>
      <c r="K10" s="1">
        <f ca="1">$B10*('Updated Population'!K$4/'Updated Population'!$B$4)*('Total Trip Tables Sup #1'!K175/'Total Trip Tables Sup #1'!$B175)</f>
        <v>1.4937230818849236</v>
      </c>
    </row>
    <row r="11" spans="1:11" x14ac:dyDescent="0.2">
      <c r="A11" t="str">
        <f ca="1">OFFSET(Auckland_Reference,42,2)</f>
        <v>Local Train</v>
      </c>
      <c r="B11" s="4">
        <v>0</v>
      </c>
      <c r="C11" s="4">
        <f ca="1">$B11*('Updated Population'!C$4/'Updated Population'!$B$4)*('Total Trip Tables Sup #1'!C176/'Total Trip Tables Sup #1'!$B176)</f>
        <v>0</v>
      </c>
      <c r="D11" s="4">
        <f ca="1">$B11*('Updated Population'!D$4/'Updated Population'!$B$4)*('Total Trip Tables Sup #1'!D176/'Total Trip Tables Sup #1'!$B176)</f>
        <v>0</v>
      </c>
      <c r="E11" s="4">
        <f ca="1">$B11*('Updated Population'!E$4/'Updated Population'!$B$4)*('Total Trip Tables Sup #1'!E176/'Total Trip Tables Sup #1'!$B176)</f>
        <v>0</v>
      </c>
      <c r="F11" s="4">
        <f ca="1">$B11*('Updated Population'!F$4/'Updated Population'!$B$4)*('Total Trip Tables Sup #1'!F176/'Total Trip Tables Sup #1'!$B176)</f>
        <v>0</v>
      </c>
      <c r="G11" s="4">
        <f ca="1">$B11*('Updated Population'!G$4/'Updated Population'!$B$4)*('Total Trip Tables Sup #1'!G176/'Total Trip Tables Sup #1'!$B176)</f>
        <v>0</v>
      </c>
      <c r="H11" s="4">
        <f ca="1">$B11*('Updated Population'!H$4/'Updated Population'!$B$4)*('Total Trip Tables Sup #1'!H176/'Total Trip Tables Sup #1'!$B176)</f>
        <v>0</v>
      </c>
      <c r="I11" s="1">
        <f ca="1">$B11*('Updated Population'!I$4/'Updated Population'!$B$4)*('Total Trip Tables Sup #1'!I176/'Total Trip Tables Sup #1'!$B176)</f>
        <v>0</v>
      </c>
      <c r="J11" s="1">
        <f ca="1">$B11*('Updated Population'!J$4/'Updated Population'!$B$4)*('Total Trip Tables Sup #1'!J176/'Total Trip Tables Sup #1'!$B176)</f>
        <v>0</v>
      </c>
      <c r="K11" s="1">
        <f ca="1">$B11*('Updated Population'!K$4/'Updated Population'!$B$4)*('Total Trip Tables Sup #1'!K176/'Total Trip Tables Sup #1'!$B176)</f>
        <v>0</v>
      </c>
    </row>
    <row r="12" spans="1:11" x14ac:dyDescent="0.2">
      <c r="A12" t="str">
        <f ca="1">OFFSET(Northland_Reference,42,2)</f>
        <v>Local Bus</v>
      </c>
      <c r="B12" s="4">
        <f ca="1">OFFSET(Northland_Reference,42,5)</f>
        <v>3.6339219343</v>
      </c>
      <c r="C12" s="4">
        <f ca="1">$B12*('Updated Population'!C$4/'Updated Population'!$B$4)*('Total Trip Tables Sup #1'!C177/'Total Trip Tables Sup #1'!$B177)</f>
        <v>3.611692761700994</v>
      </c>
      <c r="D12" s="4">
        <f ca="1">$B12*('Updated Population'!D$4/'Updated Population'!$B$4)*('Total Trip Tables Sup #1'!D177/'Total Trip Tables Sup #1'!$B177)</f>
        <v>3.5719714506743725</v>
      </c>
      <c r="E12" s="4">
        <f ca="1">$B12*('Updated Population'!E$4/'Updated Population'!$B$4)*('Total Trip Tables Sup #1'!E177/'Total Trip Tables Sup #1'!$B177)</f>
        <v>3.5516559582789156</v>
      </c>
      <c r="F12" s="4">
        <f ca="1">$B12*('Updated Population'!F$4/'Updated Population'!$B$4)*('Total Trip Tables Sup #1'!F177/'Total Trip Tables Sup #1'!$B177)</f>
        <v>3.4876728771084013</v>
      </c>
      <c r="G12" s="4">
        <f ca="1">$B12*('Updated Population'!G$4/'Updated Population'!$B$4)*('Total Trip Tables Sup #1'!G177/'Total Trip Tables Sup #1'!$B177)</f>
        <v>3.4447961648167089</v>
      </c>
      <c r="H12" s="4">
        <f ca="1">$B12*('Updated Population'!H$4/'Updated Population'!$B$4)*('Total Trip Tables Sup #1'!H177/'Total Trip Tables Sup #1'!$B177)</f>
        <v>3.3817166517734059</v>
      </c>
      <c r="I12" s="1">
        <f ca="1">$B12*('Updated Population'!I$4/'Updated Population'!$B$4)*('Total Trip Tables Sup #1'!I177/'Total Trip Tables Sup #1'!$B177)</f>
        <v>3.3977557805065164</v>
      </c>
      <c r="J12" s="1">
        <f ca="1">$B12*('Updated Population'!J$4/'Updated Population'!$B$4)*('Total Trip Tables Sup #1'!J177/'Total Trip Tables Sup #1'!$B177)</f>
        <v>3.4030040415934621</v>
      </c>
      <c r="K12" s="1">
        <f ca="1">$B12*('Updated Population'!K$4/'Updated Population'!$B$4)*('Total Trip Tables Sup #1'!K177/'Total Trip Tables Sup #1'!$B177)</f>
        <v>3.4009358375417529</v>
      </c>
    </row>
    <row r="13" spans="1:11" x14ac:dyDescent="0.2">
      <c r="A13" t="str">
        <f ca="1">OFFSET(Northland_Reference,49,2)</f>
        <v>Local Ferry</v>
      </c>
      <c r="B13" s="4">
        <f ca="1">OFFSET(Northland_Reference,49,5)</f>
        <v>4.69171767E-2</v>
      </c>
      <c r="C13" s="4">
        <f ca="1">$B13*('Updated Population'!C$4/'Updated Population'!$B$4)*('Total Trip Tables Sup #1'!C178/'Total Trip Tables Sup #1'!$B178)</f>
        <v>5.3919813167782341E-2</v>
      </c>
      <c r="D13" s="4">
        <f ca="1">$B13*('Updated Population'!D$4/'Updated Population'!$B$4)*('Total Trip Tables Sup #1'!D178/'Total Trip Tables Sup #1'!$B178)</f>
        <v>5.9378762194617851E-2</v>
      </c>
      <c r="E13" s="4">
        <f ca="1">$B13*('Updated Population'!E$4/'Updated Population'!$B$4)*('Total Trip Tables Sup #1'!E178/'Total Trip Tables Sup #1'!$B178)</f>
        <v>6.3472539925236868E-2</v>
      </c>
      <c r="F13" s="4">
        <f ca="1">$B13*('Updated Population'!F$4/'Updated Population'!$B$4)*('Total Trip Tables Sup #1'!F178/'Total Trip Tables Sup #1'!$B178)</f>
        <v>6.6846556643819013E-2</v>
      </c>
      <c r="G13" s="4">
        <f ca="1">$B13*('Updated Population'!G$4/'Updated Population'!$B$4)*('Total Trip Tables Sup #1'!G178/'Total Trip Tables Sup #1'!$B178)</f>
        <v>7.16422323091849E-2</v>
      </c>
      <c r="H13" s="4">
        <f ca="1">$B13*('Updated Population'!H$4/'Updated Population'!$B$4)*('Total Trip Tables Sup #1'!H178/'Total Trip Tables Sup #1'!$B178)</f>
        <v>7.6035474400118305E-2</v>
      </c>
      <c r="I13" s="1">
        <f ca="1">$B13*('Updated Population'!I$4/'Updated Population'!$B$4)*('Total Trip Tables Sup #1'!I178/'Total Trip Tables Sup #1'!$B178)</f>
        <v>7.6396102710460947E-2</v>
      </c>
      <c r="J13" s="1">
        <f ca="1">$B13*('Updated Population'!J$4/'Updated Population'!$B$4)*('Total Trip Tables Sup #1'!J178/'Total Trip Tables Sup #1'!$B178)</f>
        <v>7.6514106098270598E-2</v>
      </c>
      <c r="K13" s="1">
        <f ca="1">$B13*('Updated Population'!K$4/'Updated Population'!$B$4)*('Total Trip Tables Sup #1'!K178/'Total Trip Tables Sup #1'!$B178)</f>
        <v>7.6467604012962695E-2</v>
      </c>
    </row>
    <row r="14" spans="1:11" x14ac:dyDescent="0.2">
      <c r="A14" t="str">
        <f ca="1">OFFSET(Northland_Reference,56,2)</f>
        <v>Other Household Travel</v>
      </c>
      <c r="B14" s="4">
        <f ca="1">OFFSET(Northland_Reference,56,5)</f>
        <v>0.1184310407</v>
      </c>
      <c r="C14" s="4">
        <f ca="1">$B14*('Updated Population'!C$4/'Updated Population'!$B$4)*('Total Trip Tables Sup #1'!C179/'Total Trip Tables Sup #1'!$B179)</f>
        <v>0.12697338581123568</v>
      </c>
      <c r="D14" s="4">
        <f ca="1">$B14*('Updated Population'!D$4/'Updated Population'!$B$4)*('Total Trip Tables Sup #1'!D179/'Total Trip Tables Sup #1'!$B179)</f>
        <v>0.13422529503574221</v>
      </c>
      <c r="E14" s="4">
        <f ca="1">$B14*('Updated Population'!E$4/'Updated Population'!$B$4)*('Total Trip Tables Sup #1'!E179/'Total Trip Tables Sup #1'!$B179)</f>
        <v>0.1413572263856479</v>
      </c>
      <c r="F14" s="4">
        <f ca="1">$B14*('Updated Population'!F$4/'Updated Population'!$B$4)*('Total Trip Tables Sup #1'!F179/'Total Trip Tables Sup #1'!$B179)</f>
        <v>0.14837845438509295</v>
      </c>
      <c r="G14" s="4">
        <f ca="1">$B14*('Updated Population'!G$4/'Updated Population'!$B$4)*('Total Trip Tables Sup #1'!G179/'Total Trip Tables Sup #1'!$B179)</f>
        <v>0.15533093506835363</v>
      </c>
      <c r="H14" s="4">
        <f ca="1">$B14*('Updated Population'!H$4/'Updated Population'!$B$4)*('Total Trip Tables Sup #1'!H179/'Total Trip Tables Sup #1'!$B179)</f>
        <v>0.16094052321120098</v>
      </c>
      <c r="I14" s="1">
        <f ca="1">$B14*('Updated Population'!I$4/'Updated Population'!$B$4)*('Total Trip Tables Sup #1'!I179/'Total Trip Tables Sup #1'!$B179)</f>
        <v>0.16170384729656012</v>
      </c>
      <c r="J14" s="1">
        <f ca="1">$B14*('Updated Population'!J$4/'Updated Population'!$B$4)*('Total Trip Tables Sup #1'!J179/'Total Trip Tables Sup #1'!$B179)</f>
        <v>0.16195361922373772</v>
      </c>
      <c r="K14" s="1">
        <f ca="1">$B14*('Updated Population'!K$4/'Updated Population'!$B$4)*('Total Trip Tables Sup #1'!K179/'Total Trip Tables Sup #1'!$B179)</f>
        <v>0.16185519056265663</v>
      </c>
    </row>
    <row r="15" spans="1:11" x14ac:dyDescent="0.2">
      <c r="A15" t="str">
        <f ca="1">OFFSET(Auckland_Reference,0,0)</f>
        <v>02 AUCKLAND</v>
      </c>
      <c r="I15" s="1"/>
      <c r="J15" s="1"/>
      <c r="K15" s="1"/>
    </row>
    <row r="16" spans="1:11" x14ac:dyDescent="0.2">
      <c r="A16" t="str">
        <f ca="1">OFFSET(Auckland_Reference,0,2)</f>
        <v>Pedestrian</v>
      </c>
      <c r="B16" s="4">
        <f ca="1">OFFSET(Auckland_Reference,0,5)</f>
        <v>324.81096006000001</v>
      </c>
      <c r="C16" s="4">
        <f ca="1">$B16*('Updated Population'!C$15/'Updated Population'!$B$15)*('Total Trip Tables Sup #1'!C170/'Total Trip Tables Sup #1'!$B170)</f>
        <v>367.57064135007931</v>
      </c>
      <c r="D16" s="4">
        <f ca="1">$B16*('Updated Population'!D$15/'Updated Population'!$B$15)*('Total Trip Tables Sup #1'!D170/'Total Trip Tables Sup #1'!$B170)</f>
        <v>399.46509835323133</v>
      </c>
      <c r="E16" s="4">
        <f ca="1">$B16*('Updated Population'!E$15/'Updated Population'!$B$15)*('Total Trip Tables Sup #1'!E170/'Total Trip Tables Sup #1'!$B170)</f>
        <v>424.55623151592681</v>
      </c>
      <c r="F16" s="4">
        <f ca="1">$B16*('Updated Population'!F$15/'Updated Population'!$B$15)*('Total Trip Tables Sup #1'!F170/'Total Trip Tables Sup #1'!$B170)</f>
        <v>445.83538478789177</v>
      </c>
      <c r="G16" s="4">
        <f ca="1">$B16*('Updated Population'!G$15/'Updated Population'!$B$15)*('Total Trip Tables Sup #1'!G170/'Total Trip Tables Sup #1'!$B170)</f>
        <v>464.86943021626587</v>
      </c>
      <c r="H16" s="4">
        <f ca="1">$B16*('Updated Population'!H$15/'Updated Population'!$B$15)*('Total Trip Tables Sup #1'!H170/'Total Trip Tables Sup #1'!$B170)</f>
        <v>481.89243503097543</v>
      </c>
      <c r="I16" s="1">
        <f ca="1">$B16*('Updated Population'!I$15/'Updated Population'!$B$15)*('Total Trip Tables Sup #1'!I170/'Total Trip Tables Sup #1'!$B170)</f>
        <v>502.60194389479273</v>
      </c>
      <c r="J16" s="1">
        <f ca="1">$B16*('Updated Population'!J$15/'Updated Population'!$B$15)*('Total Trip Tables Sup #1'!J170/'Total Trip Tables Sup #1'!$B170)</f>
        <v>522.53282815774412</v>
      </c>
      <c r="K16" s="1">
        <f ca="1">$B16*('Updated Population'!K$15/'Updated Population'!$B$15)*('Total Trip Tables Sup #1'!K170/'Total Trip Tables Sup #1'!$B170)</f>
        <v>542.08659163014613</v>
      </c>
    </row>
    <row r="17" spans="1:11" x14ac:dyDescent="0.2">
      <c r="A17" t="str">
        <f ca="1">OFFSET(Auckland_Reference,7,2)</f>
        <v>Cyclist</v>
      </c>
      <c r="B17" s="4">
        <f ca="1">OFFSET(Auckland_Reference,7,5)</f>
        <v>7.0506319707999996</v>
      </c>
      <c r="C17" s="4">
        <f ca="1">$B17*('Updated Population'!C$15/'Updated Population'!$B$15)*('Total Trip Tables Sup #1'!C171/'Total Trip Tables Sup #1'!$B171)</f>
        <v>7.8998410621936008</v>
      </c>
      <c r="D17" s="4">
        <f ca="1">$B17*('Updated Population'!D$15/'Updated Population'!$B$15)*('Total Trip Tables Sup #1'!D171/'Total Trip Tables Sup #1'!$B171)</f>
        <v>8.451535121336887</v>
      </c>
      <c r="E17" s="4">
        <f ca="1">$B17*('Updated Population'!E$15/'Updated Population'!$B$15)*('Total Trip Tables Sup #1'!E171/'Total Trip Tables Sup #1'!$B171)</f>
        <v>8.8435687812589734</v>
      </c>
      <c r="F17" s="4">
        <f ca="1">$B17*('Updated Population'!F$15/'Updated Population'!$B$15)*('Total Trip Tables Sup #1'!F171/'Total Trip Tables Sup #1'!$B171)</f>
        <v>9.2131691388638828</v>
      </c>
      <c r="G17" s="4">
        <f ca="1">$B17*('Updated Population'!G$15/'Updated Population'!$B$15)*('Total Trip Tables Sup #1'!G171/'Total Trip Tables Sup #1'!$B171)</f>
        <v>9.5618542981963017</v>
      </c>
      <c r="H17" s="4">
        <f ca="1">$B17*('Updated Population'!H$15/'Updated Population'!$B$15)*('Total Trip Tables Sup #1'!H171/'Total Trip Tables Sup #1'!$B171)</f>
        <v>9.8900503170562306</v>
      </c>
      <c r="I17" s="1">
        <f ca="1">$B17*('Updated Population'!I$15/'Updated Population'!$B$15)*('Total Trip Tables Sup #1'!I171/'Total Trip Tables Sup #1'!$B171)</f>
        <v>10.31507895377162</v>
      </c>
      <c r="J17" s="1">
        <f ca="1">$B17*('Updated Population'!J$15/'Updated Population'!$B$15)*('Total Trip Tables Sup #1'!J171/'Total Trip Tables Sup #1'!$B171)</f>
        <v>10.724127600097313</v>
      </c>
      <c r="K17" s="1">
        <f ca="1">$B17*('Updated Population'!K$15/'Updated Population'!$B$15)*('Total Trip Tables Sup #1'!K171/'Total Trip Tables Sup #1'!$B171)</f>
        <v>11.125436461933756</v>
      </c>
    </row>
    <row r="18" spans="1:11" x14ac:dyDescent="0.2">
      <c r="A18" t="str">
        <f ca="1">OFFSET(Auckland_Reference,14,2)</f>
        <v>Light Vehicle Driver</v>
      </c>
      <c r="B18" s="4">
        <f ca="1">OFFSET(Auckland_Reference,14,5)</f>
        <v>981.24355252999999</v>
      </c>
      <c r="C18" s="4">
        <f ca="1">$B18*('Updated Population'!C$15/'Updated Population'!$B$15)*('Total Trip Tables Sup #1'!C172/'Total Trip Tables Sup #1'!$B172)</f>
        <v>1140.133673514646</v>
      </c>
      <c r="D18" s="4">
        <f ca="1">$B18*('Updated Population'!D$15/'Updated Population'!$B$15)*('Total Trip Tables Sup #1'!D172/'Total Trip Tables Sup #1'!$B172)</f>
        <v>1259.093936464991</v>
      </c>
      <c r="E18" s="4">
        <f ca="1">$B18*('Updated Population'!E$15/'Updated Population'!$B$15)*('Total Trip Tables Sup #1'!E172/'Total Trip Tables Sup #1'!$B172)</f>
        <v>1347.5805055470123</v>
      </c>
      <c r="F18" s="4">
        <f ca="1">$B18*('Updated Population'!F$15/'Updated Population'!$B$15)*('Total Trip Tables Sup #1'!F172/'Total Trip Tables Sup #1'!$B172)</f>
        <v>1431.2160376409201</v>
      </c>
      <c r="G18" s="4">
        <f ca="1">$B18*('Updated Population'!G$15/'Updated Population'!$B$15)*('Total Trip Tables Sup #1'!G172/'Total Trip Tables Sup #1'!$B172)</f>
        <v>1501.4904405013615</v>
      </c>
      <c r="H18" s="4">
        <f ca="1">$B18*('Updated Population'!H$15/'Updated Population'!$B$15)*('Total Trip Tables Sup #1'!H172/'Total Trip Tables Sup #1'!$B172)</f>
        <v>1566.2957263684514</v>
      </c>
      <c r="I18" s="1">
        <f ca="1">$B18*('Updated Population'!I$15/'Updated Population'!$B$15)*('Total Trip Tables Sup #1'!I172/'Total Trip Tables Sup #1'!$B172)</f>
        <v>1633.6078750360298</v>
      </c>
      <c r="J18" s="1">
        <f ca="1">$B18*('Updated Population'!J$15/'Updated Population'!$B$15)*('Total Trip Tables Sup #1'!J172/'Total Trip Tables Sup #1'!$B172)</f>
        <v>1698.3892589600136</v>
      </c>
      <c r="K18" s="1">
        <f ca="1">$B18*('Updated Population'!K$15/'Updated Population'!$B$15)*('Total Trip Tables Sup #1'!K172/'Total Trip Tables Sup #1'!$B172)</f>
        <v>1761.9448865956169</v>
      </c>
    </row>
    <row r="19" spans="1:11" x14ac:dyDescent="0.2">
      <c r="A19" t="str">
        <f ca="1">OFFSET(Auckland_Reference,21,2)</f>
        <v>Light Vehicle Passenger</v>
      </c>
      <c r="B19" s="4">
        <f ca="1">OFFSET(Auckland_Reference,21,5)</f>
        <v>488.06073574999999</v>
      </c>
      <c r="C19" s="4">
        <f ca="1">$B19*('Updated Population'!C$15/'Updated Population'!$B$15)*('Total Trip Tables Sup #1'!C173/'Total Trip Tables Sup #1'!$B173)</f>
        <v>539.33544820162138</v>
      </c>
      <c r="D19" s="4">
        <f ca="1">$B19*('Updated Population'!D$15/'Updated Population'!$B$15)*('Total Trip Tables Sup #1'!D173/'Total Trip Tables Sup #1'!$B173)</f>
        <v>577.79317792829499</v>
      </c>
      <c r="E19" s="4">
        <f ca="1">$B19*('Updated Population'!E$15/'Updated Population'!$B$15)*('Total Trip Tables Sup #1'!E173/'Total Trip Tables Sup #1'!$B173)</f>
        <v>605.83956569423799</v>
      </c>
      <c r="F19" s="4">
        <f ca="1">$B19*('Updated Population'!F$15/'Updated Population'!$B$15)*('Total Trip Tables Sup #1'!F173/'Total Trip Tables Sup #1'!$B173)</f>
        <v>632.05242216974216</v>
      </c>
      <c r="G19" s="4">
        <f ca="1">$B19*('Updated Population'!G$15/'Updated Population'!$B$15)*('Total Trip Tables Sup #1'!G173/'Total Trip Tables Sup #1'!$B173)</f>
        <v>654.56132505308597</v>
      </c>
      <c r="H19" s="4">
        <f ca="1">$B19*('Updated Population'!H$15/'Updated Population'!$B$15)*('Total Trip Tables Sup #1'!H173/'Total Trip Tables Sup #1'!$B173)</f>
        <v>673.34552597332254</v>
      </c>
      <c r="I19" s="1">
        <f ca="1">$B19*('Updated Population'!I$15/'Updated Population'!$B$15)*('Total Trip Tables Sup #1'!I173/'Total Trip Tables Sup #1'!$B173)</f>
        <v>702.28280351672254</v>
      </c>
      <c r="J19" s="1">
        <f ca="1">$B19*('Updated Population'!J$15/'Updated Population'!$B$15)*('Total Trip Tables Sup #1'!J173/'Total Trip Tables Sup #1'!$B173)</f>
        <v>730.1321133866478</v>
      </c>
      <c r="K19" s="1">
        <f ca="1">$B19*('Updated Population'!K$15/'Updated Population'!$B$15)*('Total Trip Tables Sup #1'!K173/'Total Trip Tables Sup #1'!$B173)</f>
        <v>757.45447454642851</v>
      </c>
    </row>
    <row r="20" spans="1:11" x14ac:dyDescent="0.2">
      <c r="A20" t="str">
        <f ca="1">OFFSET(Auckland_Reference,28,2)</f>
        <v>Taxi/Vehicle Share</v>
      </c>
      <c r="B20" s="4">
        <f ca="1">OFFSET(Auckland_Reference,28,5)</f>
        <v>6.0232688673999997</v>
      </c>
      <c r="C20" s="4">
        <f ca="1">$B20*('Updated Population'!C$15/'Updated Population'!$B$15)*('Total Trip Tables Sup #1'!C174/'Total Trip Tables Sup #1'!$B174)</f>
        <v>7.3251829984972998</v>
      </c>
      <c r="D20" s="4">
        <f ca="1">$B20*('Updated Population'!D$15/'Updated Population'!$B$15)*('Total Trip Tables Sup #1'!D174/'Total Trip Tables Sup #1'!$B174)</f>
        <v>8.4156734771952415</v>
      </c>
      <c r="E20" s="4">
        <f ca="1">$B20*('Updated Population'!E$15/'Updated Population'!$B$15)*('Total Trip Tables Sup #1'!E174/'Total Trip Tables Sup #1'!$B174)</f>
        <v>9.4084311868612183</v>
      </c>
      <c r="F20" s="4">
        <f ca="1">$B20*('Updated Population'!F$15/'Updated Population'!$B$15)*('Total Trip Tables Sup #1'!F174/'Total Trip Tables Sup #1'!$B174)</f>
        <v>10.348736833547713</v>
      </c>
      <c r="G20" s="4">
        <f ca="1">$B20*('Updated Population'!G$15/'Updated Population'!$B$15)*('Total Trip Tables Sup #1'!G174/'Total Trip Tables Sup #1'!$B174)</f>
        <v>11.182215236718651</v>
      </c>
      <c r="H20" s="4">
        <f ca="1">$B20*('Updated Population'!H$15/'Updated Population'!$B$15)*('Total Trip Tables Sup #1'!H174/'Total Trip Tables Sup #1'!$B174)</f>
        <v>12.016703737389653</v>
      </c>
      <c r="I20" s="1">
        <f ca="1">$B20*('Updated Population'!I$15/'Updated Population'!$B$15)*('Total Trip Tables Sup #1'!I174/'Total Trip Tables Sup #1'!$B174)</f>
        <v>12.533126105687135</v>
      </c>
      <c r="J20" s="1">
        <f ca="1">$B20*('Updated Population'!J$15/'Updated Population'!$B$15)*('Total Trip Tables Sup #1'!J174/'Total Trip Tables Sup #1'!$B174)</f>
        <v>13.030132312885</v>
      </c>
      <c r="K20" s="1">
        <f ca="1">$B20*('Updated Population'!K$15/'Updated Population'!$B$15)*('Total Trip Tables Sup #1'!K174/'Total Trip Tables Sup #1'!$B174)</f>
        <v>13.517734452942964</v>
      </c>
    </row>
    <row r="21" spans="1:11" x14ac:dyDescent="0.2">
      <c r="A21" t="str">
        <f ca="1">OFFSET(Auckland_Reference,35,2)</f>
        <v>Motorcyclist</v>
      </c>
      <c r="B21" s="4">
        <f ca="1">OFFSET(Auckland_Reference,35,5)</f>
        <v>4.1170216905999997</v>
      </c>
      <c r="C21" s="4">
        <f ca="1">$B21*('Updated Population'!C$15/'Updated Population'!$B$15)*('Total Trip Tables Sup #1'!C175/'Total Trip Tables Sup #1'!$B175)</f>
        <v>4.6545737760325965</v>
      </c>
      <c r="D21" s="4">
        <f ca="1">$B21*('Updated Population'!D$15/'Updated Population'!$B$15)*('Total Trip Tables Sup #1'!D175/'Total Trip Tables Sup #1'!$B175)</f>
        <v>5.0225952620928371</v>
      </c>
      <c r="E21" s="4">
        <f ca="1">$B21*('Updated Population'!E$15/'Updated Population'!$B$15)*('Total Trip Tables Sup #1'!E175/'Total Trip Tables Sup #1'!$B175)</f>
        <v>5.2622060342490684</v>
      </c>
      <c r="F21" s="4">
        <f ca="1">$B21*('Updated Population'!F$15/'Updated Population'!$B$15)*('Total Trip Tables Sup #1'!F175/'Total Trip Tables Sup #1'!$B175)</f>
        <v>5.4691561528139507</v>
      </c>
      <c r="G21" s="4">
        <f ca="1">$B21*('Updated Population'!G$15/'Updated Population'!$B$15)*('Total Trip Tables Sup #1'!G175/'Total Trip Tables Sup #1'!$B175)</f>
        <v>5.5737862393025921</v>
      </c>
      <c r="H21" s="4">
        <f ca="1">$B21*('Updated Population'!H$15/'Updated Population'!$B$15)*('Total Trip Tables Sup #1'!H175/'Total Trip Tables Sup #1'!$B175)</f>
        <v>5.6406295658568739</v>
      </c>
      <c r="I21" s="1">
        <f ca="1">$B21*('Updated Population'!I$15/'Updated Population'!$B$15)*('Total Trip Tables Sup #1'!I175/'Total Trip Tables Sup #1'!$B175)</f>
        <v>5.8830377455663427</v>
      </c>
      <c r="J21" s="1">
        <f ca="1">$B21*('Updated Population'!J$15/'Updated Population'!$B$15)*('Total Trip Tables Sup #1'!J175/'Total Trip Tables Sup #1'!$B175)</f>
        <v>6.1163319973012733</v>
      </c>
      <c r="K21" s="1">
        <f ca="1">$B21*('Updated Population'!K$15/'Updated Population'!$B$15)*('Total Trip Tables Sup #1'!K175/'Total Trip Tables Sup #1'!$B175)</f>
        <v>6.3452119886609921</v>
      </c>
    </row>
    <row r="22" spans="1:11" x14ac:dyDescent="0.2">
      <c r="A22" t="str">
        <f ca="1">OFFSET(Auckland_Reference,42,2)</f>
        <v>Local Train</v>
      </c>
      <c r="B22" s="4">
        <f ca="1">OFFSET(Auckland_Reference,42,5)</f>
        <v>10.588451037</v>
      </c>
      <c r="C22" s="4">
        <f ca="1">OFFSET(Auckland_Reference,43,5)</f>
        <v>11.937472622</v>
      </c>
      <c r="D22" s="4">
        <f ca="1">OFFSET(Auckland_Reference,44,5)</f>
        <v>12.872055543</v>
      </c>
      <c r="E22" s="4">
        <f ca="1">OFFSET(Auckland_Reference,45,5)</f>
        <v>13.837702297</v>
      </c>
      <c r="F22" s="4">
        <f ca="1">OFFSET(Auckland_Reference,46,5)</f>
        <v>14.702700576</v>
      </c>
      <c r="G22" s="4">
        <f ca="1">OFFSET(Auckland_Reference,47,5)</f>
        <v>15.334267584999999</v>
      </c>
      <c r="H22" s="4">
        <f ca="1">OFFSET(Auckland_Reference,48,5)</f>
        <v>15.871956074</v>
      </c>
      <c r="I22" s="1">
        <f ca="1">OFFSET(Auckland_Reference,48,5)*('Updated Population'!I15/'Updated Population'!H15)</f>
        <v>16.554059363252694</v>
      </c>
      <c r="J22" s="1">
        <f ca="1">OFFSET(Auckland_Reference,48,5)*('Updated Population'!J15/'Updated Population'!H15)</f>
        <v>17.210517312249568</v>
      </c>
      <c r="K22" s="1">
        <f ca="1">OFFSET(Auckland_Reference,48,5)*('Updated Population'!K15/'Updated Population'!H15)</f>
        <v>17.854554139462685</v>
      </c>
    </row>
    <row r="23" spans="1:11" x14ac:dyDescent="0.2">
      <c r="A23" t="str">
        <f ca="1">OFFSET(Auckland_Reference,49,2)</f>
        <v>Local Bus</v>
      </c>
      <c r="B23" s="4">
        <f ca="1">OFFSET(Auckland_Reference,49,5)</f>
        <v>54.403429504999998</v>
      </c>
      <c r="C23" s="4">
        <f ca="1">OFFSET(Auckland_Reference,50,5)</f>
        <v>59.340296318</v>
      </c>
      <c r="D23" s="4">
        <f ca="1">OFFSET(Auckland_Reference,51,5)</f>
        <v>62.246093332000001</v>
      </c>
      <c r="E23" s="4">
        <f ca="1">OFFSET(Auckland_Reference,52,5)</f>
        <v>65.910707149000004</v>
      </c>
      <c r="F23" s="4">
        <f ca="1">OFFSET(Auckland_Reference,53,5)</f>
        <v>68.606486290000007</v>
      </c>
      <c r="G23" s="4">
        <f ca="1">OFFSET(Auckland_Reference,54,5)</f>
        <v>71.191453946999999</v>
      </c>
      <c r="H23" s="4">
        <f ca="1">OFFSET(Auckland_Reference,55,5)</f>
        <v>73.334295260999994</v>
      </c>
      <c r="I23" s="1">
        <f ca="1">OFFSET(Auckland_Reference,55,5)*('Updated Population'!I15/'Updated Population'!H15)</f>
        <v>76.485864215660669</v>
      </c>
      <c r="J23" s="1">
        <f ca="1">OFFSET(Auckland_Reference,55,5)*('Updated Population'!J15/'Updated Population'!H15)</f>
        <v>79.518942232870359</v>
      </c>
      <c r="K23" s="1">
        <f ca="1">OFFSET(Auckland_Reference,55,5)*('Updated Population'!K15/'Updated Population'!H15)</f>
        <v>82.494630082912508</v>
      </c>
    </row>
    <row r="24" spans="1:11" x14ac:dyDescent="0.2">
      <c r="A24" t="str">
        <f ca="1">OFFSET(Auckland_Reference,56,2)</f>
        <v>Local Ferry</v>
      </c>
      <c r="B24" s="4">
        <f ca="1">OFFSET(Auckland_Reference,56,5)</f>
        <v>4.3086283299000003</v>
      </c>
      <c r="C24" s="4">
        <f ca="1">$B24*('Updated Population'!C$15/'Updated Population'!$B$15)*('Total Trip Tables Sup #1'!C178/'Total Trip Tables Sup #1'!$B178)</f>
        <v>5.2722400661587363</v>
      </c>
      <c r="D24" s="4">
        <f ca="1">$B24*('Updated Population'!D$15/'Updated Population'!$B$15)*('Total Trip Tables Sup #1'!D178/'Total Trip Tables Sup #1'!$B178)</f>
        <v>6.1009985951685008</v>
      </c>
      <c r="E24" s="4">
        <f ca="1">$B24*('Updated Population'!E$15/'Updated Population'!$B$15)*('Total Trip Tables Sup #1'!E178/'Total Trip Tables Sup #1'!$B178)</f>
        <v>6.7842504062080966</v>
      </c>
      <c r="F24" s="4">
        <f ca="1">$B24*('Updated Population'!F$15/'Updated Population'!$B$15)*('Total Trip Tables Sup #1'!F178/'Total Trip Tables Sup #1'!$B178)</f>
        <v>7.4289083697768952</v>
      </c>
      <c r="G24" s="4">
        <f ca="1">$B24*('Updated Population'!G$15/'Updated Population'!$B$15)*('Total Trip Tables Sup #1'!G178/'Total Trip Tables Sup #1'!$B178)</f>
        <v>8.2675241141105253</v>
      </c>
      <c r="H24" s="4">
        <f ca="1">$B24*('Updated Population'!H$15/'Updated Population'!$B$15)*('Total Trip Tables Sup #1'!H178/'Total Trip Tables Sup #1'!$B178)</f>
        <v>9.1083923943582032</v>
      </c>
      <c r="I24" s="1">
        <f ca="1">$B24*('Updated Population'!I$15/'Updated Population'!$B$15)*('Total Trip Tables Sup #1'!I178/'Total Trip Tables Sup #1'!$B178)</f>
        <v>9.4998289874932702</v>
      </c>
      <c r="J24" s="1">
        <f ca="1">$B24*('Updated Population'!J$15/'Updated Population'!$B$15)*('Total Trip Tables Sup #1'!J178/'Total Trip Tables Sup #1'!$B178)</f>
        <v>9.8765485652177709</v>
      </c>
      <c r="K24" s="1">
        <f ca="1">$B24*('Updated Population'!K$15/'Updated Population'!$B$15)*('Total Trip Tables Sup #1'!K178/'Total Trip Tables Sup #1'!$B178)</f>
        <v>10.246140070595228</v>
      </c>
    </row>
    <row r="25" spans="1:11" x14ac:dyDescent="0.2">
      <c r="A25" t="str">
        <f ca="1">OFFSET(Auckland_Reference,63,2)</f>
        <v>Other Household Travel</v>
      </c>
      <c r="B25" s="4">
        <f ca="1">OFFSET(Auckland_Reference,63,5)</f>
        <v>2.2145179384000002</v>
      </c>
      <c r="C25" s="4">
        <f ca="1">$B25*('Updated Population'!C$15/'Updated Population'!$B$15)*('Total Trip Tables Sup #1'!C179/'Total Trip Tables Sup #1'!$B179)</f>
        <v>2.5279355259783118</v>
      </c>
      <c r="D25" s="4">
        <f ca="1">$B25*('Updated Population'!D$15/'Updated Population'!$B$15)*('Total Trip Tables Sup #1'!D179/'Total Trip Tables Sup #1'!$B179)</f>
        <v>2.8080875657783411</v>
      </c>
      <c r="E25" s="4">
        <f ca="1">$B25*('Updated Population'!E$15/'Updated Population'!$B$15)*('Total Trip Tables Sup #1'!E179/'Total Trip Tables Sup #1'!$B179)</f>
        <v>3.0763836980752681</v>
      </c>
      <c r="F25" s="4">
        <f ca="1">$B25*('Updated Population'!F$15/'Updated Population'!$B$15)*('Total Trip Tables Sup #1'!F179/'Total Trip Tables Sup #1'!$B179)</f>
        <v>3.3575562538655506</v>
      </c>
      <c r="G25" s="4">
        <f ca="1">$B25*('Updated Population'!G$15/'Updated Population'!$B$15)*('Total Trip Tables Sup #1'!G179/'Total Trip Tables Sup #1'!$B179)</f>
        <v>3.6498146631359369</v>
      </c>
      <c r="H25" s="4">
        <f ca="1">$B25*('Updated Population'!H$15/'Updated Population'!$B$15)*('Total Trip Tables Sup #1'!H179/'Total Trip Tables Sup #1'!$B179)</f>
        <v>3.9255216346414166</v>
      </c>
      <c r="I25" s="1">
        <f ca="1">$B25*('Updated Population'!I$15/'Updated Population'!$B$15)*('Total Trip Tables Sup #1'!I179/'Total Trip Tables Sup #1'!$B179)</f>
        <v>4.0942224051411387</v>
      </c>
      <c r="J25" s="1">
        <f ca="1">$B25*('Updated Population'!J$15/'Updated Population'!$B$15)*('Total Trip Tables Sup #1'!J179/'Total Trip Tables Sup #1'!$B179)</f>
        <v>4.2565804578603528</v>
      </c>
      <c r="K25" s="1">
        <f ca="1">$B25*('Updated Population'!K$15/'Updated Population'!$B$15)*('Total Trip Tables Sup #1'!K179/'Total Trip Tables Sup #1'!$B179)</f>
        <v>4.4158664643830354</v>
      </c>
    </row>
    <row r="26" spans="1:11" x14ac:dyDescent="0.2">
      <c r="A26" t="str">
        <f ca="1">OFFSET(Waikato_Reference,0,0)</f>
        <v>03 WAIKATO</v>
      </c>
      <c r="I26" s="1"/>
      <c r="J26" s="1"/>
      <c r="K26" s="1"/>
    </row>
    <row r="27" spans="1:11" x14ac:dyDescent="0.2">
      <c r="A27" t="str">
        <f ca="1">OFFSET(Waikato_Reference,0,2)</f>
        <v>Pedestrian</v>
      </c>
      <c r="B27" s="4">
        <f ca="1">OFFSET(Waikato_Reference,0,5)</f>
        <v>68.689195601999998</v>
      </c>
      <c r="C27" s="4">
        <f ca="1">$B27*('Updated Population'!C$26/'Updated Population'!$B$26)*('Total Trip Tables Sup #1'!C170/'Total Trip Tables Sup #1'!$B170)</f>
        <v>75.130455703767822</v>
      </c>
      <c r="D27" s="4">
        <f ca="1">$B27*('Updated Population'!D$26/'Updated Population'!$B$26)*('Total Trip Tables Sup #1'!D170/'Total Trip Tables Sup #1'!$B170)</f>
        <v>78.851920444773015</v>
      </c>
      <c r="E27" s="4">
        <f ca="1">$B27*('Updated Population'!E$26/'Updated Population'!$B$26)*('Total Trip Tables Sup #1'!E170/'Total Trip Tables Sup #1'!$B170)</f>
        <v>81.644296017311291</v>
      </c>
      <c r="F27" s="4">
        <f ca="1">$B27*('Updated Population'!F$26/'Updated Population'!$B$26)*('Total Trip Tables Sup #1'!F170/'Total Trip Tables Sup #1'!$B170)</f>
        <v>83.676513473175405</v>
      </c>
      <c r="G27" s="4">
        <f ca="1">$B27*('Updated Population'!G$26/'Updated Population'!$B$26)*('Total Trip Tables Sup #1'!G170/'Total Trip Tables Sup #1'!$B170)</f>
        <v>85.314434636177097</v>
      </c>
      <c r="H27" s="4">
        <f ca="1">$B27*('Updated Population'!H$26/'Updated Population'!$B$26)*('Total Trip Tables Sup #1'!H170/'Total Trip Tables Sup #1'!$B170)</f>
        <v>86.598902739306823</v>
      </c>
      <c r="I27" s="1">
        <f ca="1">$B27*('Updated Population'!I$26/'Updated Population'!$B$26)*('Total Trip Tables Sup #1'!I170/'Total Trip Tables Sup #1'!$B170)</f>
        <v>88.441723270239748</v>
      </c>
      <c r="J27" s="1">
        <f ca="1">$B27*('Updated Population'!J$26/'Updated Population'!$B$26)*('Total Trip Tables Sup #1'!J170/'Total Trip Tables Sup #1'!$B170)</f>
        <v>90.036242846545349</v>
      </c>
      <c r="K27" s="1">
        <f ca="1">$B27*('Updated Population'!K$26/'Updated Population'!$B$26)*('Total Trip Tables Sup #1'!K170/'Total Trip Tables Sup #1'!$B170)</f>
        <v>91.462527876967144</v>
      </c>
    </row>
    <row r="28" spans="1:11" x14ac:dyDescent="0.2">
      <c r="A28" t="str">
        <f ca="1">OFFSET(Waikato_Reference,7,2)</f>
        <v>Cyclist</v>
      </c>
      <c r="B28" s="4">
        <f ca="1">OFFSET(Waikato_Reference,7,5)</f>
        <v>5.8956498267999997</v>
      </c>
      <c r="C28" s="4">
        <f ca="1">$B28*('Updated Population'!C$26/'Updated Population'!$B$26)*('Total Trip Tables Sup #1'!C171/'Total Trip Tables Sup #1'!$B171)</f>
        <v>6.3846844801874854</v>
      </c>
      <c r="D28" s="4">
        <f ca="1">$B28*('Updated Population'!D$26/'Updated Population'!$B$26)*('Total Trip Tables Sup #1'!D171/'Total Trip Tables Sup #1'!$B171)</f>
        <v>6.5965204687282135</v>
      </c>
      <c r="E28" s="4">
        <f ca="1">$B28*('Updated Population'!E$26/'Updated Population'!$B$26)*('Total Trip Tables Sup #1'!E171/'Total Trip Tables Sup #1'!$B171)</f>
        <v>6.7245629920940981</v>
      </c>
      <c r="F28" s="4">
        <f ca="1">$B28*('Updated Population'!F$26/'Updated Population'!$B$26)*('Total Trip Tables Sup #1'!F171/'Total Trip Tables Sup #1'!$B171)</f>
        <v>6.8372894455176221</v>
      </c>
      <c r="G28" s="4">
        <f ca="1">$B28*('Updated Population'!G$26/'Updated Population'!$B$26)*('Total Trip Tables Sup #1'!G171/'Total Trip Tables Sup #1'!$B171)</f>
        <v>6.9387226772533346</v>
      </c>
      <c r="H28" s="4">
        <f ca="1">$B28*('Updated Population'!H$26/'Updated Population'!$B$26)*('Total Trip Tables Sup #1'!H171/'Total Trip Tables Sup #1'!$B171)</f>
        <v>7.0275939637884264</v>
      </c>
      <c r="I28" s="1">
        <f ca="1">$B28*('Updated Population'!I$26/'Updated Population'!$B$26)*('Total Trip Tables Sup #1'!I171/'Total Trip Tables Sup #1'!$B171)</f>
        <v>7.1771408290473948</v>
      </c>
      <c r="J28" s="1">
        <f ca="1">$B28*('Updated Population'!J$26/'Updated Population'!$B$26)*('Total Trip Tables Sup #1'!J171/'Total Trip Tables Sup #1'!$B171)</f>
        <v>7.3065378051652168</v>
      </c>
      <c r="K28" s="1">
        <f ca="1">$B28*('Updated Population'!K$26/'Updated Population'!$B$26)*('Total Trip Tables Sup #1'!K171/'Total Trip Tables Sup #1'!$B171)</f>
        <v>7.4222823672020803</v>
      </c>
    </row>
    <row r="29" spans="1:11" x14ac:dyDescent="0.2">
      <c r="A29" t="str">
        <f ca="1">OFFSET(Waikato_Reference,14,2)</f>
        <v>Light Vehicle Driver</v>
      </c>
      <c r="B29" s="4">
        <f ca="1">OFFSET(Waikato_Reference,14,5)</f>
        <v>305.41478153000003</v>
      </c>
      <c r="C29" s="4">
        <f ca="1">$B29*('Updated Population'!C$26/'Updated Population'!$B$26)*('Total Trip Tables Sup #1'!C172/'Total Trip Tables Sup #1'!$B172)</f>
        <v>342.99395059080808</v>
      </c>
      <c r="D29" s="4">
        <f ca="1">$B29*('Updated Population'!D$26/'Updated Population'!$B$26)*('Total Trip Tables Sup #1'!D172/'Total Trip Tables Sup #1'!$B172)</f>
        <v>365.80281882682056</v>
      </c>
      <c r="E29" s="4">
        <f ca="1">$B29*('Updated Population'!E$26/'Updated Population'!$B$26)*('Total Trip Tables Sup #1'!E172/'Total Trip Tables Sup #1'!$B172)</f>
        <v>381.41768817080504</v>
      </c>
      <c r="F29" s="4">
        <f ca="1">$B29*('Updated Population'!F$26/'Updated Population'!$B$26)*('Total Trip Tables Sup #1'!F172/'Total Trip Tables Sup #1'!$B172)</f>
        <v>395.35725877992883</v>
      </c>
      <c r="G29" s="4">
        <f ca="1">$B29*('Updated Population'!G$26/'Updated Population'!$B$26)*('Total Trip Tables Sup #1'!G172/'Total Trip Tables Sup #1'!$B172)</f>
        <v>405.57351017771617</v>
      </c>
      <c r="H29" s="4">
        <f ca="1">$B29*('Updated Population'!H$26/'Updated Population'!$B$26)*('Total Trip Tables Sup #1'!H172/'Total Trip Tables Sup #1'!$B172)</f>
        <v>414.27766947897857</v>
      </c>
      <c r="I29" s="1">
        <f ca="1">$B29*('Updated Population'!I$26/'Updated Population'!$B$26)*('Total Trip Tables Sup #1'!I172/'Total Trip Tables Sup #1'!$B172)</f>
        <v>423.09347857902145</v>
      </c>
      <c r="J29" s="1">
        <f ca="1">$B29*('Updated Population'!J$26/'Updated Population'!$B$26)*('Total Trip Tables Sup #1'!J172/'Total Trip Tables Sup #1'!$B172)</f>
        <v>430.72144883170529</v>
      </c>
      <c r="K29" s="1">
        <f ca="1">$B29*('Updated Population'!K$26/'Updated Population'!$B$26)*('Total Trip Tables Sup #1'!K172/'Total Trip Tables Sup #1'!$B172)</f>
        <v>437.54460732130701</v>
      </c>
    </row>
    <row r="30" spans="1:11" x14ac:dyDescent="0.2">
      <c r="A30" t="str">
        <f ca="1">OFFSET(Waikato_Reference,21,2)</f>
        <v>Light Vehicle Passenger</v>
      </c>
      <c r="B30" s="4">
        <f ca="1">OFFSET(Waikato_Reference,21,5)</f>
        <v>139.07206360000001</v>
      </c>
      <c r="C30" s="4">
        <f ca="1">$B30*('Updated Population'!C$26/'Updated Population'!$B$26)*('Total Trip Tables Sup #1'!C173/'Total Trip Tables Sup #1'!$B173)</f>
        <v>148.53966694456201</v>
      </c>
      <c r="D30" s="4">
        <f ca="1">$B30*('Updated Population'!D$26/'Updated Population'!$B$26)*('Total Trip Tables Sup #1'!D173/'Total Trip Tables Sup #1'!$B173)</f>
        <v>153.67885550646264</v>
      </c>
      <c r="E30" s="4">
        <f ca="1">$B30*('Updated Population'!E$26/'Updated Population'!$B$26)*('Total Trip Tables Sup #1'!E173/'Total Trip Tables Sup #1'!$B173)</f>
        <v>156.98441347402979</v>
      </c>
      <c r="F30" s="4">
        <f ca="1">$B30*('Updated Population'!F$26/'Updated Population'!$B$26)*('Total Trip Tables Sup #1'!F173/'Total Trip Tables Sup #1'!$B173)</f>
        <v>159.84181974509465</v>
      </c>
      <c r="G30" s="4">
        <f ca="1">$B30*('Updated Population'!G$26/'Updated Population'!$B$26)*('Total Trip Tables Sup #1'!G173/'Total Trip Tables Sup #1'!$B173)</f>
        <v>161.86395350905008</v>
      </c>
      <c r="H30" s="4">
        <f ca="1">$B30*('Updated Population'!H$26/'Updated Population'!$B$26)*('Total Trip Tables Sup #1'!H173/'Total Trip Tables Sup #1'!$B173)</f>
        <v>163.04539331908842</v>
      </c>
      <c r="I30" s="1">
        <f ca="1">$B30*('Updated Population'!I$26/'Updated Population'!$B$26)*('Total Trip Tables Sup #1'!I173/'Total Trip Tables Sup #1'!$B173)</f>
        <v>166.51499153313222</v>
      </c>
      <c r="J30" s="1">
        <f ca="1">$B30*('Updated Population'!J$26/'Updated Population'!$B$26)*('Total Trip Tables Sup #1'!J173/'Total Trip Tables Sup #1'!$B173)</f>
        <v>169.51709737108217</v>
      </c>
      <c r="K30" s="1">
        <f ca="1">$B30*('Updated Population'!K$26/'Updated Population'!$B$26)*('Total Trip Tables Sup #1'!K173/'Total Trip Tables Sup #1'!$B173)</f>
        <v>172.20245707442976</v>
      </c>
    </row>
    <row r="31" spans="1:11" x14ac:dyDescent="0.2">
      <c r="A31" t="str">
        <f ca="1">OFFSET(Waikato_Reference,28,2)</f>
        <v>Taxi/Vehicle Share</v>
      </c>
      <c r="B31" s="4">
        <f ca="1">OFFSET(Waikato_Reference,28,5)</f>
        <v>0.69122996950000004</v>
      </c>
      <c r="C31" s="4">
        <f ca="1">$B31*('Updated Population'!C$26/'Updated Population'!$B$26)*('Total Trip Tables Sup #1'!C174/'Total Trip Tables Sup #1'!$B174)</f>
        <v>0.81250537035115089</v>
      </c>
      <c r="D31" s="4">
        <f ca="1">$B31*('Updated Population'!D$26/'Updated Population'!$B$26)*('Total Trip Tables Sup #1'!D174/'Total Trip Tables Sup #1'!$B174)</f>
        <v>0.90147744621228898</v>
      </c>
      <c r="E31" s="4">
        <f ca="1">$B31*('Updated Population'!E$26/'Updated Population'!$B$26)*('Total Trip Tables Sup #1'!E174/'Total Trip Tables Sup #1'!$B174)</f>
        <v>0.98183926527326004</v>
      </c>
      <c r="F31" s="4">
        <f ca="1">$B31*('Updated Population'!F$26/'Updated Population'!$B$26)*('Total Trip Tables Sup #1'!F174/'Total Trip Tables Sup #1'!$B174)</f>
        <v>1.0540202129925895</v>
      </c>
      <c r="G31" s="4">
        <f ca="1">$B31*('Updated Population'!G$26/'Updated Population'!$B$26)*('Total Trip Tables Sup #1'!G174/'Total Trip Tables Sup #1'!$B174)</f>
        <v>1.1136582302827349</v>
      </c>
      <c r="H31" s="4">
        <f ca="1">$B31*('Updated Population'!H$26/'Updated Population'!$B$26)*('Total Trip Tables Sup #1'!H174/'Total Trip Tables Sup #1'!$B174)</f>
        <v>1.1718720313388946</v>
      </c>
      <c r="I31" s="1">
        <f ca="1">$B31*('Updated Population'!I$26/'Updated Population'!$B$26)*('Total Trip Tables Sup #1'!I174/'Total Trip Tables Sup #1'!$B174)</f>
        <v>1.1968094124218673</v>
      </c>
      <c r="J31" s="1">
        <f ca="1">$B31*('Updated Population'!J$26/'Updated Population'!$B$26)*('Total Trip Tables Sup #1'!J174/'Total Trip Tables Sup #1'!$B174)</f>
        <v>1.2183867400298156</v>
      </c>
      <c r="K31" s="1">
        <f ca="1">$B31*('Updated Population'!K$26/'Updated Population'!$B$26)*('Total Trip Tables Sup #1'!K174/'Total Trip Tables Sup #1'!$B174)</f>
        <v>1.2376874873025636</v>
      </c>
    </row>
    <row r="32" spans="1:11" x14ac:dyDescent="0.2">
      <c r="A32" t="str">
        <f ca="1">OFFSET(Waikato_Reference,35,2)</f>
        <v>Motorcyclist</v>
      </c>
      <c r="B32" s="4">
        <f ca="1">OFFSET(Waikato_Reference,35,5)</f>
        <v>1.8680965575999999</v>
      </c>
      <c r="C32" s="4">
        <f ca="1">$B32*('Updated Population'!C$26/'Updated Population'!$B$26)*('Total Trip Tables Sup #1'!C175/'Total Trip Tables Sup #1'!$B175)</f>
        <v>2.041331489626705</v>
      </c>
      <c r="D32" s="4">
        <f ca="1">$B32*('Updated Population'!D$26/'Updated Population'!$B$26)*('Total Trip Tables Sup #1'!D175/'Total Trip Tables Sup #1'!$B175)</f>
        <v>2.1272573203498388</v>
      </c>
      <c r="E32" s="4">
        <f ca="1">$B32*('Updated Population'!E$26/'Updated Population'!$B$26)*('Total Trip Tables Sup #1'!E175/'Total Trip Tables Sup #1'!$B175)</f>
        <v>2.1712852740282189</v>
      </c>
      <c r="F32" s="4">
        <f ca="1">$B32*('Updated Population'!F$26/'Updated Population'!$B$26)*('Total Trip Tables Sup #1'!F175/'Total Trip Tables Sup #1'!$B175)</f>
        <v>2.2024587081544555</v>
      </c>
      <c r="G32" s="4">
        <f ca="1">$B32*('Updated Population'!G$26/'Updated Population'!$B$26)*('Total Trip Tables Sup #1'!G175/'Total Trip Tables Sup #1'!$B175)</f>
        <v>2.1948267666897525</v>
      </c>
      <c r="H32" s="4">
        <f ca="1">$B32*('Updated Population'!H$26/'Updated Population'!$B$26)*('Total Trip Tables Sup #1'!H175/'Total Trip Tables Sup #1'!$B175)</f>
        <v>2.1749449542345265</v>
      </c>
      <c r="I32" s="1">
        <f ca="1">$B32*('Updated Population'!I$26/'Updated Population'!$B$26)*('Total Trip Tables Sup #1'!I175/'Total Trip Tables Sup #1'!$B175)</f>
        <v>2.2212276794022801</v>
      </c>
      <c r="J32" s="1">
        <f ca="1">$B32*('Updated Population'!J$26/'Updated Population'!$B$26)*('Total Trip Tables Sup #1'!J175/'Total Trip Tables Sup #1'!$B175)</f>
        <v>2.2612742873524283</v>
      </c>
      <c r="K32" s="1">
        <f ca="1">$B32*('Updated Population'!K$26/'Updated Population'!$B$26)*('Total Trip Tables Sup #1'!K175/'Total Trip Tables Sup #1'!$B175)</f>
        <v>2.2970956584332431</v>
      </c>
    </row>
    <row r="33" spans="1:11" x14ac:dyDescent="0.2">
      <c r="A33" t="str">
        <f ca="1">OFFSET(Waikato_Reference,42,2)</f>
        <v>Local Train</v>
      </c>
      <c r="B33" s="4">
        <v>0</v>
      </c>
      <c r="C33" s="4">
        <f ca="1">$B33*('Updated Population'!C$26/'Updated Population'!$B$26)*('Total Trip Tables Sup #1'!C176/'Total Trip Tables Sup #1'!$B176)</f>
        <v>0</v>
      </c>
      <c r="D33" s="4">
        <f ca="1">$B33*('Updated Population'!D$26/'Updated Population'!$B$26)*('Total Trip Tables Sup #1'!D176/'Total Trip Tables Sup #1'!$B176)</f>
        <v>0</v>
      </c>
      <c r="E33" s="4">
        <f ca="1">$B33*('Updated Population'!E$26/'Updated Population'!$B$26)*('Total Trip Tables Sup #1'!E176/'Total Trip Tables Sup #1'!$B176)</f>
        <v>0</v>
      </c>
      <c r="F33" s="4">
        <f ca="1">$B33*('Updated Population'!F$26/'Updated Population'!$B$26)*('Total Trip Tables Sup #1'!F176/'Total Trip Tables Sup #1'!$B176)</f>
        <v>0</v>
      </c>
      <c r="G33" s="4">
        <f ca="1">$B33*('Updated Population'!G$26/'Updated Population'!$B$26)*('Total Trip Tables Sup #1'!G176/'Total Trip Tables Sup #1'!$B176)</f>
        <v>0</v>
      </c>
      <c r="H33" s="4">
        <f ca="1">$B33*('Updated Population'!H$26/'Updated Population'!$B$26)*('Total Trip Tables Sup #1'!H176/'Total Trip Tables Sup #1'!$B176)</f>
        <v>0</v>
      </c>
      <c r="I33" s="1">
        <f ca="1">$B33*('Updated Population'!I$26/'Updated Population'!$B$26)*('Total Trip Tables Sup #1'!I176/'Total Trip Tables Sup #1'!$B176)</f>
        <v>0</v>
      </c>
      <c r="J33" s="1">
        <f ca="1">$B33*('Updated Population'!J$26/'Updated Population'!$B$26)*('Total Trip Tables Sup #1'!J176/'Total Trip Tables Sup #1'!$B176)</f>
        <v>0</v>
      </c>
      <c r="K33" s="1">
        <f ca="1">$B33*('Updated Population'!K$26/'Updated Population'!$B$26)*('Total Trip Tables Sup #1'!K176/'Total Trip Tables Sup #1'!$B176)</f>
        <v>0</v>
      </c>
    </row>
    <row r="34" spans="1:11" x14ac:dyDescent="0.2">
      <c r="A34" t="str">
        <f ca="1">OFFSET(Waikato_Reference,49,2)</f>
        <v>Local Bus</v>
      </c>
      <c r="B34" s="4">
        <f ca="1">OFFSET(Waikato_Reference,49,5)</f>
        <v>5.7199103379</v>
      </c>
      <c r="C34" s="4">
        <f ca="1">$B34*('Updated Population'!C$26/'Updated Population'!$B$26)*('Total Trip Tables Sup #1'!C177/'Total Trip Tables Sup #1'!$B177)</f>
        <v>5.8503454909980599</v>
      </c>
      <c r="D34" s="4">
        <f ca="1">$B34*('Updated Population'!D$26/'Updated Population'!$B$26)*('Total Trip Tables Sup #1'!D177/'Total Trip Tables Sup #1'!$B177)</f>
        <v>5.8716465951793682</v>
      </c>
      <c r="E34" s="4">
        <f ca="1">$B34*('Updated Population'!E$26/'Updated Population'!$B$26)*('Total Trip Tables Sup #1'!E177/'Total Trip Tables Sup #1'!$B177)</f>
        <v>5.9167908855455975</v>
      </c>
      <c r="F34" s="4">
        <f ca="1">$B34*('Updated Population'!F$26/'Updated Population'!$B$26)*('Total Trip Tables Sup #1'!F177/'Total Trip Tables Sup #1'!$B177)</f>
        <v>5.896026899060673</v>
      </c>
      <c r="G34" s="4">
        <f ca="1">$B34*('Updated Population'!G$26/'Updated Population'!$B$26)*('Total Trip Tables Sup #1'!G177/'Total Trip Tables Sup #1'!$B177)</f>
        <v>5.9130306284025558</v>
      </c>
      <c r="H34" s="4">
        <f ca="1">$B34*('Updated Population'!H$26/'Updated Population'!$B$26)*('Total Trip Tables Sup #1'!H177/'Total Trip Tables Sup #1'!$B177)</f>
        <v>5.9002943564834585</v>
      </c>
      <c r="I34" s="1">
        <f ca="1">$B34*('Updated Population'!I$26/'Updated Population'!$B$26)*('Total Trip Tables Sup #1'!I177/'Total Trip Tables Sup #1'!$B177)</f>
        <v>6.025852339722662</v>
      </c>
      <c r="J34" s="1">
        <f ca="1">$B34*('Updated Population'!J$26/'Updated Population'!$B$26)*('Total Trip Tables Sup #1'!J177/'Total Trip Tables Sup #1'!$B177)</f>
        <v>6.1344926868838741</v>
      </c>
      <c r="K34" s="1">
        <f ca="1">$B34*('Updated Population'!K$26/'Updated Population'!$B$26)*('Total Trip Tables Sup #1'!K177/'Total Trip Tables Sup #1'!$B177)</f>
        <v>6.2316706100391848</v>
      </c>
    </row>
    <row r="35" spans="1:11" x14ac:dyDescent="0.2">
      <c r="A35" t="str">
        <f ca="1">OFFSET(Waikato_Reference,56,2)</f>
        <v>Local Ferry</v>
      </c>
      <c r="B35" s="4">
        <f ca="1">OFFSET(Waikato_Reference,56,5)</f>
        <v>0.2446181519</v>
      </c>
      <c r="C35" s="4">
        <f ca="1">$B35*('Updated Population'!C$26/'Updated Population'!$B$26)*('Total Trip Tables Sup #1'!C178/'Total Trip Tables Sup #1'!$B178)</f>
        <v>0.28930922165967005</v>
      </c>
      <c r="D35" s="4">
        <f ca="1">$B35*('Updated Population'!D$26/'Updated Population'!$B$26)*('Total Trip Tables Sup #1'!D178/'Total Trip Tables Sup #1'!$B178)</f>
        <v>0.32331529650701418</v>
      </c>
      <c r="E35" s="4">
        <f ca="1">$B35*('Updated Population'!E$26/'Updated Population'!$B$26)*('Total Trip Tables Sup #1'!E178/'Total Trip Tables Sup #1'!$B178)</f>
        <v>0.35025503813689735</v>
      </c>
      <c r="F35" s="4">
        <f ca="1">$B35*('Updated Population'!F$26/'Updated Population'!$B$26)*('Total Trip Tables Sup #1'!F178/'Total Trip Tables Sup #1'!$B178)</f>
        <v>0.37432250309702375</v>
      </c>
      <c r="G35" s="4">
        <f ca="1">$B35*('Updated Population'!G$26/'Updated Population'!$B$26)*('Total Trip Tables Sup #1'!G178/'Total Trip Tables Sup #1'!$B178)</f>
        <v>0.40734171937260416</v>
      </c>
      <c r="H35" s="4">
        <f ca="1">$B35*('Updated Population'!H$26/'Updated Population'!$B$26)*('Total Trip Tables Sup #1'!H178/'Total Trip Tables Sup #1'!$B178)</f>
        <v>0.43943627576460154</v>
      </c>
      <c r="I35" s="1">
        <f ca="1">$B35*('Updated Population'!I$26/'Updated Population'!$B$26)*('Total Trip Tables Sup #1'!I178/'Total Trip Tables Sup #1'!$B178)</f>
        <v>0.44878745880965126</v>
      </c>
      <c r="J35" s="1">
        <f ca="1">$B35*('Updated Population'!J$26/'Updated Population'!$B$26)*('Total Trip Tables Sup #1'!J178/'Total Trip Tables Sup #1'!$B178)</f>
        <v>0.4568786669206224</v>
      </c>
      <c r="K35" s="1">
        <f ca="1">$B35*('Updated Population'!K$26/'Updated Population'!$B$26)*('Total Trip Tables Sup #1'!K178/'Total Trip Tables Sup #1'!$B178)</f>
        <v>0.46411618797598875</v>
      </c>
    </row>
    <row r="36" spans="1:11" x14ac:dyDescent="0.2">
      <c r="A36" t="str">
        <f ca="1">OFFSET(Waikato_Reference,63,2)</f>
        <v>Other Household Travel</v>
      </c>
      <c r="B36" s="4">
        <f ca="1">OFFSET(Waikato_Reference,63,5)</f>
        <v>1.8854250596</v>
      </c>
      <c r="C36" s="4">
        <f ca="1">$B36*('Updated Population'!C$26/'Updated Population'!$B$26)*('Total Trip Tables Sup #1'!C179/'Total Trip Tables Sup #1'!$B179)</f>
        <v>2.0802403564173009</v>
      </c>
      <c r="D36" s="4">
        <f ca="1">$B36*('Updated Population'!D$26/'Updated Population'!$B$26)*('Total Trip Tables Sup #1'!D179/'Total Trip Tables Sup #1'!$B179)</f>
        <v>2.2316002330956071</v>
      </c>
      <c r="E36" s="4">
        <f ca="1">$B36*('Updated Population'!E$26/'Updated Population'!$B$26)*('Total Trip Tables Sup #1'!E179/'Total Trip Tables Sup #1'!$B179)</f>
        <v>2.3817898898201171</v>
      </c>
      <c r="F36" s="4">
        <f ca="1">$B36*('Updated Population'!F$26/'Updated Population'!$B$26)*('Total Trip Tables Sup #1'!F179/'Total Trip Tables Sup #1'!$B179)</f>
        <v>2.5370244744764507</v>
      </c>
      <c r="G36" s="4">
        <f ca="1">$B36*('Updated Population'!G$26/'Updated Population'!$B$26)*('Total Trip Tables Sup #1'!G179/'Total Trip Tables Sup #1'!$B179)</f>
        <v>2.696712560513586</v>
      </c>
      <c r="H36" s="4">
        <f ca="1">$B36*('Updated Population'!H$26/'Updated Population'!$B$26)*('Total Trip Tables Sup #1'!H179/'Total Trip Tables Sup #1'!$B179)</f>
        <v>2.8400891522994991</v>
      </c>
      <c r="I36" s="1">
        <f ca="1">$B36*('Updated Population'!I$26/'Updated Population'!$B$26)*('Total Trip Tables Sup #1'!I179/'Total Trip Tables Sup #1'!$B179)</f>
        <v>2.9005261143623198</v>
      </c>
      <c r="J36" s="1">
        <f ca="1">$B36*('Updated Population'!J$26/'Updated Population'!$B$26)*('Total Trip Tables Sup #1'!J179/'Total Trip Tables Sup #1'!$B179)</f>
        <v>2.9528198225797015</v>
      </c>
      <c r="K36" s="1">
        <f ca="1">$B36*('Updated Population'!K$26/'Updated Population'!$B$26)*('Total Trip Tables Sup #1'!K179/'Total Trip Tables Sup #1'!$B179)</f>
        <v>2.9995961270691751</v>
      </c>
    </row>
    <row r="37" spans="1:11" x14ac:dyDescent="0.2">
      <c r="A37" t="str">
        <f ca="1">OFFSET(BOP_Reference,0,0)</f>
        <v>04 BAY OF PLENTY</v>
      </c>
      <c r="I37" s="1"/>
      <c r="J37" s="1"/>
      <c r="K37" s="1"/>
    </row>
    <row r="38" spans="1:11" x14ac:dyDescent="0.2">
      <c r="A38" t="str">
        <f ca="1">OFFSET(BOP_Reference,0,2)</f>
        <v>Pedestrian</v>
      </c>
      <c r="B38" s="4">
        <f ca="1">OFFSET(BOP_Reference,0,5)</f>
        <v>43.402809341999998</v>
      </c>
      <c r="C38" s="4">
        <f ca="1">$B38*('Updated Population'!C$37/'Updated Population'!$B$37)*('Total Trip Tables Sup #1'!C170/'Total Trip Tables Sup #1'!$B170)</f>
        <v>46.815408619326853</v>
      </c>
      <c r="D38" s="4">
        <f ca="1">$B38*('Updated Population'!D$37/'Updated Population'!$B$37)*('Total Trip Tables Sup #1'!D170/'Total Trip Tables Sup #1'!$B170)</f>
        <v>48.799470663173132</v>
      </c>
      <c r="E38" s="4">
        <f ca="1">$B38*('Updated Population'!E$37/'Updated Population'!$B$37)*('Total Trip Tables Sup #1'!E170/'Total Trip Tables Sup #1'!$B170)</f>
        <v>50.190746155024456</v>
      </c>
      <c r="F38" s="4">
        <f ca="1">$B38*('Updated Population'!F$37/'Updated Population'!$B$37)*('Total Trip Tables Sup #1'!F170/'Total Trip Tables Sup #1'!$B170)</f>
        <v>51.109912712358366</v>
      </c>
      <c r="G38" s="4">
        <f ca="1">$B38*('Updated Population'!G$37/'Updated Population'!$B$37)*('Total Trip Tables Sup #1'!G170/'Total Trip Tables Sup #1'!$B170)</f>
        <v>51.756764485008688</v>
      </c>
      <c r="H38" s="4">
        <f ca="1">$B38*('Updated Population'!H$37/'Updated Population'!$B$37)*('Total Trip Tables Sup #1'!H170/'Total Trip Tables Sup #1'!$B170)</f>
        <v>52.181127105995671</v>
      </c>
      <c r="I38" s="1">
        <f ca="1">$B38*('Updated Population'!I$37/'Updated Population'!$B$37)*('Total Trip Tables Sup #1'!I170/'Total Trip Tables Sup #1'!$B170)</f>
        <v>52.931564028635606</v>
      </c>
      <c r="J38" s="1">
        <f ca="1">$B38*('Updated Population'!J$37/'Updated Population'!$B$37)*('Total Trip Tables Sup #1'!J170/'Total Trip Tables Sup #1'!$B170)</f>
        <v>53.521879861716691</v>
      </c>
      <c r="K38" s="1">
        <f ca="1">$B38*('Updated Population'!K$37/'Updated Population'!$B$37)*('Total Trip Tables Sup #1'!K170/'Total Trip Tables Sup #1'!$B170)</f>
        <v>54.002474402223278</v>
      </c>
    </row>
    <row r="39" spans="1:11" x14ac:dyDescent="0.2">
      <c r="A39" t="str">
        <f ca="1">OFFSET(BOP_Reference,7,2)</f>
        <v>Cyclist</v>
      </c>
      <c r="B39" s="4">
        <f ca="1">OFFSET(BOP_Reference,7,5)</f>
        <v>5.1579391552000002</v>
      </c>
      <c r="C39" s="4">
        <f ca="1">$B39*('Updated Population'!C$37/'Updated Population'!$B$37)*('Total Trip Tables Sup #1'!C171/'Total Trip Tables Sup #1'!$B171)</f>
        <v>5.5084239636415981</v>
      </c>
      <c r="D39" s="4">
        <f ca="1">$B39*('Updated Population'!D$37/'Updated Population'!$B$37)*('Total Trip Tables Sup #1'!D171/'Total Trip Tables Sup #1'!$B171)</f>
        <v>5.6523998217114801</v>
      </c>
      <c r="E39" s="4">
        <f ca="1">$B39*('Updated Population'!E$37/'Updated Population'!$B$37)*('Total Trip Tables Sup #1'!E171/'Total Trip Tables Sup #1'!$B171)</f>
        <v>5.723701719569398</v>
      </c>
      <c r="F39" s="4">
        <f ca="1">$B39*('Updated Population'!F$37/'Updated Population'!$B$37)*('Total Trip Tables Sup #1'!F171/'Total Trip Tables Sup #1'!$B171)</f>
        <v>5.7823004233096995</v>
      </c>
      <c r="G39" s="4">
        <f ca="1">$B39*('Updated Population'!G$37/'Updated Population'!$B$37)*('Total Trip Tables Sup #1'!G171/'Total Trip Tables Sup #1'!$B171)</f>
        <v>5.8282645390421202</v>
      </c>
      <c r="H39" s="4">
        <f ca="1">$B39*('Updated Population'!H$37/'Updated Population'!$B$37)*('Total Trip Tables Sup #1'!H171/'Total Trip Tables Sup #1'!$B171)</f>
        <v>5.8630399172347989</v>
      </c>
      <c r="I39" s="1">
        <f ca="1">$B39*('Updated Population'!I$37/'Updated Population'!$B$37)*('Total Trip Tables Sup #1'!I171/'Total Trip Tables Sup #1'!$B171)</f>
        <v>5.9473585564981368</v>
      </c>
      <c r="J39" s="1">
        <f ca="1">$B39*('Updated Population'!J$37/'Updated Population'!$B$37)*('Total Trip Tables Sup #1'!J171/'Total Trip Tables Sup #1'!$B171)</f>
        <v>6.0136860868732418</v>
      </c>
      <c r="K39" s="1">
        <f ca="1">$B39*('Updated Population'!K$37/'Updated Population'!$B$37)*('Total Trip Tables Sup #1'!K171/'Total Trip Tables Sup #1'!$B171)</f>
        <v>6.067685399101042</v>
      </c>
    </row>
    <row r="40" spans="1:11" x14ac:dyDescent="0.2">
      <c r="A40" t="str">
        <f ca="1">OFFSET(BOP_Reference,14,2)</f>
        <v>Light Vehicle Driver</v>
      </c>
      <c r="B40" s="4">
        <f ca="1">OFFSET(BOP_Reference,14,5)</f>
        <v>178.59124365</v>
      </c>
      <c r="C40" s="4">
        <f ca="1">$B40*('Updated Population'!C$37/'Updated Population'!$B$37)*('Total Trip Tables Sup #1'!C172/'Total Trip Tables Sup #1'!$B172)</f>
        <v>197.78800704979633</v>
      </c>
      <c r="D40" s="4">
        <f ca="1">$B40*('Updated Population'!D$37/'Updated Population'!$B$37)*('Total Trip Tables Sup #1'!D172/'Total Trip Tables Sup #1'!$B172)</f>
        <v>209.50316221714863</v>
      </c>
      <c r="E40" s="4">
        <f ca="1">$B40*('Updated Population'!E$37/'Updated Population'!$B$37)*('Total Trip Tables Sup #1'!E172/'Total Trip Tables Sup #1'!$B172)</f>
        <v>216.98980605685585</v>
      </c>
      <c r="F40" s="4">
        <f ca="1">$B40*('Updated Population'!F$37/'Updated Population'!$B$37)*('Total Trip Tables Sup #1'!F172/'Total Trip Tables Sup #1'!$B172)</f>
        <v>223.47656048988887</v>
      </c>
      <c r="G40" s="4">
        <f ca="1">$B40*('Updated Population'!G$37/'Updated Population'!$B$37)*('Total Trip Tables Sup #1'!G172/'Total Trip Tables Sup #1'!$B172)</f>
        <v>227.69572782757876</v>
      </c>
      <c r="H40" s="4">
        <f ca="1">$B40*('Updated Population'!H$37/'Updated Population'!$B$37)*('Total Trip Tables Sup #1'!H172/'Total Trip Tables Sup #1'!$B172)</f>
        <v>231.01133476720202</v>
      </c>
      <c r="I40" s="1">
        <f ca="1">$B40*('Updated Population'!I$37/'Updated Population'!$B$37)*('Total Trip Tables Sup #1'!I172/'Total Trip Tables Sup #1'!$B172)</f>
        <v>234.33359790662209</v>
      </c>
      <c r="J40" s="1">
        <f ca="1">$B40*('Updated Population'!J$37/'Updated Population'!$B$37)*('Total Trip Tables Sup #1'!J172/'Total Trip Tables Sup #1'!$B172)</f>
        <v>236.94698815128407</v>
      </c>
      <c r="K40" s="1">
        <f ca="1">$B40*('Updated Population'!K$37/'Updated Population'!$B$37)*('Total Trip Tables Sup #1'!K172/'Total Trip Tables Sup #1'!$B172)</f>
        <v>239.07463070026034</v>
      </c>
    </row>
    <row r="41" spans="1:11" x14ac:dyDescent="0.2">
      <c r="A41" t="str">
        <f ca="1">OFFSET(BOP_Reference,21,2)</f>
        <v>Light Vehicle Passenger</v>
      </c>
      <c r="B41" s="4">
        <f ca="1">OFFSET(BOP_Reference,21,5)</f>
        <v>98.719582360000004</v>
      </c>
      <c r="C41" s="4">
        <f ca="1">$B41*('Updated Population'!C$37/'Updated Population'!$B$37)*('Total Trip Tables Sup #1'!C173/'Total Trip Tables Sup #1'!$B173)</f>
        <v>103.97986303580231</v>
      </c>
      <c r="D41" s="4">
        <f ca="1">$B41*('Updated Population'!D$37/'Updated Population'!$B$37)*('Total Trip Tables Sup #1'!D173/'Total Trip Tables Sup #1'!$B173)</f>
        <v>106.84420046980387</v>
      </c>
      <c r="E41" s="4">
        <f ca="1">$B41*('Updated Population'!E$37/'Updated Population'!$B$37)*('Total Trip Tables Sup #1'!E173/'Total Trip Tables Sup #1'!$B173)</f>
        <v>108.41474136045143</v>
      </c>
      <c r="F41" s="4">
        <f ca="1">$B41*('Updated Population'!F$37/'Updated Population'!$B$37)*('Total Trip Tables Sup #1'!F173/'Total Trip Tables Sup #1'!$B173)</f>
        <v>109.67963034772866</v>
      </c>
      <c r="G41" s="4">
        <f ca="1">$B41*('Updated Population'!G$37/'Updated Population'!$B$37)*('Total Trip Tables Sup #1'!G173/'Total Trip Tables Sup #1'!$B173)</f>
        <v>110.31352073673621</v>
      </c>
      <c r="H41" s="4">
        <f ca="1">$B41*('Updated Population'!H$37/'Updated Population'!$B$37)*('Total Trip Tables Sup #1'!H173/'Total Trip Tables Sup #1'!$B173)</f>
        <v>110.3681083302185</v>
      </c>
      <c r="I41" s="1">
        <f ca="1">$B41*('Updated Population'!I$37/'Updated Population'!$B$37)*('Total Trip Tables Sup #1'!I173/'Total Trip Tables Sup #1'!$B173)</f>
        <v>111.95535468089005</v>
      </c>
      <c r="J41" s="1">
        <f ca="1">$B41*('Updated Population'!J$37/'Updated Population'!$B$37)*('Total Trip Tables Sup #1'!J173/'Total Trip Tables Sup #1'!$B173)</f>
        <v>113.20392950914535</v>
      </c>
      <c r="K41" s="1">
        <f ca="1">$B41*('Updated Population'!K$37/'Updated Population'!$B$37)*('Total Trip Tables Sup #1'!K173/'Total Trip Tables Sup #1'!$B173)</f>
        <v>114.22043323858374</v>
      </c>
    </row>
    <row r="42" spans="1:11" x14ac:dyDescent="0.2">
      <c r="A42" t="str">
        <f ca="1">OFFSET(BOP_Reference,28,2)</f>
        <v>Taxi/Vehicle Share</v>
      </c>
      <c r="B42" s="4">
        <f ca="1">OFFSET(BOP_Reference,28,5)</f>
        <v>0.15552198610000001</v>
      </c>
      <c r="C42" s="4">
        <f ca="1">$B42*('Updated Population'!C$37/'Updated Population'!$B$37)*('Total Trip Tables Sup #1'!C174/'Total Trip Tables Sup #1'!$B174)</f>
        <v>0.18027639266991377</v>
      </c>
      <c r="D42" s="4">
        <f ca="1">$B42*('Updated Population'!D$37/'Updated Population'!$B$37)*('Total Trip Tables Sup #1'!D174/'Total Trip Tables Sup #1'!$B174)</f>
        <v>0.19865409666098507</v>
      </c>
      <c r="E42" s="4">
        <f ca="1">$B42*('Updated Population'!E$37/'Updated Population'!$B$37)*('Total Trip Tables Sup #1'!E174/'Total Trip Tables Sup #1'!$B174)</f>
        <v>0.21492058965211785</v>
      </c>
      <c r="F42" s="4">
        <f ca="1">$B42*('Updated Population'!F$37/'Updated Population'!$B$37)*('Total Trip Tables Sup #1'!F174/'Total Trip Tables Sup #1'!$B174)</f>
        <v>0.22923996113821685</v>
      </c>
      <c r="G42" s="4">
        <f ca="1">$B42*('Updated Population'!G$37/'Updated Population'!$B$37)*('Total Trip Tables Sup #1'!G174/'Total Trip Tables Sup #1'!$B174)</f>
        <v>0.24056716858139618</v>
      </c>
      <c r="H42" s="4">
        <f ca="1">$B42*('Updated Population'!H$37/'Updated Population'!$B$37)*('Total Trip Tables Sup #1'!H174/'Total Trip Tables Sup #1'!$B174)</f>
        <v>0.25143230643844477</v>
      </c>
      <c r="I42" s="1">
        <f ca="1">$B42*('Updated Population'!I$37/'Updated Population'!$B$37)*('Total Trip Tables Sup #1'!I174/'Total Trip Tables Sup #1'!$B174)</f>
        <v>0.25504825145076032</v>
      </c>
      <c r="J42" s="1">
        <f ca="1">$B42*('Updated Population'!J$37/'Updated Population'!$B$37)*('Total Trip Tables Sup #1'!J174/'Total Trip Tables Sup #1'!$B174)</f>
        <v>0.25789266052489196</v>
      </c>
      <c r="K42" s="1">
        <f ca="1">$B42*('Updated Population'!K$37/'Updated Population'!$B$37)*('Total Trip Tables Sup #1'!K174/'Total Trip Tables Sup #1'!$B174)</f>
        <v>0.26020838271187802</v>
      </c>
    </row>
    <row r="43" spans="1:11" x14ac:dyDescent="0.2">
      <c r="A43" t="str">
        <f ca="1">OFFSET(BOP_Reference,35,2)</f>
        <v>Motorcyclist</v>
      </c>
      <c r="B43" s="4">
        <f ca="1">OFFSET(BOP_Reference,35,5)</f>
        <v>0.90641599910000004</v>
      </c>
      <c r="C43" s="4">
        <f ca="1">$B43*('Updated Population'!C$37/'Updated Population'!$B$37)*('Total Trip Tables Sup #1'!C175/'Total Trip Tables Sup #1'!$B175)</f>
        <v>0.97675391876015505</v>
      </c>
      <c r="D43" s="4">
        <f ca="1">$B43*('Updated Population'!D$37/'Updated Population'!$B$37)*('Total Trip Tables Sup #1'!D175/'Total Trip Tables Sup #1'!$B175)</f>
        <v>1.0109314202179613</v>
      </c>
      <c r="E43" s="4">
        <f ca="1">$B43*('Updated Population'!E$37/'Updated Population'!$B$37)*('Total Trip Tables Sup #1'!E175/'Total Trip Tables Sup #1'!$B175)</f>
        <v>1.0249755890372991</v>
      </c>
      <c r="F43" s="4">
        <f ca="1">$B43*('Updated Population'!F$37/'Updated Population'!$B$37)*('Total Trip Tables Sup #1'!F175/'Total Trip Tables Sup #1'!$B175)</f>
        <v>1.0330186680207669</v>
      </c>
      <c r="G43" s="4">
        <f ca="1">$B43*('Updated Population'!G$37/'Updated Population'!$B$37)*('Total Trip Tables Sup #1'!G175/'Total Trip Tables Sup #1'!$B175)</f>
        <v>1.0224537728147551</v>
      </c>
      <c r="H43" s="4">
        <f ca="1">$B43*('Updated Population'!H$37/'Updated Population'!$B$37)*('Total Trip Tables Sup #1'!H175/'Total Trip Tables Sup #1'!$B175)</f>
        <v>1.0063479542072271</v>
      </c>
      <c r="I43" s="1">
        <f ca="1">$B43*('Updated Population'!I$37/'Updated Population'!$B$37)*('Total Trip Tables Sup #1'!I175/'Total Trip Tables Sup #1'!$B175)</f>
        <v>1.0208206324291105</v>
      </c>
      <c r="J43" s="1">
        <f ca="1">$B43*('Updated Population'!J$37/'Updated Population'!$B$37)*('Total Trip Tables Sup #1'!J175/'Total Trip Tables Sup #1'!$B175)</f>
        <v>1.0322052682908573</v>
      </c>
      <c r="K43" s="1">
        <f ca="1">$B43*('Updated Population'!K$37/'Updated Population'!$B$37)*('Total Trip Tables Sup #1'!K175/'Total Trip Tables Sup #1'!$B175)</f>
        <v>1.0414738556032688</v>
      </c>
    </row>
    <row r="44" spans="1:11" x14ac:dyDescent="0.2">
      <c r="A44" t="str">
        <f ca="1">OFFSET(Auckland_Reference,42,2)</f>
        <v>Local Train</v>
      </c>
      <c r="B44" s="4">
        <v>0</v>
      </c>
      <c r="C44" s="4">
        <f ca="1">$B44*('Updated Population'!C$37/'Updated Population'!$B$37)*('Total Trip Tables Sup #1'!C176/'Total Trip Tables Sup #1'!$B176)</f>
        <v>0</v>
      </c>
      <c r="D44" s="4">
        <f ca="1">$B44*('Updated Population'!D$37/'Updated Population'!$B$37)*('Total Trip Tables Sup #1'!D176/'Total Trip Tables Sup #1'!$B176)</f>
        <v>0</v>
      </c>
      <c r="E44" s="4">
        <f ca="1">$B44*('Updated Population'!E$37/'Updated Population'!$B$37)*('Total Trip Tables Sup #1'!E176/'Total Trip Tables Sup #1'!$B176)</f>
        <v>0</v>
      </c>
      <c r="F44" s="4">
        <f ca="1">$B44*('Updated Population'!F$37/'Updated Population'!$B$37)*('Total Trip Tables Sup #1'!F176/'Total Trip Tables Sup #1'!$B176)</f>
        <v>0</v>
      </c>
      <c r="G44" s="4">
        <f ca="1">$B44*('Updated Population'!G$37/'Updated Population'!$B$37)*('Total Trip Tables Sup #1'!G176/'Total Trip Tables Sup #1'!$B176)</f>
        <v>0</v>
      </c>
      <c r="H44" s="4">
        <f ca="1">$B44*('Updated Population'!H$37/'Updated Population'!$B$37)*('Total Trip Tables Sup #1'!H176/'Total Trip Tables Sup #1'!$B176)</f>
        <v>0</v>
      </c>
      <c r="I44" s="1">
        <f ca="1">$B44*('Updated Population'!I$37/'Updated Population'!$B$37)*('Total Trip Tables Sup #1'!I176/'Total Trip Tables Sup #1'!$B176)</f>
        <v>0</v>
      </c>
      <c r="J44" s="1">
        <f ca="1">$B44*('Updated Population'!J$37/'Updated Population'!$B$37)*('Total Trip Tables Sup #1'!J176/'Total Trip Tables Sup #1'!$B176)</f>
        <v>0</v>
      </c>
      <c r="K44" s="1">
        <f ca="1">$B44*('Updated Population'!K$37/'Updated Population'!$B$37)*('Total Trip Tables Sup #1'!K176/'Total Trip Tables Sup #1'!$B176)</f>
        <v>0</v>
      </c>
    </row>
    <row r="45" spans="1:11" x14ac:dyDescent="0.2">
      <c r="A45" t="str">
        <f ca="1">OFFSET(BOP_Reference,42,2)</f>
        <v>Local Bus</v>
      </c>
      <c r="B45" s="4">
        <f ca="1">OFFSET(BOP_Reference,42,5)</f>
        <v>7.4672006229000001</v>
      </c>
      <c r="C45" s="4">
        <f ca="1">$B45*('Updated Population'!C$37/'Updated Population'!$B$37)*('Total Trip Tables Sup #1'!C177/'Total Trip Tables Sup #1'!$B177)</f>
        <v>7.5317084012296869</v>
      </c>
      <c r="D45" s="4">
        <f ca="1">$B45*('Updated Population'!D$37/'Updated Population'!$B$37)*('Total Trip Tables Sup #1'!D177/'Total Trip Tables Sup #1'!$B177)</f>
        <v>7.5076139466515563</v>
      </c>
      <c r="E45" s="4">
        <f ca="1">$B45*('Updated Population'!E$37/'Updated Population'!$B$37)*('Total Trip Tables Sup #1'!E177/'Total Trip Tables Sup #1'!$B177)</f>
        <v>7.5149001072423935</v>
      </c>
      <c r="F45" s="4">
        <f ca="1">$B45*('Updated Population'!F$37/'Updated Population'!$B$37)*('Total Trip Tables Sup #1'!F177/'Total Trip Tables Sup #1'!$B177)</f>
        <v>7.4404672134723944</v>
      </c>
      <c r="G45" s="4">
        <f ca="1">$B45*('Updated Population'!G$37/'Updated Population'!$B$37)*('Total Trip Tables Sup #1'!G177/'Total Trip Tables Sup #1'!$B177)</f>
        <v>7.4112918996497816</v>
      </c>
      <c r="H45" s="4">
        <f ca="1">$B45*('Updated Population'!H$37/'Updated Population'!$B$37)*('Total Trip Tables Sup #1'!H177/'Total Trip Tables Sup #1'!$B177)</f>
        <v>7.3453743291984299</v>
      </c>
      <c r="I45" s="1">
        <f ca="1">$B45*('Updated Population'!I$37/'Updated Population'!$B$37)*('Total Trip Tables Sup #1'!I177/'Total Trip Tables Sup #1'!$B177)</f>
        <v>7.4510109915887428</v>
      </c>
      <c r="J45" s="1">
        <f ca="1">$B45*('Updated Population'!J$37/'Updated Population'!$B$37)*('Total Trip Tables Sup #1'!J177/'Total Trip Tables Sup #1'!$B177)</f>
        <v>7.5341079081736479</v>
      </c>
      <c r="K45" s="1">
        <f ca="1">$B45*('Updated Population'!K$37/'Updated Population'!$B$37)*('Total Trip Tables Sup #1'!K177/'Total Trip Tables Sup #1'!$B177)</f>
        <v>7.6017597010032496</v>
      </c>
    </row>
    <row r="46" spans="1:11" x14ac:dyDescent="0.2">
      <c r="A46" t="str">
        <f ca="1">OFFSET(Waikato_Reference,56,2)</f>
        <v>Local Ferry</v>
      </c>
      <c r="B46" s="4">
        <v>0</v>
      </c>
      <c r="C46" s="4">
        <f ca="1">$B46*('Updated Population'!C$37/'Updated Population'!$B$37)*('Total Trip Tables Sup #1'!C178/'Total Trip Tables Sup #1'!$B178)</f>
        <v>0</v>
      </c>
      <c r="D46" s="4">
        <f ca="1">$B46*('Updated Population'!D$37/'Updated Population'!$B$37)*('Total Trip Tables Sup #1'!D178/'Total Trip Tables Sup #1'!$B178)</f>
        <v>0</v>
      </c>
      <c r="E46" s="4">
        <f ca="1">$B46*('Updated Population'!E$37/'Updated Population'!$B$37)*('Total Trip Tables Sup #1'!E178/'Total Trip Tables Sup #1'!$B178)</f>
        <v>0</v>
      </c>
      <c r="F46" s="4">
        <f ca="1">$B46*('Updated Population'!F$37/'Updated Population'!$B$37)*('Total Trip Tables Sup #1'!F178/'Total Trip Tables Sup #1'!$B178)</f>
        <v>0</v>
      </c>
      <c r="G46" s="4">
        <f ca="1">$B46*('Updated Population'!G$37/'Updated Population'!$B$37)*('Total Trip Tables Sup #1'!G178/'Total Trip Tables Sup #1'!$B178)</f>
        <v>0</v>
      </c>
      <c r="H46" s="4">
        <f ca="1">$B46*('Updated Population'!H$37/'Updated Population'!$B$37)*('Total Trip Tables Sup #1'!H178/'Total Trip Tables Sup #1'!$B178)</f>
        <v>0</v>
      </c>
      <c r="I46" s="1">
        <f ca="1">$B46*('Updated Population'!I$37/'Updated Population'!$B$37)*('Total Trip Tables Sup #1'!I178/'Total Trip Tables Sup #1'!$B178)</f>
        <v>0</v>
      </c>
      <c r="J46" s="1">
        <f ca="1">$B46*('Updated Population'!J$37/'Updated Population'!$B$37)*('Total Trip Tables Sup #1'!J178/'Total Trip Tables Sup #1'!$B178)</f>
        <v>0</v>
      </c>
      <c r="K46" s="1">
        <f ca="1">$B46*('Updated Population'!K$37/'Updated Population'!$B$37)*('Total Trip Tables Sup #1'!K178/'Total Trip Tables Sup #1'!$B178)</f>
        <v>0</v>
      </c>
    </row>
    <row r="47" spans="1:11" x14ac:dyDescent="0.2">
      <c r="A47" t="str">
        <f ca="1">OFFSET(BOP_Reference,49,2)</f>
        <v>Other Household Travel</v>
      </c>
      <c r="B47" s="4">
        <f ca="1">OFFSET(BOP_Reference,49,5)</f>
        <v>0.59853678389999998</v>
      </c>
      <c r="C47" s="4">
        <f ca="1">$B47*('Updated Population'!C$37/'Updated Population'!$B$37)*('Total Trip Tables Sup #1'!C179/'Total Trip Tables Sup #1'!$B179)</f>
        <v>0.65123610895789175</v>
      </c>
      <c r="D47" s="4">
        <f ca="1">$B47*('Updated Population'!D$37/'Updated Population'!$B$37)*('Total Trip Tables Sup #1'!D179/'Total Trip Tables Sup #1'!$B179)</f>
        <v>0.69385926903306294</v>
      </c>
      <c r="E47" s="4">
        <f ca="1">$B47*('Updated Population'!E$37/'Updated Population'!$B$37)*('Total Trip Tables Sup #1'!E179/'Total Trip Tables Sup #1'!$B179)</f>
        <v>0.73561980126385185</v>
      </c>
      <c r="F47" s="4">
        <f ca="1">$B47*('Updated Population'!F$37/'Updated Population'!$B$37)*('Total Trip Tables Sup #1'!F179/'Total Trip Tables Sup #1'!$B179)</f>
        <v>0.77853542720995472</v>
      </c>
      <c r="G47" s="4">
        <f ca="1">$B47*('Updated Population'!G$37/'Updated Population'!$B$37)*('Total Trip Tables Sup #1'!G179/'Total Trip Tables Sup #1'!$B179)</f>
        <v>0.82192354212382601</v>
      </c>
      <c r="H47" s="4">
        <f ca="1">$B47*('Updated Population'!H$37/'Updated Population'!$B$37)*('Total Trip Tables Sup #1'!H179/'Total Trip Tables Sup #1'!$B179)</f>
        <v>0.8597757653581688</v>
      </c>
      <c r="I47" s="1">
        <f ca="1">$B47*('Updated Population'!I$37/'Updated Population'!$B$37)*('Total Trip Tables Sup #1'!I179/'Total Trip Tables Sup #1'!$B179)</f>
        <v>0.87214053237834388</v>
      </c>
      <c r="J47" s="1">
        <f ca="1">$B47*('Updated Population'!J$37/'Updated Population'!$B$37)*('Total Trip Tables Sup #1'!J179/'Total Trip Tables Sup #1'!$B179)</f>
        <v>0.88186702307218001</v>
      </c>
      <c r="K47" s="1">
        <f ca="1">$B47*('Updated Population'!K$37/'Updated Population'!$B$37)*('Total Trip Tables Sup #1'!K179/'Total Trip Tables Sup #1'!$B179)</f>
        <v>0.88978566266100412</v>
      </c>
    </row>
    <row r="48" spans="1:11" x14ac:dyDescent="0.2">
      <c r="A48" t="str">
        <f ca="1">OFFSET(Gisborne_Reference,0,0)</f>
        <v>05 GISBORNE</v>
      </c>
      <c r="I48" s="1"/>
      <c r="J48" s="1"/>
      <c r="K48" s="1"/>
    </row>
    <row r="49" spans="1:11" x14ac:dyDescent="0.2">
      <c r="A49" t="str">
        <f ca="1">OFFSET(Gisborne_Reference,0,2)</f>
        <v>Pedestrian</v>
      </c>
      <c r="B49" s="4">
        <f ca="1">OFFSET(Gisborne_Reference,0,5)</f>
        <v>12.564280467</v>
      </c>
      <c r="C49" s="4">
        <f ca="1">$B49*('Updated Population'!C$48/'Updated Population'!$B$48)*('Total Trip Tables Sup #1'!C170/'Total Trip Tables Sup #1'!$B170)</f>
        <v>12.888021483073437</v>
      </c>
      <c r="D49" s="4">
        <f ca="1">$B49*('Updated Population'!D$48/'Updated Population'!$B$48)*('Total Trip Tables Sup #1'!D170/'Total Trip Tables Sup #1'!$B170)</f>
        <v>13.043177088188623</v>
      </c>
      <c r="E49" s="4">
        <f ca="1">$B49*('Updated Population'!E$48/'Updated Population'!$B$48)*('Total Trip Tables Sup #1'!E170/'Total Trip Tables Sup #1'!$B170)</f>
        <v>13.108632702079941</v>
      </c>
      <c r="F49" s="4">
        <f ca="1">$B49*('Updated Population'!F$48/'Updated Population'!$B$48)*('Total Trip Tables Sup #1'!F170/'Total Trip Tables Sup #1'!$B170)</f>
        <v>13.048953276345129</v>
      </c>
      <c r="G49" s="4">
        <f ca="1">$B49*('Updated Population'!G$48/'Updated Population'!$B$48)*('Total Trip Tables Sup #1'!G170/'Total Trip Tables Sup #1'!$B170)</f>
        <v>12.902709700457425</v>
      </c>
      <c r="H49" s="4">
        <f ca="1">$B49*('Updated Population'!H$48/'Updated Population'!$B$48)*('Total Trip Tables Sup #1'!H170/'Total Trip Tables Sup #1'!$B170)</f>
        <v>12.703712991116022</v>
      </c>
      <c r="I49" s="1">
        <f ca="1">$B49*('Updated Population'!I$48/'Updated Population'!$B$48)*('Total Trip Tables Sup #1'!I170/'Total Trip Tables Sup #1'!$B170)</f>
        <v>12.584482331312451</v>
      </c>
      <c r="J49" s="1">
        <f ca="1">$B49*('Updated Population'!J$48/'Updated Population'!$B$48)*('Total Trip Tables Sup #1'!J170/'Total Trip Tables Sup #1'!$B170)</f>
        <v>12.426688104523784</v>
      </c>
      <c r="K49" s="1">
        <f ca="1">$B49*('Updated Population'!K$48/'Updated Population'!$B$48)*('Total Trip Tables Sup #1'!K170/'Total Trip Tables Sup #1'!$B170)</f>
        <v>12.244501529634562</v>
      </c>
    </row>
    <row r="50" spans="1:11" x14ac:dyDescent="0.2">
      <c r="A50" t="str">
        <f ca="1">OFFSET(Gisborne_Reference,7,2)</f>
        <v>Cyclist</v>
      </c>
      <c r="B50" s="4">
        <f ca="1">OFFSET(Gisborne_Reference,7,5)</f>
        <v>1.1119455742</v>
      </c>
      <c r="C50" s="4">
        <f ca="1">$B50*('Updated Population'!C$48/'Updated Population'!$B$48)*('Total Trip Tables Sup #1'!C171/'Total Trip Tables Sup #1'!$B171)</f>
        <v>1.1293077965034894</v>
      </c>
      <c r="D50" s="4">
        <f ca="1">$B50*('Updated Population'!D$48/'Updated Population'!$B$48)*('Total Trip Tables Sup #1'!D171/'Total Trip Tables Sup #1'!$B171)</f>
        <v>1.1250936878549096</v>
      </c>
      <c r="E50" s="4">
        <f ca="1">$B50*('Updated Population'!E$48/'Updated Population'!$B$48)*('Total Trip Tables Sup #1'!E171/'Total Trip Tables Sup #1'!$B171)</f>
        <v>1.1132642695140373</v>
      </c>
      <c r="F50" s="4">
        <f ca="1">$B50*('Updated Population'!F$48/'Updated Population'!$B$48)*('Total Trip Tables Sup #1'!F171/'Total Trip Tables Sup #1'!$B171)</f>
        <v>1.0994075708816669</v>
      </c>
      <c r="G50" s="4">
        <f ca="1">$B50*('Updated Population'!G$48/'Updated Population'!$B$48)*('Total Trip Tables Sup #1'!G171/'Total Trip Tables Sup #1'!$B171)</f>
        <v>1.0820332271344102</v>
      </c>
      <c r="H50" s="4">
        <f ca="1">$B50*('Updated Population'!H$48/'Updated Population'!$B$48)*('Total Trip Tables Sup #1'!H171/'Total Trip Tables Sup #1'!$B171)</f>
        <v>1.0629861434874748</v>
      </c>
      <c r="I50" s="1">
        <f ca="1">$B50*('Updated Population'!I$48/'Updated Population'!$B$48)*('Total Trip Tables Sup #1'!I171/'Total Trip Tables Sup #1'!$B171)</f>
        <v>1.0530094902571399</v>
      </c>
      <c r="J50" s="1">
        <f ca="1">$B50*('Updated Population'!J$48/'Updated Population'!$B$48)*('Total Trip Tables Sup #1'!J171/'Total Trip Tables Sup #1'!$B171)</f>
        <v>1.0398060215770795</v>
      </c>
      <c r="K50" s="1">
        <f ca="1">$B50*('Updated Population'!K$48/'Updated Population'!$B$48)*('Total Trip Tables Sup #1'!K171/'Total Trip Tables Sup #1'!$B171)</f>
        <v>1.0245615174882263</v>
      </c>
    </row>
    <row r="51" spans="1:11" x14ac:dyDescent="0.2">
      <c r="A51" t="str">
        <f ca="1">OFFSET(Gisborne_Reference,14,2)</f>
        <v>Light Vehicle Driver</v>
      </c>
      <c r="B51" s="4">
        <f ca="1">OFFSET(Gisborne_Reference,14,5)</f>
        <v>28.776347379000001</v>
      </c>
      <c r="C51" s="4">
        <f ca="1">$B51*('Updated Population'!C$48/'Updated Population'!$B$48)*('Total Trip Tables Sup #1'!C172/'Total Trip Tables Sup #1'!$B172)</f>
        <v>30.307709230975345</v>
      </c>
      <c r="D51" s="4">
        <f ca="1">$B51*('Updated Population'!D$48/'Updated Population'!$B$48)*('Total Trip Tables Sup #1'!D172/'Total Trip Tables Sup #1'!$B172)</f>
        <v>31.168405599650637</v>
      </c>
      <c r="E51" s="4">
        <f ca="1">$B51*('Updated Population'!E$48/'Updated Population'!$B$48)*('Total Trip Tables Sup #1'!E172/'Total Trip Tables Sup #1'!$B172)</f>
        <v>31.544874146566702</v>
      </c>
      <c r="F51" s="4">
        <f ca="1">$B51*('Updated Population'!F$48/'Updated Population'!$B$48)*('Total Trip Tables Sup #1'!F172/'Total Trip Tables Sup #1'!$B172)</f>
        <v>31.758372622420929</v>
      </c>
      <c r="G51" s="4">
        <f ca="1">$B51*('Updated Population'!G$48/'Updated Population'!$B$48)*('Total Trip Tables Sup #1'!G172/'Total Trip Tables Sup #1'!$B172)</f>
        <v>31.595440444597479</v>
      </c>
      <c r="H51" s="4">
        <f ca="1">$B51*('Updated Population'!H$48/'Updated Population'!$B$48)*('Total Trip Tables Sup #1'!H172/'Total Trip Tables Sup #1'!$B172)</f>
        <v>31.304461099212642</v>
      </c>
      <c r="I51" s="1">
        <f ca="1">$B51*('Updated Population'!I$48/'Updated Population'!$B$48)*('Total Trip Tables Sup #1'!I172/'Total Trip Tables Sup #1'!$B172)</f>
        <v>31.010653174374877</v>
      </c>
      <c r="J51" s="1">
        <f ca="1">$B51*('Updated Population'!J$48/'Updated Population'!$B$48)*('Total Trip Tables Sup #1'!J172/'Total Trip Tables Sup #1'!$B172)</f>
        <v>30.621816994146265</v>
      </c>
      <c r="K51" s="1">
        <f ca="1">$B51*('Updated Population'!K$48/'Updated Population'!$B$48)*('Total Trip Tables Sup #1'!K172/'Total Trip Tables Sup #1'!$B172)</f>
        <v>30.172873244361703</v>
      </c>
    </row>
    <row r="52" spans="1:11" x14ac:dyDescent="0.2">
      <c r="A52" t="str">
        <f ca="1">OFFSET(Gisborne_Reference,21,2)</f>
        <v>Light Vehicle Passenger</v>
      </c>
      <c r="B52" s="4">
        <f ca="1">OFFSET(Gisborne_Reference,21,5)</f>
        <v>18.791024854</v>
      </c>
      <c r="C52" s="4">
        <f ca="1">$B52*('Updated Population'!C$48/'Updated Population'!$B$48)*('Total Trip Tables Sup #1'!C173/'Total Trip Tables Sup #1'!$B173)</f>
        <v>18.822358903324659</v>
      </c>
      <c r="D52" s="4">
        <f ca="1">$B52*('Updated Population'!D$48/'Updated Population'!$B$48)*('Total Trip Tables Sup #1'!D173/'Total Trip Tables Sup #1'!$B173)</f>
        <v>18.777882163430384</v>
      </c>
      <c r="E52" s="4">
        <f ca="1">$B52*('Updated Population'!E$48/'Updated Population'!$B$48)*('Total Trip Tables Sup #1'!E173/'Total Trip Tables Sup #1'!$B173)</f>
        <v>18.618704409334288</v>
      </c>
      <c r="F52" s="4">
        <f ca="1">$B52*('Updated Population'!F$48/'Updated Population'!$B$48)*('Total Trip Tables Sup #1'!F173/'Total Trip Tables Sup #1'!$B173)</f>
        <v>18.412971934017246</v>
      </c>
      <c r="G52" s="4">
        <f ca="1">$B52*('Updated Population'!G$48/'Updated Population'!$B$48)*('Total Trip Tables Sup #1'!G173/'Total Trip Tables Sup #1'!$B173)</f>
        <v>18.082976960516422</v>
      </c>
      <c r="H52" s="4">
        <f ca="1">$B52*('Updated Population'!H$48/'Updated Population'!$B$48)*('Total Trip Tables Sup #1'!H173/'Total Trip Tables Sup #1'!$B173)</f>
        <v>17.668032645912255</v>
      </c>
      <c r="I52" s="1">
        <f ca="1">$B52*('Updated Population'!I$48/'Updated Population'!$B$48)*('Total Trip Tables Sup #1'!I173/'Total Trip Tables Sup #1'!$B173)</f>
        <v>17.502209379023565</v>
      </c>
      <c r="J52" s="1">
        <f ca="1">$B52*('Updated Population'!J$48/'Updated Population'!$B$48)*('Total Trip Tables Sup #1'!J173/'Total Trip Tables Sup #1'!$B173)</f>
        <v>17.282752787695635</v>
      </c>
      <c r="K52" s="1">
        <f ca="1">$B52*('Updated Population'!K$48/'Updated Population'!$B$48)*('Total Trip Tables Sup #1'!K173/'Total Trip Tables Sup #1'!$B173)</f>
        <v>17.02937187811111</v>
      </c>
    </row>
    <row r="53" spans="1:11" x14ac:dyDescent="0.2">
      <c r="A53" t="str">
        <f ca="1">OFFSET(Gisborne_Reference,28,2)</f>
        <v>Taxi/Vehicle Share</v>
      </c>
      <c r="B53" s="4">
        <f ca="1">OFFSET(Gisborne_Reference,28,5)</f>
        <v>2.27015811E-2</v>
      </c>
      <c r="C53" s="4">
        <f ca="1">$B53*('Updated Population'!C$48/'Updated Population'!$B$48)*('Total Trip Tables Sup #1'!C174/'Total Trip Tables Sup #1'!$B174)</f>
        <v>2.5025388177669437E-2</v>
      </c>
      <c r="D53" s="4">
        <f ca="1">$B53*('Updated Population'!D$48/'Updated Population'!$B$48)*('Total Trip Tables Sup #1'!D174/'Total Trip Tables Sup #1'!$B174)</f>
        <v>2.6773819774677132E-2</v>
      </c>
      <c r="E53" s="4">
        <f ca="1">$B53*('Updated Population'!E$48/'Updated Population'!$B$48)*('Total Trip Tables Sup #1'!E174/'Total Trip Tables Sup #1'!$B174)</f>
        <v>2.8304552741125984E-2</v>
      </c>
      <c r="F53" s="4">
        <f ca="1">$B53*('Updated Population'!F$48/'Updated Population'!$B$48)*('Total Trip Tables Sup #1'!F174/'Total Trip Tables Sup #1'!$B174)</f>
        <v>2.9512458778730807E-2</v>
      </c>
      <c r="G53" s="4">
        <f ca="1">$B53*('Updated Population'!G$48/'Updated Population'!$B$48)*('Total Trip Tables Sup #1'!G174/'Total Trip Tables Sup #1'!$B174)</f>
        <v>3.0240898758568051E-2</v>
      </c>
      <c r="H53" s="4">
        <f ca="1">$B53*('Updated Population'!H$48/'Updated Population'!$B$48)*('Total Trip Tables Sup #1'!H174/'Total Trip Tables Sup #1'!$B174)</f>
        <v>3.0866175954314685E-2</v>
      </c>
      <c r="I53" s="1">
        <f ca="1">$B53*('Updated Population'!I$48/'Updated Population'!$B$48)*('Total Trip Tables Sup #1'!I174/'Total Trip Tables Sup #1'!$B174)</f>
        <v>3.0576481553376968E-2</v>
      </c>
      <c r="J53" s="1">
        <f ca="1">$B53*('Updated Population'!J$48/'Updated Population'!$B$48)*('Total Trip Tables Sup #1'!J174/'Total Trip Tables Sup #1'!$B174)</f>
        <v>3.0193089361500457E-2</v>
      </c>
      <c r="K53" s="1">
        <f ca="1">$B53*('Updated Population'!K$48/'Updated Population'!$B$48)*('Total Trip Tables Sup #1'!K174/'Total Trip Tables Sup #1'!$B174)</f>
        <v>2.9750431149607823E-2</v>
      </c>
    </row>
    <row r="54" spans="1:11" x14ac:dyDescent="0.2">
      <c r="A54" t="str">
        <f ca="1">OFFSET(Gisborne_Reference,35,2)</f>
        <v>Motorcyclist</v>
      </c>
      <c r="B54" s="4">
        <f ca="1">OFFSET(Gisborne_Reference,35,5)</f>
        <v>0.20072163900000001</v>
      </c>
      <c r="C54" s="4">
        <f ca="1">$B54*('Updated Population'!C$48/'Updated Population'!$B$48)*('Total Trip Tables Sup #1'!C175/'Total Trip Tables Sup #1'!$B175)</f>
        <v>0.20569770482515648</v>
      </c>
      <c r="D54" s="4">
        <f ca="1">$B54*('Updated Population'!D$48/'Updated Population'!$B$48)*('Total Trip Tables Sup #1'!D175/'Total Trip Tables Sup #1'!$B175)</f>
        <v>0.20669826206421121</v>
      </c>
      <c r="E54" s="4">
        <f ca="1">$B54*('Updated Population'!E$48/'Updated Population'!$B$48)*('Total Trip Tables Sup #1'!E175/'Total Trip Tables Sup #1'!$B175)</f>
        <v>0.20478310124913343</v>
      </c>
      <c r="F54" s="4">
        <f ca="1">$B54*('Updated Population'!F$48/'Updated Population'!$B$48)*('Total Trip Tables Sup #1'!F175/'Total Trip Tables Sup #1'!$B175)</f>
        <v>0.20175558110333169</v>
      </c>
      <c r="G54" s="4">
        <f ca="1">$B54*('Updated Population'!G$48/'Updated Population'!$B$48)*('Total Trip Tables Sup #1'!G175/'Total Trip Tables Sup #1'!$B175)</f>
        <v>0.19498640827225566</v>
      </c>
      <c r="H54" s="4">
        <f ca="1">$B54*('Updated Population'!H$48/'Updated Population'!$B$48)*('Total Trip Tables Sup #1'!H175/'Total Trip Tables Sup #1'!$B175)</f>
        <v>0.18741840454328904</v>
      </c>
      <c r="I54" s="1">
        <f ca="1">$B54*('Updated Population'!I$48/'Updated Population'!$B$48)*('Total Trip Tables Sup #1'!I175/'Total Trip Tables Sup #1'!$B175)</f>
        <v>0.18565938967506457</v>
      </c>
      <c r="J54" s="1">
        <f ca="1">$B54*('Updated Population'!J$48/'Updated Population'!$B$48)*('Total Trip Tables Sup #1'!J175/'Total Trip Tables Sup #1'!$B175)</f>
        <v>0.18333144490399211</v>
      </c>
      <c r="K54" s="1">
        <f ca="1">$B54*('Updated Population'!K$48/'Updated Population'!$B$48)*('Total Trip Tables Sup #1'!K175/'Total Trip Tables Sup #1'!$B175)</f>
        <v>0.18064363880991371</v>
      </c>
    </row>
    <row r="55" spans="1:11" x14ac:dyDescent="0.2">
      <c r="A55" t="str">
        <f ca="1">OFFSET(Gisborne_Reference,42,2)</f>
        <v>Local Train</v>
      </c>
      <c r="B55" s="4">
        <v>0</v>
      </c>
      <c r="C55" s="4">
        <f ca="1">$B55*('Updated Population'!C$48/'Updated Population'!$B$48)*('Total Trip Tables Sup #1'!C176/'Total Trip Tables Sup #1'!$B176)</f>
        <v>0</v>
      </c>
      <c r="D55" s="4">
        <f ca="1">$B55*('Updated Population'!D$48/'Updated Population'!$B$48)*('Total Trip Tables Sup #1'!D176/'Total Trip Tables Sup #1'!$B176)</f>
        <v>0</v>
      </c>
      <c r="E55" s="4">
        <f ca="1">$B55*('Updated Population'!E$48/'Updated Population'!$B$48)*('Total Trip Tables Sup #1'!E176/'Total Trip Tables Sup #1'!$B176)</f>
        <v>0</v>
      </c>
      <c r="F55" s="4">
        <f ca="1">$B55*('Updated Population'!F$48/'Updated Population'!$B$48)*('Total Trip Tables Sup #1'!F176/'Total Trip Tables Sup #1'!$B176)</f>
        <v>0</v>
      </c>
      <c r="G55" s="4">
        <f ca="1">$B55*('Updated Population'!G$48/'Updated Population'!$B$48)*('Total Trip Tables Sup #1'!G176/'Total Trip Tables Sup #1'!$B176)</f>
        <v>0</v>
      </c>
      <c r="H55" s="4">
        <f ca="1">$B55*('Updated Population'!H$48/'Updated Population'!$B$48)*('Total Trip Tables Sup #1'!H176/'Total Trip Tables Sup #1'!$B176)</f>
        <v>0</v>
      </c>
      <c r="I55" s="1">
        <f ca="1">$B55*('Updated Population'!I$48/'Updated Population'!$B$48)*('Total Trip Tables Sup #1'!I176/'Total Trip Tables Sup #1'!$B176)</f>
        <v>0</v>
      </c>
      <c r="J55" s="1">
        <f ca="1">$B55*('Updated Population'!J$48/'Updated Population'!$B$48)*('Total Trip Tables Sup #1'!J176/'Total Trip Tables Sup #1'!$B176)</f>
        <v>0</v>
      </c>
      <c r="K55" s="1">
        <f ca="1">$B55*('Updated Population'!K$48/'Updated Population'!$B$48)*('Total Trip Tables Sup #1'!K176/'Total Trip Tables Sup #1'!$B176)</f>
        <v>0</v>
      </c>
    </row>
    <row r="56" spans="1:11" x14ac:dyDescent="0.2">
      <c r="A56" t="str">
        <f ca="1">OFFSET(Gisborne_Reference,49,2)</f>
        <v>Local Bus</v>
      </c>
      <c r="B56" s="4">
        <f ca="1">OFFSET(Gisborne_Reference,49,5)</f>
        <v>0.39415976190000002</v>
      </c>
      <c r="C56" s="4">
        <f ca="1">$B56*('Updated Population'!C$48/'Updated Population'!$B$48)*('Total Trip Tables Sup #1'!C177/'Total Trip Tables Sup #1'!$B177)</f>
        <v>0.37808166447426561</v>
      </c>
      <c r="D56" s="4">
        <f ca="1">$B56*('Updated Population'!D$48/'Updated Population'!$B$48)*('Total Trip Tables Sup #1'!D177/'Total Trip Tables Sup #1'!$B177)</f>
        <v>0.36590209650331978</v>
      </c>
      <c r="E56" s="4">
        <f ca="1">$B56*('Updated Population'!E$48/'Updated Population'!$B$48)*('Total Trip Tables Sup #1'!E177/'Total Trip Tables Sup #1'!$B177)</f>
        <v>0.35789171157227068</v>
      </c>
      <c r="F56" s="4">
        <f ca="1">$B56*('Updated Population'!F$48/'Updated Population'!$B$48)*('Total Trip Tables Sup #1'!F177/'Total Trip Tables Sup #1'!$B177)</f>
        <v>0.34639006713375592</v>
      </c>
      <c r="G56" s="4">
        <f ca="1">$B56*('Updated Population'!G$48/'Updated Population'!$B$48)*('Total Trip Tables Sup #1'!G177/'Total Trip Tables Sup #1'!$B177)</f>
        <v>0.33690108646560835</v>
      </c>
      <c r="H56" s="4">
        <f ca="1">$B56*('Updated Population'!H$48/'Updated Population'!$B$48)*('Total Trip Tables Sup #1'!H177/'Total Trip Tables Sup #1'!$B177)</f>
        <v>0.32608125702788182</v>
      </c>
      <c r="I56" s="1">
        <f ca="1">$B56*('Updated Population'!I$48/'Updated Population'!$B$48)*('Total Trip Tables Sup #1'!I177/'Total Trip Tables Sup #1'!$B177)</f>
        <v>0.32302082237761842</v>
      </c>
      <c r="J56" s="1">
        <f ca="1">$B56*('Updated Population'!J$48/'Updated Population'!$B$48)*('Total Trip Tables Sup #1'!J177/'Total Trip Tables Sup #1'!$B177)</f>
        <v>0.31897053095030314</v>
      </c>
      <c r="K56" s="1">
        <f ca="1">$B56*('Updated Population'!K$48/'Updated Population'!$B$48)*('Total Trip Tables Sup #1'!K177/'Total Trip Tables Sup #1'!$B177)</f>
        <v>0.31429413221593105</v>
      </c>
    </row>
    <row r="57" spans="1:11" x14ac:dyDescent="0.2">
      <c r="A57" t="str">
        <f ca="1">OFFSET(Gisborne_Reference,56,2)</f>
        <v>Local Ferry</v>
      </c>
      <c r="B57" s="4">
        <f ca="1">OFFSET(Gisborne_Reference,56,5)</f>
        <v>1.5651153399999999E-2</v>
      </c>
      <c r="C57" s="4">
        <f ca="1">$B57*('Updated Population'!C$48/'Updated Population'!$B$48)*('Total Trip Tables Sup #1'!C178/'Total Trip Tables Sup #1'!$B178)</f>
        <v>1.735965063181227E-2</v>
      </c>
      <c r="D57" s="4">
        <f ca="1">$B57*('Updated Population'!D$48/'Updated Population'!$B$48)*('Total Trip Tables Sup #1'!D178/'Total Trip Tables Sup #1'!$B178)</f>
        <v>1.870707310131136E-2</v>
      </c>
      <c r="E57" s="4">
        <f ca="1">$B57*('Updated Population'!E$48/'Updated Population'!$B$48)*('Total Trip Tables Sup #1'!E178/'Total Trip Tables Sup #1'!$B178)</f>
        <v>1.9670908246988313E-2</v>
      </c>
      <c r="F57" s="4">
        <f ca="1">$B57*('Updated Population'!F$48/'Updated Population'!$B$48)*('Total Trip Tables Sup #1'!F178/'Total Trip Tables Sup #1'!$B178)</f>
        <v>2.0418625867079866E-2</v>
      </c>
      <c r="G57" s="4">
        <f ca="1">$B57*('Updated Population'!G$48/'Updated Population'!$B$48)*('Total Trip Tables Sup #1'!G178/'Total Trip Tables Sup #1'!$B178)</f>
        <v>2.1548933288570302E-2</v>
      </c>
      <c r="H57" s="4">
        <f ca="1">$B57*('Updated Population'!H$48/'Updated Population'!$B$48)*('Total Trip Tables Sup #1'!H178/'Total Trip Tables Sup #1'!$B178)</f>
        <v>2.254876003900155E-2</v>
      </c>
      <c r="I57" s="1">
        <f ca="1">$B57*('Updated Population'!I$48/'Updated Population'!$B$48)*('Total Trip Tables Sup #1'!I178/'Total Trip Tables Sup #1'!$B178)</f>
        <v>2.2337128719946819E-2</v>
      </c>
      <c r="J57" s="1">
        <f ca="1">$B57*('Updated Population'!J$48/'Updated Population'!$B$48)*('Total Trip Tables Sup #1'!J178/'Total Trip Tables Sup #1'!$B178)</f>
        <v>2.2057048072825332E-2</v>
      </c>
      <c r="K57" s="1">
        <f ca="1">$B57*('Updated Population'!K$48/'Updated Population'!$B$48)*('Total Trip Tables Sup #1'!K178/'Total Trip Tables Sup #1'!$B178)</f>
        <v>2.1733671642455918E-2</v>
      </c>
    </row>
    <row r="58" spans="1:11" x14ac:dyDescent="0.2">
      <c r="A58" t="str">
        <f ca="1">OFFSET(Gisborne_Reference,63,2)</f>
        <v>Other Household Travel</v>
      </c>
      <c r="B58" s="4">
        <f ca="1">OFFSET(Gisborne_Reference,63,5)</f>
        <v>3.13358953E-2</v>
      </c>
      <c r="C58" s="4">
        <f ca="1">$B58*('Updated Population'!C$48/'Updated Population'!$B$48)*('Total Trip Tables Sup #1'!C179/'Total Trip Tables Sup #1'!$B179)</f>
        <v>3.2424059385707173E-2</v>
      </c>
      <c r="D58" s="4">
        <f ca="1">$B58*('Updated Population'!D$48/'Updated Population'!$B$48)*('Total Trip Tables Sup #1'!D179/'Total Trip Tables Sup #1'!$B179)</f>
        <v>3.3540625251469551E-2</v>
      </c>
      <c r="E58" s="4">
        <f ca="1">$B58*('Updated Population'!E$48/'Updated Population'!$B$48)*('Total Trip Tables Sup #1'!E179/'Total Trip Tables Sup #1'!$B179)</f>
        <v>3.4747105604404291E-2</v>
      </c>
      <c r="F58" s="4">
        <f ca="1">$B58*('Updated Population'!F$48/'Updated Population'!$B$48)*('Total Trip Tables Sup #1'!F179/'Total Trip Tables Sup #1'!$B179)</f>
        <v>3.5948468842355558E-2</v>
      </c>
      <c r="G58" s="4">
        <f ca="1">$B58*('Updated Population'!G$48/'Updated Population'!$B$48)*('Total Trip Tables Sup #1'!G179/'Total Trip Tables Sup #1'!$B179)</f>
        <v>3.7057550360778853E-2</v>
      </c>
      <c r="H58" s="4">
        <f ca="1">$B58*('Updated Population'!H$48/'Updated Population'!$B$48)*('Total Trip Tables Sup #1'!H179/'Total Trip Tables Sup #1'!$B179)</f>
        <v>3.7855928062767143E-2</v>
      </c>
      <c r="I58" s="1">
        <f ca="1">$B58*('Updated Population'!I$48/'Updated Population'!$B$48)*('Total Trip Tables Sup #1'!I179/'Total Trip Tables Sup #1'!$B179)</f>
        <v>3.7500631364584758E-2</v>
      </c>
      <c r="J58" s="1">
        <f ca="1">$B58*('Updated Population'!J$48/'Updated Population'!$B$48)*('Total Trip Tables Sup #1'!J179/'Total Trip Tables Sup #1'!$B179)</f>
        <v>3.7030418687219555E-2</v>
      </c>
      <c r="K58" s="1">
        <f ca="1">$B58*('Updated Population'!K$48/'Updated Population'!$B$48)*('Total Trip Tables Sup #1'!K179/'Total Trip Tables Sup #1'!$B179)</f>
        <v>3.6487518994993244E-2</v>
      </c>
    </row>
    <row r="59" spans="1:11" x14ac:dyDescent="0.2">
      <c r="A59" t="str">
        <f ca="1">OFFSET(Hawkes_Bay_Reference,0,0)</f>
        <v>06 HAWKE`S BAY</v>
      </c>
      <c r="I59" s="1"/>
      <c r="J59" s="1"/>
      <c r="K59" s="1"/>
    </row>
    <row r="60" spans="1:11" x14ac:dyDescent="0.2">
      <c r="A60" t="str">
        <f ca="1">OFFSET(Hawkes_Bay_Reference,0,2)</f>
        <v>Pedestrian</v>
      </c>
      <c r="B60" s="4">
        <f ca="1">OFFSET(Hawkes_Bay_Reference,0,5)</f>
        <v>26.538300281000001</v>
      </c>
      <c r="C60" s="4">
        <f ca="1">$B60*('Updated Population'!C$59/'Updated Population'!$B$59)*('Total Trip Tables Sup #1'!C170/'Total Trip Tables Sup #1'!$B170)</f>
        <v>27.398661458035637</v>
      </c>
      <c r="D60" s="4">
        <f ca="1">$B60*('Updated Population'!D$59/'Updated Population'!$B$59)*('Total Trip Tables Sup #1'!D170/'Total Trip Tables Sup #1'!$B170)</f>
        <v>27.770784471117377</v>
      </c>
      <c r="E60" s="4">
        <f ca="1">$B60*('Updated Population'!E$59/'Updated Population'!$B$59)*('Total Trip Tables Sup #1'!E170/'Total Trip Tables Sup #1'!$B170)</f>
        <v>27.987043436963241</v>
      </c>
      <c r="F60" s="4">
        <f ca="1">$B60*('Updated Population'!F$59/'Updated Population'!$B$59)*('Total Trip Tables Sup #1'!F170/'Total Trip Tables Sup #1'!$B170)</f>
        <v>27.905364764750498</v>
      </c>
      <c r="G60" s="4">
        <f ca="1">$B60*('Updated Population'!G$59/'Updated Population'!$B$59)*('Total Trip Tables Sup #1'!G170/'Total Trip Tables Sup #1'!$B170)</f>
        <v>27.679884843081688</v>
      </c>
      <c r="H60" s="4">
        <f ca="1">$B60*('Updated Population'!H$59/'Updated Population'!$B$59)*('Total Trip Tables Sup #1'!H170/'Total Trip Tables Sup #1'!$B170)</f>
        <v>27.320852493140126</v>
      </c>
      <c r="I60" s="1">
        <f ca="1">$B60*('Updated Population'!I$59/'Updated Population'!$B$59)*('Total Trip Tables Sup #1'!I170/'Total Trip Tables Sup #1'!$B170)</f>
        <v>27.131833843417784</v>
      </c>
      <c r="J60" s="1">
        <f ca="1">$B60*('Updated Population'!J$59/'Updated Population'!$B$59)*('Total Trip Tables Sup #1'!J170/'Total Trip Tables Sup #1'!$B170)</f>
        <v>26.858355128773194</v>
      </c>
      <c r="K60" s="1">
        <f ca="1">$B60*('Updated Population'!K$59/'Updated Population'!$B$59)*('Total Trip Tables Sup #1'!K170/'Total Trip Tables Sup #1'!$B170)</f>
        <v>26.530494436659783</v>
      </c>
    </row>
    <row r="61" spans="1:11" x14ac:dyDescent="0.2">
      <c r="A61" t="str">
        <f ca="1">OFFSET(Hawkes_Bay_Reference,7,2)</f>
        <v>Cyclist</v>
      </c>
      <c r="B61" s="4">
        <f ca="1">OFFSET(Hawkes_Bay_Reference,7,5)</f>
        <v>3.1819840940000002</v>
      </c>
      <c r="C61" s="4">
        <f ca="1">$B61*('Updated Population'!C$59/'Updated Population'!$B$59)*('Total Trip Tables Sup #1'!C171/'Total Trip Tables Sup #1'!$B171)</f>
        <v>3.2526281301637816</v>
      </c>
      <c r="D61" s="4">
        <f ca="1">$B61*('Updated Population'!D$59/'Updated Population'!$B$59)*('Total Trip Tables Sup #1'!D171/'Total Trip Tables Sup #1'!$B171)</f>
        <v>3.2454314295723616</v>
      </c>
      <c r="E61" s="4">
        <f ca="1">$B61*('Updated Population'!E$59/'Updated Population'!$B$59)*('Total Trip Tables Sup #1'!E171/'Total Trip Tables Sup #1'!$B171)</f>
        <v>3.2201558388799141</v>
      </c>
      <c r="F61" s="4">
        <f ca="1">$B61*('Updated Population'!F$59/'Updated Population'!$B$59)*('Total Trip Tables Sup #1'!F171/'Total Trip Tables Sup #1'!$B171)</f>
        <v>3.1852956124587983</v>
      </c>
      <c r="G61" s="4">
        <f ca="1">$B61*('Updated Population'!G$59/'Updated Population'!$B$59)*('Total Trip Tables Sup #1'!G171/'Total Trip Tables Sup #1'!$B171)</f>
        <v>3.1448717732288691</v>
      </c>
      <c r="H61" s="4">
        <f ca="1">$B61*('Updated Population'!H$59/'Updated Population'!$B$59)*('Total Trip Tables Sup #1'!H171/'Total Trip Tables Sup #1'!$B171)</f>
        <v>3.097206548508368</v>
      </c>
      <c r="I61" s="1">
        <f ca="1">$B61*('Updated Population'!I$59/'Updated Population'!$B$59)*('Total Trip Tables Sup #1'!I171/'Total Trip Tables Sup #1'!$B171)</f>
        <v>3.0757786007583023</v>
      </c>
      <c r="J61" s="1">
        <f ca="1">$B61*('Updated Population'!J$59/'Updated Population'!$B$59)*('Total Trip Tables Sup #1'!J171/'Total Trip Tables Sup #1'!$B171)</f>
        <v>3.0447759054329078</v>
      </c>
      <c r="K61" s="1">
        <f ca="1">$B61*('Updated Population'!K$59/'Updated Population'!$B$59)*('Total Trip Tables Sup #1'!K171/'Total Trip Tables Sup #1'!$B171)</f>
        <v>3.007608240812373</v>
      </c>
    </row>
    <row r="62" spans="1:11" x14ac:dyDescent="0.2">
      <c r="A62" t="str">
        <f ca="1">OFFSET(Hawkes_Bay_Reference,14,2)</f>
        <v>Light Vehicle Driver</v>
      </c>
      <c r="B62" s="4">
        <f ca="1">OFFSET(Hawkes_Bay_Reference,14,5)</f>
        <v>111.16933473</v>
      </c>
      <c r="C62" s="4">
        <f ca="1">$B62*('Updated Population'!C$59/'Updated Population'!$B$59)*('Total Trip Tables Sup #1'!C172/'Total Trip Tables Sup #1'!$B172)</f>
        <v>117.84470258365319</v>
      </c>
      <c r="D62" s="4">
        <f ca="1">$B62*('Updated Population'!D$59/'Updated Population'!$B$59)*('Total Trip Tables Sup #1'!D172/'Total Trip Tables Sup #1'!$B172)</f>
        <v>121.37610639430238</v>
      </c>
      <c r="E62" s="4">
        <f ca="1">$B62*('Updated Population'!E$59/'Updated Population'!$B$59)*('Total Trip Tables Sup #1'!E172/'Total Trip Tables Sup #1'!$B172)</f>
        <v>123.1805911002684</v>
      </c>
      <c r="F62" s="4">
        <f ca="1">$B62*('Updated Population'!F$59/'Updated Population'!$B$59)*('Total Trip Tables Sup #1'!F172/'Total Trip Tables Sup #1'!$B172)</f>
        <v>124.21788358126253</v>
      </c>
      <c r="G62" s="4">
        <f ca="1">$B62*('Updated Population'!G$59/'Updated Population'!$B$59)*('Total Trip Tables Sup #1'!G172/'Total Trip Tables Sup #1'!$B172)</f>
        <v>123.97143391614053</v>
      </c>
      <c r="H62" s="4">
        <f ca="1">$B62*('Updated Population'!H$59/'Updated Population'!$B$59)*('Total Trip Tables Sup #1'!H172/'Total Trip Tables Sup #1'!$B172)</f>
        <v>123.13560904585246</v>
      </c>
      <c r="I62" s="1">
        <f ca="1">$B62*('Updated Population'!I$59/'Updated Population'!$B$59)*('Total Trip Tables Sup #1'!I172/'Total Trip Tables Sup #1'!$B172)</f>
        <v>122.28369834649088</v>
      </c>
      <c r="J62" s="1">
        <f ca="1">$B62*('Updated Population'!J$59/'Updated Population'!$B$59)*('Total Trip Tables Sup #1'!J172/'Total Trip Tables Sup #1'!$B172)</f>
        <v>121.05112450578466</v>
      </c>
      <c r="K62" s="1">
        <f ca="1">$B62*('Updated Population'!K$59/'Updated Population'!$B$59)*('Total Trip Tables Sup #1'!K172/'Total Trip Tables Sup #1'!$B172)</f>
        <v>119.57345004391652</v>
      </c>
    </row>
    <row r="63" spans="1:11" x14ac:dyDescent="0.2">
      <c r="A63" t="str">
        <f ca="1">OFFSET(Hawkes_Bay_Reference,21,2)</f>
        <v>Light Vehicle Passenger</v>
      </c>
      <c r="B63" s="4">
        <f ca="1">OFFSET(Hawkes_Bay_Reference,21,5)</f>
        <v>58.497679761999997</v>
      </c>
      <c r="C63" s="4">
        <f ca="1">$B63*('Updated Population'!C$59/'Updated Population'!$B$59)*('Total Trip Tables Sup #1'!C173/'Total Trip Tables Sup #1'!$B173)</f>
        <v>58.97525635826451</v>
      </c>
      <c r="D63" s="4">
        <f ca="1">$B63*('Updated Population'!D$59/'Updated Population'!$B$59)*('Total Trip Tables Sup #1'!D173/'Total Trip Tables Sup #1'!$B173)</f>
        <v>58.925606170229464</v>
      </c>
      <c r="E63" s="4">
        <f ca="1">$B63*('Updated Population'!E$59/'Updated Population'!$B$59)*('Total Trip Tables Sup #1'!E173/'Total Trip Tables Sup #1'!$B173)</f>
        <v>58.587069636577276</v>
      </c>
      <c r="F63" s="4">
        <f ca="1">$B63*('Updated Population'!F$59/'Updated Population'!$B$59)*('Total Trip Tables Sup #1'!F173/'Total Trip Tables Sup #1'!$B173)</f>
        <v>58.034815907627994</v>
      </c>
      <c r="G63" s="4">
        <f ca="1">$B63*('Updated Population'!G$59/'Updated Population'!$B$59)*('Total Trip Tables Sup #1'!G173/'Total Trip Tables Sup #1'!$B173)</f>
        <v>57.174973776610592</v>
      </c>
      <c r="H63" s="4">
        <f ca="1">$B63*('Updated Population'!H$59/'Updated Population'!$B$59)*('Total Trip Tables Sup #1'!H173/'Total Trip Tables Sup #1'!$B173)</f>
        <v>56.002118790141424</v>
      </c>
      <c r="I63" s="1">
        <f ca="1">$B63*('Updated Population'!I$59/'Updated Population'!$B$59)*('Total Trip Tables Sup #1'!I173/'Total Trip Tables Sup #1'!$B173)</f>
        <v>55.614669501069613</v>
      </c>
      <c r="J63" s="1">
        <f ca="1">$B63*('Updated Population'!J$59/'Updated Population'!$B$59)*('Total Trip Tables Sup #1'!J173/'Total Trip Tables Sup #1'!$B173)</f>
        <v>55.054094479922419</v>
      </c>
      <c r="K63" s="1">
        <f ca="1">$B63*('Updated Population'!K$59/'Updated Population'!$B$59)*('Total Trip Tables Sup #1'!K173/'Total Trip Tables Sup #1'!$B173)</f>
        <v>54.382047609094968</v>
      </c>
    </row>
    <row r="64" spans="1:11" x14ac:dyDescent="0.2">
      <c r="A64" t="str">
        <f ca="1">OFFSET(Hawkes_Bay_Reference,28,2)</f>
        <v>Taxi/Vehicle Share</v>
      </c>
      <c r="B64" s="4">
        <f ca="1">OFFSET(Hawkes_Bay_Reference,28,5)</f>
        <v>0.32519619989999998</v>
      </c>
      <c r="C64" s="4">
        <f ca="1">$B64*('Updated Population'!C$59/'Updated Population'!$B$59)*('Total Trip Tables Sup #1'!C174/'Total Trip Tables Sup #1'!$B174)</f>
        <v>0.36080935763541261</v>
      </c>
      <c r="D64" s="4">
        <f ca="1">$B64*('Updated Population'!D$59/'Updated Population'!$B$59)*('Total Trip Tables Sup #1'!D174/'Total Trip Tables Sup #1'!$B174)</f>
        <v>0.3866063363843229</v>
      </c>
      <c r="E64" s="4">
        <f ca="1">$B64*('Updated Population'!E$59/'Updated Population'!$B$59)*('Total Trip Tables Sup #1'!E174/'Total Trip Tables Sup #1'!$B174)</f>
        <v>0.40983571161807708</v>
      </c>
      <c r="F64" s="4">
        <f ca="1">$B64*('Updated Population'!F$59/'Updated Population'!$B$59)*('Total Trip Tables Sup #1'!F174/'Total Trip Tables Sup #1'!$B174)</f>
        <v>0.42802712900265971</v>
      </c>
      <c r="G64" s="4">
        <f ca="1">$B64*('Updated Population'!G$59/'Updated Population'!$B$59)*('Total Trip Tables Sup #1'!G174/'Total Trip Tables Sup #1'!$B174)</f>
        <v>0.43997897338442243</v>
      </c>
      <c r="H64" s="4">
        <f ca="1">$B64*('Updated Population'!H$59/'Updated Population'!$B$59)*('Total Trip Tables Sup #1'!H174/'Total Trip Tables Sup #1'!$B174)</f>
        <v>0.45019459402797918</v>
      </c>
      <c r="I64" s="1">
        <f ca="1">$B64*('Updated Population'!I$59/'Updated Population'!$B$59)*('Total Trip Tables Sup #1'!I174/'Total Trip Tables Sup #1'!$B174)</f>
        <v>0.44707993374068267</v>
      </c>
      <c r="J64" s="1">
        <f ca="1">$B64*('Updated Population'!J$59/'Updated Population'!$B$59)*('Total Trip Tables Sup #1'!J174/'Total Trip Tables Sup #1'!$B174)</f>
        <v>0.44257353559861795</v>
      </c>
      <c r="K64" s="1">
        <f ca="1">$B64*('Updated Population'!K$59/'Updated Population'!$B$59)*('Total Trip Tables Sup #1'!K174/'Total Trip Tables Sup #1'!$B174)</f>
        <v>0.43717102807361335</v>
      </c>
    </row>
    <row r="65" spans="1:11" x14ac:dyDescent="0.2">
      <c r="A65" t="str">
        <f ca="1">OFFSET(Hawkes_Bay_Reference,35,2)</f>
        <v>Motorcyclist</v>
      </c>
      <c r="B65" s="4">
        <f ca="1">OFFSET(Hawkes_Bay_Reference,35,5)</f>
        <v>0.65061969099999994</v>
      </c>
      <c r="C65" s="4">
        <f ca="1">$B65*('Updated Population'!C$59/'Updated Population'!$B$59)*('Total Trip Tables Sup #1'!C175/'Total Trip Tables Sup #1'!$B175)</f>
        <v>0.67107346674344159</v>
      </c>
      <c r="D65" s="4">
        <f ca="1">$B65*('Updated Population'!D$59/'Updated Population'!$B$59)*('Total Trip Tables Sup #1'!D175/'Total Trip Tables Sup #1'!$B175)</f>
        <v>0.67536586958816225</v>
      </c>
      <c r="E65" s="4">
        <f ca="1">$B65*('Updated Population'!E$59/'Updated Population'!$B$59)*('Total Trip Tables Sup #1'!E175/'Total Trip Tables Sup #1'!$B175)</f>
        <v>0.67095171869149561</v>
      </c>
      <c r="F65" s="4">
        <f ca="1">$B65*('Updated Population'!F$59/'Updated Population'!$B$59)*('Total Trip Tables Sup #1'!F175/'Total Trip Tables Sup #1'!$B175)</f>
        <v>0.66211756935059518</v>
      </c>
      <c r="G65" s="4">
        <f ca="1">$B65*('Updated Population'!G$59/'Updated Population'!$B$59)*('Total Trip Tables Sup #1'!G175/'Total Trip Tables Sup #1'!$B175)</f>
        <v>0.64192637406817343</v>
      </c>
      <c r="H65" s="4">
        <f ca="1">$B65*('Updated Population'!H$59/'Updated Population'!$B$59)*('Total Trip Tables Sup #1'!H175/'Total Trip Tables Sup #1'!$B175)</f>
        <v>0.61854789987608072</v>
      </c>
      <c r="I65" s="1">
        <f ca="1">$B65*('Updated Population'!I$59/'Updated Population'!$B$59)*('Total Trip Tables Sup #1'!I175/'Total Trip Tables Sup #1'!$B175)</f>
        <v>0.61426849136009365</v>
      </c>
      <c r="J65" s="1">
        <f ca="1">$B65*('Updated Population'!J$59/'Updated Population'!$B$59)*('Total Trip Tables Sup #1'!J175/'Total Trip Tables Sup #1'!$B175)</f>
        <v>0.60807689522865183</v>
      </c>
      <c r="K65" s="1">
        <f ca="1">$B65*('Updated Population'!K$59/'Updated Population'!$B$59)*('Total Trip Tables Sup #1'!K175/'Total Trip Tables Sup #1'!$B175)</f>
        <v>0.60065408356457262</v>
      </c>
    </row>
    <row r="66" spans="1:11" x14ac:dyDescent="0.2">
      <c r="A66" t="str">
        <f ca="1">OFFSET(Auckland_Reference,42,2)</f>
        <v>Local Train</v>
      </c>
      <c r="B66" s="4">
        <v>0</v>
      </c>
      <c r="C66" s="4">
        <f ca="1">$B66*('Updated Population'!C$59/'Updated Population'!$B$59)*('Total Trip Tables Sup #1'!C176/'Total Trip Tables Sup #1'!$B176)</f>
        <v>0</v>
      </c>
      <c r="D66" s="4">
        <f ca="1">$B66*('Updated Population'!D$59/'Updated Population'!$B$59)*('Total Trip Tables Sup #1'!D176/'Total Trip Tables Sup #1'!$B176)</f>
        <v>0</v>
      </c>
      <c r="E66" s="4">
        <f ca="1">$B66*('Updated Population'!E$59/'Updated Population'!$B$59)*('Total Trip Tables Sup #1'!E176/'Total Trip Tables Sup #1'!$B176)</f>
        <v>0</v>
      </c>
      <c r="F66" s="4">
        <f ca="1">$B66*('Updated Population'!F$59/'Updated Population'!$B$59)*('Total Trip Tables Sup #1'!F176/'Total Trip Tables Sup #1'!$B176)</f>
        <v>0</v>
      </c>
      <c r="G66" s="4">
        <f ca="1">$B66*('Updated Population'!G$59/'Updated Population'!$B$59)*('Total Trip Tables Sup #1'!G176/'Total Trip Tables Sup #1'!$B176)</f>
        <v>0</v>
      </c>
      <c r="H66" s="4">
        <f ca="1">$B66*('Updated Population'!H$59/'Updated Population'!$B$59)*('Total Trip Tables Sup #1'!H176/'Total Trip Tables Sup #1'!$B176)</f>
        <v>0</v>
      </c>
      <c r="I66" s="1">
        <f ca="1">$B66*('Updated Population'!I$59/'Updated Population'!$B$59)*('Total Trip Tables Sup #1'!I176/'Total Trip Tables Sup #1'!$B176)</f>
        <v>0</v>
      </c>
      <c r="J66" s="1">
        <f ca="1">$B66*('Updated Population'!J$59/'Updated Population'!$B$59)*('Total Trip Tables Sup #1'!J176/'Total Trip Tables Sup #1'!$B176)</f>
        <v>0</v>
      </c>
      <c r="K66" s="1">
        <f ca="1">$B66*('Updated Population'!K$59/'Updated Population'!$B$59)*('Total Trip Tables Sup #1'!K176/'Total Trip Tables Sup #1'!$B176)</f>
        <v>0</v>
      </c>
    </row>
    <row r="67" spans="1:11" x14ac:dyDescent="0.2">
      <c r="A67" t="str">
        <f ca="1">OFFSET(Hawkes_Bay_Reference,42,2)</f>
        <v>Local Bus</v>
      </c>
      <c r="B67" s="4">
        <f ca="1">OFFSET(Hawkes_Bay_Reference,42,5)</f>
        <v>4.5218645043999999</v>
      </c>
      <c r="C67" s="4">
        <f ca="1">$B67*('Updated Population'!C$59/'Updated Population'!$B$59)*('Total Trip Tables Sup #1'!C177/'Total Trip Tables Sup #1'!$B177)</f>
        <v>4.3655451832966135</v>
      </c>
      <c r="D67" s="4">
        <f ca="1">$B67*('Updated Population'!D$59/'Updated Population'!$B$59)*('Total Trip Tables Sup #1'!D177/'Total Trip Tables Sup #1'!$B177)</f>
        <v>4.2313546916775868</v>
      </c>
      <c r="E67" s="4">
        <f ca="1">$B67*('Updated Population'!E$59/'Updated Population'!$B$59)*('Total Trip Tables Sup #1'!E177/'Total Trip Tables Sup #1'!$B177)</f>
        <v>4.1501237228426016</v>
      </c>
      <c r="F67" s="4">
        <f ca="1">$B67*('Updated Population'!F$59/'Updated Population'!$B$59)*('Total Trip Tables Sup #1'!F177/'Total Trip Tables Sup #1'!$B177)</f>
        <v>4.0233446234705745</v>
      </c>
      <c r="G67" s="4">
        <f ca="1">$B67*('Updated Population'!G$59/'Updated Population'!$B$59)*('Total Trip Tables Sup #1'!G177/'Total Trip Tables Sup #1'!$B177)</f>
        <v>3.9255050536411589</v>
      </c>
      <c r="H67" s="4">
        <f ca="1">$B67*('Updated Population'!H$59/'Updated Population'!$B$59)*('Total Trip Tables Sup #1'!H177/'Total Trip Tables Sup #1'!$B177)</f>
        <v>3.8088966265697555</v>
      </c>
      <c r="I67" s="1">
        <f ca="1">$B67*('Updated Population'!I$59/'Updated Population'!$B$59)*('Total Trip Tables Sup #1'!I177/'Total Trip Tables Sup #1'!$B177)</f>
        <v>3.782544868422129</v>
      </c>
      <c r="J67" s="1">
        <f ca="1">$B67*('Updated Population'!J$59/'Updated Population'!$B$59)*('Total Trip Tables Sup #1'!J177/'Total Trip Tables Sup #1'!$B177)</f>
        <v>3.7444182340533829</v>
      </c>
      <c r="K67" s="1">
        <f ca="1">$B67*('Updated Population'!K$59/'Updated Population'!$B$59)*('Total Trip Tables Sup #1'!K177/'Total Trip Tables Sup #1'!$B177)</f>
        <v>3.6987100159628552</v>
      </c>
    </row>
    <row r="68" spans="1:11" x14ac:dyDescent="0.2">
      <c r="A68" t="str">
        <f ca="1">OFFSET(Waikato_Reference,56,2)</f>
        <v>Local Ferry</v>
      </c>
      <c r="B68" s="4">
        <v>0</v>
      </c>
      <c r="C68" s="4">
        <f ca="1">$B68*('Updated Population'!C$59/'Updated Population'!$B$59)*('Total Trip Tables Sup #1'!C178/'Total Trip Tables Sup #1'!$B178)</f>
        <v>0</v>
      </c>
      <c r="D68" s="4">
        <f ca="1">$B68*('Updated Population'!D$59/'Updated Population'!$B$59)*('Total Trip Tables Sup #1'!D178/'Total Trip Tables Sup #1'!$B178)</f>
        <v>0</v>
      </c>
      <c r="E68" s="4">
        <f ca="1">$B68*('Updated Population'!E$59/'Updated Population'!$B$59)*('Total Trip Tables Sup #1'!E178/'Total Trip Tables Sup #1'!$B178)</f>
        <v>0</v>
      </c>
      <c r="F68" s="4">
        <f ca="1">$B68*('Updated Population'!F$59/'Updated Population'!$B$59)*('Total Trip Tables Sup #1'!F178/'Total Trip Tables Sup #1'!$B178)</f>
        <v>0</v>
      </c>
      <c r="G68" s="4">
        <f ca="1">$B68*('Updated Population'!G$59/'Updated Population'!$B$59)*('Total Trip Tables Sup #1'!G178/'Total Trip Tables Sup #1'!$B178)</f>
        <v>0</v>
      </c>
      <c r="H68" s="4">
        <f ca="1">$B68*('Updated Population'!H$59/'Updated Population'!$B$59)*('Total Trip Tables Sup #1'!H178/'Total Trip Tables Sup #1'!$B178)</f>
        <v>0</v>
      </c>
      <c r="I68" s="1">
        <f ca="1">$B68*('Updated Population'!I$59/'Updated Population'!$B$59)*('Total Trip Tables Sup #1'!I178/'Total Trip Tables Sup #1'!$B178)</f>
        <v>0</v>
      </c>
      <c r="J68" s="1">
        <f ca="1">$B68*('Updated Population'!J$59/'Updated Population'!$B$59)*('Total Trip Tables Sup #1'!J178/'Total Trip Tables Sup #1'!$B178)</f>
        <v>0</v>
      </c>
      <c r="K68" s="1">
        <f ca="1">$B68*('Updated Population'!K$59/'Updated Population'!$B$59)*('Total Trip Tables Sup #1'!K178/'Total Trip Tables Sup #1'!$B178)</f>
        <v>0</v>
      </c>
    </row>
    <row r="69" spans="1:11" x14ac:dyDescent="0.2">
      <c r="A69" t="str">
        <f ca="1">OFFSET(Hawkes_Bay_Reference,49,2)</f>
        <v>Other Household Travel</v>
      </c>
      <c r="B69" s="4">
        <f ca="1">OFFSET(Hawkes_Bay_Reference,49,5)</f>
        <v>0.49138149730000003</v>
      </c>
      <c r="C69" s="4">
        <f ca="1">$B69*('Updated Population'!C$59/'Updated Population'!$B$59)*('Total Trip Tables Sup #1'!C179/'Total Trip Tables Sup #1'!$B179)</f>
        <v>0.51174274156716681</v>
      </c>
      <c r="D69" s="4">
        <f ca="1">$B69*('Updated Population'!D$59/'Updated Population'!$B$59)*('Total Trip Tables Sup #1'!D179/'Total Trip Tables Sup #1'!$B179)</f>
        <v>0.53017240808561039</v>
      </c>
      <c r="E69" s="4">
        <f ca="1">$B69*('Updated Population'!E$59/'Updated Population'!$B$59)*('Total Trip Tables Sup #1'!E179/'Total Trip Tables Sup #1'!$B179)</f>
        <v>0.55075629732566267</v>
      </c>
      <c r="F69" s="4">
        <f ca="1">$B69*('Updated Population'!F$59/'Updated Population'!$B$59)*('Total Trip Tables Sup #1'!F179/'Total Trip Tables Sup #1'!$B179)</f>
        <v>0.57073385543271116</v>
      </c>
      <c r="G69" s="4">
        <f ca="1">$B69*('Updated Population'!G$59/'Updated Population'!$B$59)*('Total Trip Tables Sup #1'!G179/'Total Trip Tables Sup #1'!$B179)</f>
        <v>0.59020280713272333</v>
      </c>
      <c r="H69" s="4">
        <f ca="1">$B69*('Updated Population'!H$59/'Updated Population'!$B$59)*('Total Trip Tables Sup #1'!H179/'Total Trip Tables Sup #1'!$B179)</f>
        <v>0.60441979779836774</v>
      </c>
      <c r="I69" s="1">
        <f ca="1">$B69*('Updated Population'!I$59/'Updated Population'!$B$59)*('Total Trip Tables Sup #1'!I179/'Total Trip Tables Sup #1'!$B179)</f>
        <v>0.60023813421104066</v>
      </c>
      <c r="J69" s="1">
        <f ca="1">$B69*('Updated Population'!J$59/'Updated Population'!$B$59)*('Total Trip Tables Sup #1'!J179/'Total Trip Tables Sup #1'!$B179)</f>
        <v>0.59418795882031517</v>
      </c>
      <c r="K69" s="1">
        <f ca="1">$B69*('Updated Population'!K$59/'Updated Population'!$B$59)*('Total Trip Tables Sup #1'!K179/'Total Trip Tables Sup #1'!$B179)</f>
        <v>0.58693468979135721</v>
      </c>
    </row>
    <row r="70" spans="1:11" x14ac:dyDescent="0.2">
      <c r="A70" t="str">
        <f ca="1">OFFSET(Taranaki_Reference,0,0)</f>
        <v>07 TARANAKI</v>
      </c>
      <c r="I70" s="1"/>
      <c r="J70" s="1"/>
      <c r="K70" s="1"/>
    </row>
    <row r="71" spans="1:11" x14ac:dyDescent="0.2">
      <c r="A71" t="str">
        <f ca="1">OFFSET(Taranaki_Reference,0,2)</f>
        <v>Pedestrian</v>
      </c>
      <c r="B71" s="4">
        <f ca="1">OFFSET(Taranaki_Reference,0,5)</f>
        <v>23.308571313000002</v>
      </c>
      <c r="C71" s="4">
        <f ca="1">$B71*('Updated Population'!C$70/'Updated Population'!$B$70)*('Total Trip Tables Sup #1'!C170/'Total Trip Tables Sup #1'!$B170)</f>
        <v>24.291472007615688</v>
      </c>
      <c r="D71" s="4">
        <f ca="1">$B71*('Updated Population'!D$70/'Updated Population'!$B$70)*('Total Trip Tables Sup #1'!D170/'Total Trip Tables Sup #1'!$B170)</f>
        <v>24.825047559288702</v>
      </c>
      <c r="E71" s="4">
        <f ca="1">$B71*('Updated Population'!E$70/'Updated Population'!$B$70)*('Total Trip Tables Sup #1'!E170/'Total Trip Tables Sup #1'!$B170)</f>
        <v>25.253912711121409</v>
      </c>
      <c r="F71" s="4">
        <f ca="1">$B71*('Updated Population'!F$70/'Updated Population'!$B$70)*('Total Trip Tables Sup #1'!F170/'Total Trip Tables Sup #1'!$B170)</f>
        <v>25.446971504214257</v>
      </c>
      <c r="G71" s="4">
        <f ca="1">$B71*('Updated Population'!G$70/'Updated Population'!$B$70)*('Total Trip Tables Sup #1'!G170/'Total Trip Tables Sup #1'!$B170)</f>
        <v>25.547272242794346</v>
      </c>
      <c r="H71" s="4">
        <f ca="1">$B71*('Updated Population'!H$70/'Updated Population'!$B$70)*('Total Trip Tables Sup #1'!H170/'Total Trip Tables Sup #1'!$B170)</f>
        <v>25.558504026240751</v>
      </c>
      <c r="I71" s="1">
        <f ca="1">$B71*('Updated Population'!I$70/'Updated Population'!$B$70)*('Total Trip Tables Sup #1'!I170/'Total Trip Tables Sup #1'!$B170)</f>
        <v>25.726532784658549</v>
      </c>
      <c r="J71" s="1">
        <f ca="1">$B71*('Updated Population'!J$70/'Updated Population'!$B$70)*('Total Trip Tables Sup #1'!J170/'Total Trip Tables Sup #1'!$B170)</f>
        <v>25.813235843673326</v>
      </c>
      <c r="K71" s="1">
        <f ca="1">$B71*('Updated Population'!K$70/'Updated Population'!$B$70)*('Total Trip Tables Sup #1'!K170/'Total Trip Tables Sup #1'!$B170)</f>
        <v>25.844569838261243</v>
      </c>
    </row>
    <row r="72" spans="1:11" x14ac:dyDescent="0.2">
      <c r="A72" t="str">
        <f ca="1">OFFSET(Taranaki_Reference,7,2)</f>
        <v>Cyclist</v>
      </c>
      <c r="B72" s="4">
        <f ca="1">OFFSET(Taranaki_Reference,7,5)</f>
        <v>2.1611397319000001</v>
      </c>
      <c r="C72" s="4">
        <f ca="1">$B72*('Updated Population'!C$70/'Updated Population'!$B$70)*('Total Trip Tables Sup #1'!C171/'Total Trip Tables Sup #1'!$B171)</f>
        <v>2.2299811555921205</v>
      </c>
      <c r="D72" s="4">
        <f ca="1">$B72*('Updated Population'!D$70/'Updated Population'!$B$70)*('Total Trip Tables Sup #1'!D171/'Total Trip Tables Sup #1'!$B171)</f>
        <v>2.2434514302979096</v>
      </c>
      <c r="E72" s="4">
        <f ca="1">$B72*('Updated Population'!E$70/'Updated Population'!$B$70)*('Total Trip Tables Sup #1'!E171/'Total Trip Tables Sup #1'!$B171)</f>
        <v>2.2469366894572915</v>
      </c>
      <c r="F72" s="4">
        <f ca="1">$B72*('Updated Population'!F$70/'Updated Population'!$B$70)*('Total Trip Tables Sup #1'!F171/'Total Trip Tables Sup #1'!$B171)</f>
        <v>2.246158690825546</v>
      </c>
      <c r="G72" s="4">
        <f ca="1">$B72*('Updated Population'!G$70/'Updated Population'!$B$70)*('Total Trip Tables Sup #1'!G171/'Total Trip Tables Sup #1'!$B171)</f>
        <v>2.2445304024116228</v>
      </c>
      <c r="H72" s="4">
        <f ca="1">$B72*('Updated Population'!H$70/'Updated Population'!$B$70)*('Total Trip Tables Sup #1'!H171/'Total Trip Tables Sup #1'!$B171)</f>
        <v>2.2405448688311473</v>
      </c>
      <c r="I72" s="1">
        <f ca="1">$B72*('Updated Population'!I$70/'Updated Population'!$B$70)*('Total Trip Tables Sup #1'!I171/'Total Trip Tables Sup #1'!$B171)</f>
        <v>2.25527483785056</v>
      </c>
      <c r="J72" s="1">
        <f ca="1">$B72*('Updated Population'!J$70/'Updated Population'!$B$70)*('Total Trip Tables Sup #1'!J171/'Total Trip Tables Sup #1'!$B171)</f>
        <v>2.2628755211216967</v>
      </c>
      <c r="K72" s="1">
        <f ca="1">$B72*('Updated Population'!K$70/'Updated Population'!$B$70)*('Total Trip Tables Sup #1'!K171/'Total Trip Tables Sup #1'!$B171)</f>
        <v>2.2656223650184235</v>
      </c>
    </row>
    <row r="73" spans="1:11" x14ac:dyDescent="0.2">
      <c r="A73" t="str">
        <f ca="1">OFFSET(Taranaki_Reference,14,2)</f>
        <v>Light Vehicle Driver</v>
      </c>
      <c r="B73" s="4">
        <f ca="1">OFFSET(Taranaki_Reference,14,5)</f>
        <v>90.801950900999998</v>
      </c>
      <c r="C73" s="4">
        <f ca="1">$B73*('Updated Population'!C$70/'Updated Population'!$B$70)*('Total Trip Tables Sup #1'!C172/'Total Trip Tables Sup #1'!$B172)</f>
        <v>97.163281424996825</v>
      </c>
      <c r="D73" s="4">
        <f ca="1">$B73*('Updated Population'!D$70/'Updated Population'!$B$70)*('Total Trip Tables Sup #1'!D172/'Total Trip Tables Sup #1'!$B172)</f>
        <v>100.902694821195</v>
      </c>
      <c r="E73" s="4">
        <f ca="1">$B73*('Updated Population'!E$70/'Updated Population'!$B$70)*('Total Trip Tables Sup #1'!E172/'Total Trip Tables Sup #1'!$B172)</f>
        <v>103.3669160095647</v>
      </c>
      <c r="F73" s="4">
        <f ca="1">$B73*('Updated Population'!F$70/'Updated Population'!$B$70)*('Total Trip Tables Sup #1'!F172/'Total Trip Tables Sup #1'!$B172)</f>
        <v>105.34165746868291</v>
      </c>
      <c r="G73" s="4">
        <f ca="1">$B73*('Updated Population'!G$70/'Updated Population'!$B$70)*('Total Trip Tables Sup #1'!G172/'Total Trip Tables Sup #1'!$B172)</f>
        <v>106.40682964476495</v>
      </c>
      <c r="H73" s="4">
        <f ca="1">$B73*('Updated Population'!H$70/'Updated Population'!$B$70)*('Total Trip Tables Sup #1'!H172/'Total Trip Tables Sup #1'!$B172)</f>
        <v>107.12540302764143</v>
      </c>
      <c r="I73" s="1">
        <f ca="1">$B73*('Updated Population'!I$70/'Updated Population'!$B$70)*('Total Trip Tables Sup #1'!I172/'Total Trip Tables Sup #1'!$B172)</f>
        <v>107.82967540787384</v>
      </c>
      <c r="J73" s="1">
        <f ca="1">$B73*('Updated Population'!J$70/'Updated Population'!$B$70)*('Total Trip Tables Sup #1'!J172/'Total Trip Tables Sup #1'!$B172)</f>
        <v>108.19308087679923</v>
      </c>
      <c r="K73" s="1">
        <f ca="1">$B73*('Updated Population'!K$70/'Updated Population'!$B$70)*('Total Trip Tables Sup #1'!K172/'Total Trip Tables Sup #1'!$B172)</f>
        <v>108.32441355555267</v>
      </c>
    </row>
    <row r="74" spans="1:11" x14ac:dyDescent="0.2">
      <c r="A74" t="str">
        <f ca="1">OFFSET(Taranaki_Reference,21,2)</f>
        <v>Light Vehicle Passenger</v>
      </c>
      <c r="B74" s="4">
        <f ca="1">OFFSET(Taranaki_Reference,21,5)</f>
        <v>45.48406773</v>
      </c>
      <c r="C74" s="4">
        <f ca="1">$B74*('Updated Population'!C$70/'Updated Population'!$B$70)*('Total Trip Tables Sup #1'!C173/'Total Trip Tables Sup #1'!$B173)</f>
        <v>46.288427820950766</v>
      </c>
      <c r="D74" s="4">
        <f ca="1">$B74*('Updated Population'!D$70/'Updated Population'!$B$70)*('Total Trip Tables Sup #1'!D173/'Total Trip Tables Sup #1'!$B173)</f>
        <v>46.632006875289626</v>
      </c>
      <c r="E74" s="4">
        <f ca="1">$B74*('Updated Population'!E$70/'Updated Population'!$B$70)*('Total Trip Tables Sup #1'!E173/'Total Trip Tables Sup #1'!$B173)</f>
        <v>46.800612376049607</v>
      </c>
      <c r="F74" s="4">
        <f ca="1">$B74*('Updated Population'!F$70/'Updated Population'!$B$70)*('Total Trip Tables Sup #1'!F173/'Total Trip Tables Sup #1'!$B173)</f>
        <v>46.850595683163988</v>
      </c>
      <c r="G74" s="4">
        <f ca="1">$B74*('Updated Population'!G$70/'Updated Population'!$B$70)*('Total Trip Tables Sup #1'!G173/'Total Trip Tables Sup #1'!$B173)</f>
        <v>46.715858831475657</v>
      </c>
      <c r="H74" s="4">
        <f ca="1">$B74*('Updated Population'!H$70/'Updated Population'!$B$70)*('Total Trip Tables Sup #1'!H173/'Total Trip Tables Sup #1'!$B173)</f>
        <v>46.379252904548537</v>
      </c>
      <c r="I74" s="1">
        <f ca="1">$B74*('Updated Population'!I$70/'Updated Population'!$B$70)*('Total Trip Tables Sup #1'!I173/'Total Trip Tables Sup #1'!$B173)</f>
        <v>46.684163093106328</v>
      </c>
      <c r="J74" s="1">
        <f ca="1">$B74*('Updated Population'!J$70/'Updated Population'!$B$70)*('Total Trip Tables Sup #1'!J173/'Total Trip Tables Sup #1'!$B173)</f>
        <v>46.841497149024306</v>
      </c>
      <c r="K74" s="1">
        <f ca="1">$B74*('Updated Population'!K$70/'Updated Population'!$B$70)*('Total Trip Tables Sup #1'!K173/'Total Trip Tables Sup #1'!$B173)</f>
        <v>46.898356785958093</v>
      </c>
    </row>
    <row r="75" spans="1:11" x14ac:dyDescent="0.2">
      <c r="A75" t="str">
        <f ca="1">OFFSET(Taranaki_Reference,28,2)</f>
        <v>Taxi/Vehicle Share</v>
      </c>
      <c r="B75" s="4">
        <f ca="1">OFFSET(Taranaki_Reference,28,5)</f>
        <v>0.56194422089999996</v>
      </c>
      <c r="C75" s="4">
        <f ca="1">$B75*('Updated Population'!C$70/'Updated Population'!$B$70)*('Total Trip Tables Sup #1'!C174/'Total Trip Tables Sup #1'!$B174)</f>
        <v>0.62937208404967782</v>
      </c>
      <c r="D75" s="4">
        <f ca="1">$B75*('Updated Population'!D$70/'Updated Population'!$B$70)*('Total Trip Tables Sup #1'!D174/'Total Trip Tables Sup #1'!$B174)</f>
        <v>0.67994863398203154</v>
      </c>
      <c r="E75" s="4">
        <f ca="1">$B75*('Updated Population'!E$70/'Updated Population'!$B$70)*('Total Trip Tables Sup #1'!E174/'Total Trip Tables Sup #1'!$B174)</f>
        <v>0.72758987750567106</v>
      </c>
      <c r="F75" s="4">
        <f ca="1">$B75*('Updated Population'!F$70/'Updated Population'!$B$70)*('Total Trip Tables Sup #1'!F174/'Total Trip Tables Sup #1'!$B174)</f>
        <v>0.7679357615147272</v>
      </c>
      <c r="G75" s="4">
        <f ca="1">$B75*('Updated Population'!G$70/'Updated Population'!$B$70)*('Total Trip Tables Sup #1'!G174/'Total Trip Tables Sup #1'!$B174)</f>
        <v>0.79894590607685967</v>
      </c>
      <c r="H75" s="4">
        <f ca="1">$B75*('Updated Population'!H$70/'Updated Population'!$B$70)*('Total Trip Tables Sup #1'!H174/'Total Trip Tables Sup #1'!$B174)</f>
        <v>0.82860329530800003</v>
      </c>
      <c r="I75" s="1">
        <f ca="1">$B75*('Updated Population'!I$70/'Updated Population'!$B$70)*('Total Trip Tables Sup #1'!I174/'Total Trip Tables Sup #1'!$B174)</f>
        <v>0.83405076526901789</v>
      </c>
      <c r="J75" s="1">
        <f ca="1">$B75*('Updated Population'!J$70/'Updated Population'!$B$70)*('Total Trip Tables Sup #1'!J174/'Total Trip Tables Sup #1'!$B174)</f>
        <v>0.83686166689061381</v>
      </c>
      <c r="K75" s="1">
        <f ca="1">$B75*('Updated Population'!K$70/'Updated Population'!$B$70)*('Total Trip Tables Sup #1'!K174/'Total Trip Tables Sup #1'!$B174)</f>
        <v>0.83787751082044859</v>
      </c>
    </row>
    <row r="76" spans="1:11" x14ac:dyDescent="0.2">
      <c r="A76" t="str">
        <f ca="1">OFFSET(Taranaki_Reference,35,2)</f>
        <v>Motorcyclist</v>
      </c>
      <c r="B76" s="4">
        <f ca="1">OFFSET(Taranaki_Reference,35,5)</f>
        <v>1.091812341</v>
      </c>
      <c r="C76" s="4">
        <f ca="1">$B76*('Updated Population'!C$70/'Updated Population'!$B$70)*('Total Trip Tables Sup #1'!C175/'Total Trip Tables Sup #1'!$B175)</f>
        <v>1.13677051268532</v>
      </c>
      <c r="D76" s="4">
        <f ca="1">$B76*('Updated Population'!D$70/'Updated Population'!$B$70)*('Total Trip Tables Sup #1'!D175/'Total Trip Tables Sup #1'!$B175)</f>
        <v>1.1535045070208407</v>
      </c>
      <c r="E76" s="4">
        <f ca="1">$B76*('Updated Population'!E$70/'Updated Population'!$B$70)*('Total Trip Tables Sup #1'!E175/'Total Trip Tables Sup #1'!$B175)</f>
        <v>1.156754421241063</v>
      </c>
      <c r="F76" s="4">
        <f ca="1">$B76*('Updated Population'!F$70/'Updated Population'!$B$70)*('Total Trip Tables Sup #1'!F175/'Total Trip Tables Sup #1'!$B175)</f>
        <v>1.1536172914010554</v>
      </c>
      <c r="G76" s="4">
        <f ca="1">$B76*('Updated Population'!G$70/'Updated Population'!$B$70)*('Total Trip Tables Sup #1'!G175/'Total Trip Tables Sup #1'!$B175)</f>
        <v>1.1319929488797189</v>
      </c>
      <c r="H76" s="4">
        <f ca="1">$B76*('Updated Population'!H$70/'Updated Population'!$B$70)*('Total Trip Tables Sup #1'!H175/'Total Trip Tables Sup #1'!$B175)</f>
        <v>1.1055865986696685</v>
      </c>
      <c r="I76" s="1">
        <f ca="1">$B76*('Updated Population'!I$70/'Updated Population'!$B$70)*('Total Trip Tables Sup #1'!I175/'Total Trip Tables Sup #1'!$B175)</f>
        <v>1.1128550343851191</v>
      </c>
      <c r="J76" s="1">
        <f ca="1">$B76*('Updated Population'!J$70/'Updated Population'!$B$70)*('Total Trip Tables Sup #1'!J175/'Total Trip Tables Sup #1'!$B175)</f>
        <v>1.1166055567166291</v>
      </c>
      <c r="K76" s="1">
        <f ca="1">$B76*('Updated Population'!K$70/'Updated Population'!$B$70)*('Total Trip Tables Sup #1'!K175/'Total Trip Tables Sup #1'!$B175)</f>
        <v>1.1179609742505983</v>
      </c>
    </row>
    <row r="77" spans="1:11" x14ac:dyDescent="0.2">
      <c r="A77" t="str">
        <f ca="1">OFFSET(Taranaki_Reference,42,2)</f>
        <v>Local Train</v>
      </c>
      <c r="B77" s="4">
        <v>0</v>
      </c>
      <c r="C77" s="4">
        <f ca="1">$B77*('Updated Population'!C$70/'Updated Population'!$B$70)*('Total Trip Tables Sup #1'!C176/'Total Trip Tables Sup #1'!$B176)</f>
        <v>0</v>
      </c>
      <c r="D77" s="4">
        <f ca="1">$B77*('Updated Population'!D$70/'Updated Population'!$B$70)*('Total Trip Tables Sup #1'!D176/'Total Trip Tables Sup #1'!$B176)</f>
        <v>0</v>
      </c>
      <c r="E77" s="4">
        <f ca="1">$B77*('Updated Population'!E$70/'Updated Population'!$B$70)*('Total Trip Tables Sup #1'!E176/'Total Trip Tables Sup #1'!$B176)</f>
        <v>0</v>
      </c>
      <c r="F77" s="4">
        <f ca="1">$B77*('Updated Population'!F$70/'Updated Population'!$B$70)*('Total Trip Tables Sup #1'!F176/'Total Trip Tables Sup #1'!$B176)</f>
        <v>0</v>
      </c>
      <c r="G77" s="4">
        <f ca="1">$B77*('Updated Population'!G$70/'Updated Population'!$B$70)*('Total Trip Tables Sup #1'!G176/'Total Trip Tables Sup #1'!$B176)</f>
        <v>0</v>
      </c>
      <c r="H77" s="4">
        <f ca="1">$B77*('Updated Population'!H$70/'Updated Population'!$B$70)*('Total Trip Tables Sup #1'!H176/'Total Trip Tables Sup #1'!$B176)</f>
        <v>0</v>
      </c>
      <c r="I77" s="1">
        <f ca="1">$B77*('Updated Population'!I$70/'Updated Population'!$B$70)*('Total Trip Tables Sup #1'!I176/'Total Trip Tables Sup #1'!$B176)</f>
        <v>0</v>
      </c>
      <c r="J77" s="1">
        <f ca="1">$B77*('Updated Population'!J$70/'Updated Population'!$B$70)*('Total Trip Tables Sup #1'!J176/'Total Trip Tables Sup #1'!$B176)</f>
        <v>0</v>
      </c>
      <c r="K77" s="1">
        <f ca="1">$B77*('Updated Population'!K$70/'Updated Population'!$B$70)*('Total Trip Tables Sup #1'!K176/'Total Trip Tables Sup #1'!$B176)</f>
        <v>0</v>
      </c>
    </row>
    <row r="78" spans="1:11" x14ac:dyDescent="0.2">
      <c r="A78" t="str">
        <f ca="1">OFFSET(Taranaki_Reference,49,2)</f>
        <v>Local Bus</v>
      </c>
      <c r="B78" s="4">
        <f ca="1">OFFSET(Taranaki_Reference,49,5)</f>
        <v>1.2787514622</v>
      </c>
      <c r="C78" s="4">
        <f ca="1">$B78*('Updated Population'!C$70/'Updated Population'!$B$70)*('Total Trip Tables Sup #1'!C177/'Total Trip Tables Sup #1'!$B177)</f>
        <v>1.2462036590460086</v>
      </c>
      <c r="D78" s="4">
        <f ca="1">$B78*('Updated Population'!D$70/'Updated Population'!$B$70)*('Total Trip Tables Sup #1'!D177/'Total Trip Tables Sup #1'!$B177)</f>
        <v>1.2178881942287449</v>
      </c>
      <c r="E78" s="4">
        <f ca="1">$B78*('Updated Population'!E$70/'Updated Population'!$B$70)*('Total Trip Tables Sup #1'!E177/'Total Trip Tables Sup #1'!$B177)</f>
        <v>1.2057540937443896</v>
      </c>
      <c r="F78" s="4">
        <f ca="1">$B78*('Updated Population'!F$70/'Updated Population'!$B$70)*('Total Trip Tables Sup #1'!F177/'Total Trip Tables Sup #1'!$B177)</f>
        <v>1.1813040194826026</v>
      </c>
      <c r="G78" s="4">
        <f ca="1">$B78*('Updated Population'!G$70/'Updated Population'!$B$70)*('Total Trip Tables Sup #1'!G177/'Total Trip Tables Sup #1'!$B177)</f>
        <v>1.1665459379786451</v>
      </c>
      <c r="H78" s="4">
        <f ca="1">$B78*('Updated Population'!H$70/'Updated Population'!$B$70)*('Total Trip Tables Sup #1'!H177/'Total Trip Tables Sup #1'!$B177)</f>
        <v>1.1472720617927328</v>
      </c>
      <c r="I78" s="1">
        <f ca="1">$B78*('Updated Population'!I$70/'Updated Population'!$B$70)*('Total Trip Tables Sup #1'!I177/'Total Trip Tables Sup #1'!$B177)</f>
        <v>1.1548145494090867</v>
      </c>
      <c r="J78" s="1">
        <f ca="1">$B78*('Updated Population'!J$70/'Updated Population'!$B$70)*('Total Trip Tables Sup #1'!J177/'Total Trip Tables Sup #1'!$B177)</f>
        <v>1.1587064828797426</v>
      </c>
      <c r="K78" s="1">
        <f ca="1">$B78*('Updated Population'!K$70/'Updated Population'!$B$70)*('Total Trip Tables Sup #1'!K177/'Total Trip Tables Sup #1'!$B177)</f>
        <v>1.160113005598685</v>
      </c>
    </row>
    <row r="79" spans="1:11" x14ac:dyDescent="0.2">
      <c r="A79" t="str">
        <f ca="1">OFFSET(Waikato_Reference,56,2)</f>
        <v>Local Ferry</v>
      </c>
      <c r="B79" s="4">
        <v>0</v>
      </c>
      <c r="C79" s="4">
        <f ca="1">$B79*('Updated Population'!C$70/'Updated Population'!$B$70)*('Total Trip Tables Sup #1'!C178/'Total Trip Tables Sup #1'!$B178)</f>
        <v>0</v>
      </c>
      <c r="D79" s="4">
        <f ca="1">$B79*('Updated Population'!D$70/'Updated Population'!$B$70)*('Total Trip Tables Sup #1'!D178/'Total Trip Tables Sup #1'!$B178)</f>
        <v>0</v>
      </c>
      <c r="E79" s="4">
        <f ca="1">$B79*('Updated Population'!E$70/'Updated Population'!$B$70)*('Total Trip Tables Sup #1'!E178/'Total Trip Tables Sup #1'!$B178)</f>
        <v>0</v>
      </c>
      <c r="F79" s="4">
        <f ca="1">$B79*('Updated Population'!F$70/'Updated Population'!$B$70)*('Total Trip Tables Sup #1'!F178/'Total Trip Tables Sup #1'!$B178)</f>
        <v>0</v>
      </c>
      <c r="G79" s="4">
        <f ca="1">$B79*('Updated Population'!G$70/'Updated Population'!$B$70)*('Total Trip Tables Sup #1'!G178/'Total Trip Tables Sup #1'!$B178)</f>
        <v>0</v>
      </c>
      <c r="H79" s="4">
        <f ca="1">$B79*('Updated Population'!H$70/'Updated Population'!$B$70)*('Total Trip Tables Sup #1'!H178/'Total Trip Tables Sup #1'!$B178)</f>
        <v>0</v>
      </c>
      <c r="I79" s="1">
        <f ca="1">$B79*('Updated Population'!I$70/'Updated Population'!$B$70)*('Total Trip Tables Sup #1'!I178/'Total Trip Tables Sup #1'!$B178)</f>
        <v>0</v>
      </c>
      <c r="J79" s="1">
        <f ca="1">$B79*('Updated Population'!J$70/'Updated Population'!$B$70)*('Total Trip Tables Sup #1'!J178/'Total Trip Tables Sup #1'!$B178)</f>
        <v>0</v>
      </c>
      <c r="K79" s="1">
        <f ca="1">$B79*('Updated Population'!K$70/'Updated Population'!$B$70)*('Total Trip Tables Sup #1'!K178/'Total Trip Tables Sup #1'!$B178)</f>
        <v>0</v>
      </c>
    </row>
    <row r="80" spans="1:11" x14ac:dyDescent="0.2">
      <c r="A80" t="str">
        <f ca="1">OFFSET(Taranaki_Reference,56,2)</f>
        <v>Other Household Travel</v>
      </c>
      <c r="B80" s="4">
        <f ca="1">OFFSET(Taranaki_Reference,56,5)</f>
        <v>0.17475937220000001</v>
      </c>
      <c r="C80" s="4">
        <f ca="1">$B80*('Updated Population'!C$70/'Updated Population'!$B$70)*('Total Trip Tables Sup #1'!C179/'Total Trip Tables Sup #1'!$B179)</f>
        <v>0.1837195208242656</v>
      </c>
      <c r="D80" s="4">
        <f ca="1">$B80*('Updated Population'!D$70/'Updated Population'!$B$70)*('Total Trip Tables Sup #1'!D179/'Total Trip Tables Sup #1'!$B179)</f>
        <v>0.19191025789604294</v>
      </c>
      <c r="E80" s="4">
        <f ca="1">$B80*('Updated Population'!E$70/'Updated Population'!$B$70)*('Total Trip Tables Sup #1'!E179/'Total Trip Tables Sup #1'!$B179)</f>
        <v>0.20123811964122904</v>
      </c>
      <c r="F80" s="4">
        <f ca="1">$B80*('Updated Population'!F$70/'Updated Population'!$B$70)*('Total Trip Tables Sup #1'!F179/'Total Trip Tables Sup #1'!$B179)</f>
        <v>0.21074688343013095</v>
      </c>
      <c r="G80" s="4">
        <f ca="1">$B80*('Updated Population'!G$70/'Updated Population'!$B$70)*('Total Trip Tables Sup #1'!G179/'Total Trip Tables Sup #1'!$B179)</f>
        <v>0.22057721738996908</v>
      </c>
      <c r="H80" s="4">
        <f ca="1">$B80*('Updated Population'!H$70/'Updated Population'!$B$70)*('Total Trip Tables Sup #1'!H179/'Total Trip Tables Sup #1'!$B179)</f>
        <v>0.22895967028801767</v>
      </c>
      <c r="I80" s="1">
        <f ca="1">$B80*('Updated Population'!I$70/'Updated Population'!$B$70)*('Total Trip Tables Sup #1'!I179/'Total Trip Tables Sup #1'!$B179)</f>
        <v>0.2304649152384555</v>
      </c>
      <c r="J80" s="1">
        <f ca="1">$B80*('Updated Population'!J$70/'Updated Population'!$B$70)*('Total Trip Tables Sup #1'!J179/'Total Trip Tables Sup #1'!$B179)</f>
        <v>0.23124162360075265</v>
      </c>
      <c r="K80" s="1">
        <f ca="1">$B80*('Updated Population'!K$70/'Updated Population'!$B$70)*('Total Trip Tables Sup #1'!K179/'Total Trip Tables Sup #1'!$B179)</f>
        <v>0.23152232160491948</v>
      </c>
    </row>
    <row r="81" spans="1:11" x14ac:dyDescent="0.2">
      <c r="A81" t="str">
        <f ca="1">OFFSET(Manawatu_Reference,0,0)</f>
        <v>08 MANAWATU-WANGANUI</v>
      </c>
      <c r="I81" s="1"/>
      <c r="J81" s="1"/>
      <c r="K81" s="1"/>
    </row>
    <row r="82" spans="1:11" x14ac:dyDescent="0.2">
      <c r="A82" t="str">
        <f ca="1">OFFSET(Manawatu_Reference,0,2)</f>
        <v>Pedestrian</v>
      </c>
      <c r="B82" s="4">
        <f ca="1">OFFSET(Manawatu_Reference,0,5)</f>
        <v>39.544031846000003</v>
      </c>
      <c r="C82" s="4">
        <f ca="1">$B82*('Updated Population'!C$81/'Updated Population'!$B$81)*('Total Trip Tables Sup #1'!C170/'Total Trip Tables Sup #1'!$B170)</f>
        <v>40.889607938666053</v>
      </c>
      <c r="D82" s="4">
        <f ca="1">$B82*('Updated Population'!D$81/'Updated Population'!$B$81)*('Total Trip Tables Sup #1'!D170/'Total Trip Tables Sup #1'!$B170)</f>
        <v>41.320564646471254</v>
      </c>
      <c r="E82" s="4">
        <f ca="1">$B82*('Updated Population'!E$81/'Updated Population'!$B$81)*('Total Trip Tables Sup #1'!E170/'Total Trip Tables Sup #1'!$B170)</f>
        <v>41.51604240009884</v>
      </c>
      <c r="F82" s="4">
        <f ca="1">$B82*('Updated Population'!F$81/'Updated Population'!$B$81)*('Total Trip Tables Sup #1'!F170/'Total Trip Tables Sup #1'!$B170)</f>
        <v>41.312924622483152</v>
      </c>
      <c r="G82" s="4">
        <f ca="1">$B82*('Updated Population'!G$81/'Updated Population'!$B$81)*('Total Trip Tables Sup #1'!G170/'Total Trip Tables Sup #1'!$B170)</f>
        <v>40.914847614417191</v>
      </c>
      <c r="H82" s="4">
        <f ca="1">$B82*('Updated Population'!H$81/'Updated Population'!$B$81)*('Total Trip Tables Sup #1'!H170/'Total Trip Tables Sup #1'!$B170)</f>
        <v>40.330547812641264</v>
      </c>
      <c r="I82" s="1">
        <f ca="1">$B82*('Updated Population'!I$81/'Updated Population'!$B$81)*('Total Trip Tables Sup #1'!I170/'Total Trip Tables Sup #1'!$B170)</f>
        <v>39.99836497479528</v>
      </c>
      <c r="J82" s="1">
        <f ca="1">$B82*('Updated Population'!J$81/'Updated Population'!$B$81)*('Total Trip Tables Sup #1'!J170/'Total Trip Tables Sup #1'!$B170)</f>
        <v>39.542645161564856</v>
      </c>
      <c r="K82" s="1">
        <f ca="1">$B82*('Updated Population'!K$81/'Updated Population'!$B$81)*('Total Trip Tables Sup #1'!K170/'Total Trip Tables Sup #1'!$B170)</f>
        <v>39.008106088890194</v>
      </c>
    </row>
    <row r="83" spans="1:11" x14ac:dyDescent="0.2">
      <c r="A83" t="str">
        <f ca="1">OFFSET(Manawatu_Reference,7,2)</f>
        <v>Cyclist</v>
      </c>
      <c r="B83" s="4">
        <f ca="1">OFFSET(Manawatu_Reference,7,5)</f>
        <v>4.6745036201000003</v>
      </c>
      <c r="C83" s="4">
        <f ca="1">$B83*('Updated Population'!C$81/'Updated Population'!$B$81)*('Total Trip Tables Sup #1'!C171/'Total Trip Tables Sup #1'!$B171)</f>
        <v>4.7857241984623515</v>
      </c>
      <c r="D83" s="4">
        <f ca="1">$B83*('Updated Population'!D$81/'Updated Population'!$B$81)*('Total Trip Tables Sup #1'!D171/'Total Trip Tables Sup #1'!$B171)</f>
        <v>4.7608027704226537</v>
      </c>
      <c r="E83" s="4">
        <f ca="1">$B83*('Updated Population'!E$81/'Updated Population'!$B$81)*('Total Trip Tables Sup #1'!E171/'Total Trip Tables Sup #1'!$B171)</f>
        <v>4.7093987857206132</v>
      </c>
      <c r="F83" s="4">
        <f ca="1">$B83*('Updated Population'!F$81/'Updated Population'!$B$81)*('Total Trip Tables Sup #1'!F171/'Total Trip Tables Sup #1'!$B171)</f>
        <v>4.6491936176186366</v>
      </c>
      <c r="G83" s="4">
        <f ca="1">$B83*('Updated Population'!G$81/'Updated Population'!$B$81)*('Total Trip Tables Sup #1'!G171/'Total Trip Tables Sup #1'!$B171)</f>
        <v>4.5829936366029145</v>
      </c>
      <c r="H83" s="4">
        <f ca="1">$B83*('Updated Population'!H$81/'Updated Population'!$B$81)*('Total Trip Tables Sup #1'!H171/'Total Trip Tables Sup #1'!$B171)</f>
        <v>4.5075411080189633</v>
      </c>
      <c r="I83" s="1">
        <f ca="1">$B83*('Updated Population'!I$81/'Updated Population'!$B$81)*('Total Trip Tables Sup #1'!I171/'Total Trip Tables Sup #1'!$B171)</f>
        <v>4.4704147143006052</v>
      </c>
      <c r="J83" s="1">
        <f ca="1">$B83*('Updated Population'!J$81/'Updated Population'!$B$81)*('Total Trip Tables Sup #1'!J171/'Total Trip Tables Sup #1'!$B171)</f>
        <v>4.4194812183952754</v>
      </c>
      <c r="K83" s="1">
        <f ca="1">$B83*('Updated Population'!K$81/'Updated Population'!$B$81)*('Total Trip Tables Sup #1'!K171/'Total Trip Tables Sup #1'!$B171)</f>
        <v>4.3597384929773941</v>
      </c>
    </row>
    <row r="84" spans="1:11" x14ac:dyDescent="0.2">
      <c r="A84" t="str">
        <f ca="1">OFFSET(Manawatu_Reference,14,2)</f>
        <v>Light Vehicle Driver</v>
      </c>
      <c r="B84" s="4">
        <f ca="1">OFFSET(Manawatu_Reference,14,5)</f>
        <v>178.69640117</v>
      </c>
      <c r="C84" s="4">
        <f ca="1">$B84*('Updated Population'!C$81/'Updated Population'!$B$81)*('Total Trip Tables Sup #1'!C172/'Total Trip Tables Sup #1'!$B172)</f>
        <v>189.72153115794285</v>
      </c>
      <c r="D84" s="4">
        <f ca="1">$B84*('Updated Population'!D$81/'Updated Population'!$B$81)*('Total Trip Tables Sup #1'!D172/'Total Trip Tables Sup #1'!$B172)</f>
        <v>194.8203222720891</v>
      </c>
      <c r="E84" s="4">
        <f ca="1">$B84*('Updated Population'!E$81/'Updated Population'!$B$81)*('Total Trip Tables Sup #1'!E172/'Total Trip Tables Sup #1'!$B172)</f>
        <v>197.11703813221661</v>
      </c>
      <c r="F84" s="4">
        <f ca="1">$B84*('Updated Population'!F$81/'Updated Population'!$B$81)*('Total Trip Tables Sup #1'!F172/'Total Trip Tables Sup #1'!$B172)</f>
        <v>198.38339509311263</v>
      </c>
      <c r="G84" s="4">
        <f ca="1">$B84*('Updated Population'!G$81/'Updated Population'!$B$81)*('Total Trip Tables Sup #1'!G172/'Total Trip Tables Sup #1'!$B172)</f>
        <v>197.67932051896139</v>
      </c>
      <c r="H84" s="4">
        <f ca="1">$B84*('Updated Population'!H$81/'Updated Population'!$B$81)*('Total Trip Tables Sup #1'!H172/'Total Trip Tables Sup #1'!$B172)</f>
        <v>196.08595761461677</v>
      </c>
      <c r="I84" s="1">
        <f ca="1">$B84*('Updated Population'!I$81/'Updated Population'!$B$81)*('Total Trip Tables Sup #1'!I172/'Total Trip Tables Sup #1'!$B172)</f>
        <v>194.47089425954493</v>
      </c>
      <c r="J84" s="1">
        <f ca="1">$B84*('Updated Population'!J$81/'Updated Population'!$B$81)*('Total Trip Tables Sup #1'!J172/'Total Trip Tables Sup #1'!$B172)</f>
        <v>192.25519770128412</v>
      </c>
      <c r="K84" s="1">
        <f ca="1">$B84*('Updated Population'!K$81/'Updated Population'!$B$81)*('Total Trip Tables Sup #1'!K172/'Total Trip Tables Sup #1'!$B172)</f>
        <v>189.65628418206367</v>
      </c>
    </row>
    <row r="85" spans="1:11" x14ac:dyDescent="0.2">
      <c r="A85" t="str">
        <f ca="1">OFFSET(Manawatu_Reference,21,2)</f>
        <v>Light Vehicle Passenger</v>
      </c>
      <c r="B85" s="4">
        <f ca="1">OFFSET(Manawatu_Reference,21,5)</f>
        <v>84.046137802999993</v>
      </c>
      <c r="C85" s="4">
        <f ca="1">$B85*('Updated Population'!C$81/'Updated Population'!$B$81)*('Total Trip Tables Sup #1'!C173/'Total Trip Tables Sup #1'!$B173)</f>
        <v>84.864237711907876</v>
      </c>
      <c r="D85" s="4">
        <f ca="1">$B85*('Updated Population'!D$81/'Updated Population'!$B$81)*('Total Trip Tables Sup #1'!D173/'Total Trip Tables Sup #1'!$B173)</f>
        <v>84.538285424234417</v>
      </c>
      <c r="E85" s="4">
        <f ca="1">$B85*('Updated Population'!E$81/'Updated Population'!$B$81)*('Total Trip Tables Sup #1'!E173/'Total Trip Tables Sup #1'!$B173)</f>
        <v>83.797676760384761</v>
      </c>
      <c r="F85" s="4">
        <f ca="1">$B85*('Updated Population'!F$81/'Updated Population'!$B$81)*('Total Trip Tables Sup #1'!F173/'Total Trip Tables Sup #1'!$B173)</f>
        <v>82.843440121916444</v>
      </c>
      <c r="G85" s="4">
        <f ca="1">$B85*('Updated Population'!G$81/'Updated Population'!$B$81)*('Total Trip Tables Sup #1'!G173/'Total Trip Tables Sup #1'!$B173)</f>
        <v>81.488047132433522</v>
      </c>
      <c r="H85" s="4">
        <f ca="1">$B85*('Updated Population'!H$81/'Updated Population'!$B$81)*('Total Trip Tables Sup #1'!H173/'Total Trip Tables Sup #1'!$B173)</f>
        <v>79.710514063749542</v>
      </c>
      <c r="I85" s="1">
        <f ca="1">$B85*('Updated Population'!I$81/'Updated Population'!$B$81)*('Total Trip Tables Sup #1'!I173/'Total Trip Tables Sup #1'!$B173)</f>
        <v>79.053977859707246</v>
      </c>
      <c r="J85" s="1">
        <f ca="1">$B85*('Updated Population'!J$81/'Updated Population'!$B$81)*('Total Trip Tables Sup #1'!J173/'Total Trip Tables Sup #1'!$B173)</f>
        <v>78.153279442458185</v>
      </c>
      <c r="K85" s="1">
        <f ca="1">$B85*('Updated Population'!K$81/'Updated Population'!$B$81)*('Total Trip Tables Sup #1'!K173/'Total Trip Tables Sup #1'!$B173)</f>
        <v>77.096800257796517</v>
      </c>
    </row>
    <row r="86" spans="1:11" x14ac:dyDescent="0.2">
      <c r="A86" t="str">
        <f ca="1">OFFSET(Manawatu_Reference,28,2)</f>
        <v>Taxi/Vehicle Share</v>
      </c>
      <c r="B86" s="4">
        <f ca="1">OFFSET(Manawatu_Reference,28,5)</f>
        <v>0.99874441920000001</v>
      </c>
      <c r="C86" s="4">
        <f ca="1">$B86*('Updated Population'!C$81/'Updated Population'!$B$81)*('Total Trip Tables Sup #1'!C174/'Total Trip Tables Sup #1'!$B174)</f>
        <v>1.1098453146523697</v>
      </c>
      <c r="D86" s="4">
        <f ca="1">$B86*('Updated Population'!D$81/'Updated Population'!$B$81)*('Total Trip Tables Sup #1'!D174/'Total Trip Tables Sup #1'!$B174)</f>
        <v>1.1856271276094046</v>
      </c>
      <c r="E86" s="4">
        <f ca="1">$B86*('Updated Population'!E$81/'Updated Population'!$B$81)*('Total Trip Tables Sup #1'!E174/'Total Trip Tables Sup #1'!$B174)</f>
        <v>1.2530539901607776</v>
      </c>
      <c r="F86" s="4">
        <f ca="1">$B86*('Updated Population'!F$81/'Updated Population'!$B$81)*('Total Trip Tables Sup #1'!F174/'Total Trip Tables Sup #1'!$B174)</f>
        <v>1.3060824480977116</v>
      </c>
      <c r="G86" s="4">
        <f ca="1">$B86*('Updated Population'!G$81/'Updated Population'!$B$81)*('Total Trip Tables Sup #1'!G174/'Total Trip Tables Sup #1'!$B174)</f>
        <v>1.3404469820763336</v>
      </c>
      <c r="H86" s="4">
        <f ca="1">$B86*('Updated Population'!H$81/'Updated Population'!$B$81)*('Total Trip Tables Sup #1'!H174/'Total Trip Tables Sup #1'!$B174)</f>
        <v>1.3697496888360441</v>
      </c>
      <c r="I86" s="1">
        <f ca="1">$B86*('Updated Population'!I$81/'Updated Population'!$B$81)*('Total Trip Tables Sup #1'!I174/'Total Trip Tables Sup #1'!$B174)</f>
        <v>1.3584677359875486</v>
      </c>
      <c r="J86" s="1">
        <f ca="1">$B86*('Updated Population'!J$81/'Updated Population'!$B$81)*('Total Trip Tables Sup #1'!J174/'Total Trip Tables Sup #1'!$B174)</f>
        <v>1.3429900867557885</v>
      </c>
      <c r="K86" s="1">
        <f ca="1">$B86*('Updated Population'!K$81/'Updated Population'!$B$81)*('Total Trip Tables Sup #1'!K174/'Total Trip Tables Sup #1'!$B174)</f>
        <v>1.3248354925789809</v>
      </c>
    </row>
    <row r="87" spans="1:11" x14ac:dyDescent="0.2">
      <c r="A87" t="str">
        <f ca="1">OFFSET(Manawatu_Reference,35,2)</f>
        <v>Motorcyclist</v>
      </c>
      <c r="B87" s="4">
        <f ca="1">OFFSET(Manawatu_Reference,35,5)</f>
        <v>0.79000583589999995</v>
      </c>
      <c r="C87" s="4">
        <f ca="1">$B87*('Updated Population'!C$81/'Updated Population'!$B$81)*('Total Trip Tables Sup #1'!C175/'Total Trip Tables Sup #1'!$B175)</f>
        <v>0.81611041658832273</v>
      </c>
      <c r="D87" s="4">
        <f ca="1">$B87*('Updated Population'!D$81/'Updated Population'!$B$81)*('Total Trip Tables Sup #1'!D175/'Total Trip Tables Sup #1'!$B175)</f>
        <v>0.81886528867592856</v>
      </c>
      <c r="E87" s="4">
        <f ca="1">$B87*('Updated Population'!E$81/'Updated Population'!$B$81)*('Total Trip Tables Sup #1'!E175/'Total Trip Tables Sup #1'!$B175)</f>
        <v>0.81104592719742097</v>
      </c>
      <c r="F87" s="4">
        <f ca="1">$B87*('Updated Population'!F$81/'Updated Population'!$B$81)*('Total Trip Tables Sup #1'!F175/'Total Trip Tables Sup #1'!$B175)</f>
        <v>0.7987826110219266</v>
      </c>
      <c r="G87" s="4">
        <f ca="1">$B87*('Updated Population'!G$81/'Updated Population'!$B$81)*('Total Trip Tables Sup #1'!G175/'Total Trip Tables Sup #1'!$B175)</f>
        <v>0.77320941124038511</v>
      </c>
      <c r="H87" s="4">
        <f ca="1">$B87*('Updated Population'!H$81/'Updated Population'!$B$81)*('Total Trip Tables Sup #1'!H175/'Total Trip Tables Sup #1'!$B175)</f>
        <v>0.74406086769892532</v>
      </c>
      <c r="I87" s="1">
        <f ca="1">$B87*('Updated Population'!I$81/'Updated Population'!$B$81)*('Total Trip Tables Sup #1'!I175/'Total Trip Tables Sup #1'!$B175)</f>
        <v>0.73793240518186276</v>
      </c>
      <c r="J87" s="1">
        <f ca="1">$B87*('Updated Population'!J$81/'Updated Population'!$B$81)*('Total Trip Tables Sup #1'!J175/'Total Trip Tables Sup #1'!$B175)</f>
        <v>0.7295248010690929</v>
      </c>
      <c r="K87" s="1">
        <f ca="1">$B87*('Updated Population'!K$81/'Updated Population'!$B$81)*('Total Trip Tables Sup #1'!K175/'Total Trip Tables Sup #1'!$B175)</f>
        <v>0.71966305537496122</v>
      </c>
    </row>
    <row r="88" spans="1:11" x14ac:dyDescent="0.2">
      <c r="A88" t="str">
        <f ca="1">OFFSET(Taranaki_Reference,42,2)</f>
        <v>Local Train</v>
      </c>
      <c r="B88" s="4">
        <v>0</v>
      </c>
      <c r="C88" s="4">
        <f ca="1">$B88*('Updated Population'!C$81/'Updated Population'!$B$81)*('Total Trip Tables Sup #1'!C176/'Total Trip Tables Sup #1'!$B176)</f>
        <v>0</v>
      </c>
      <c r="D88" s="4">
        <f ca="1">$B88*('Updated Population'!D$81/'Updated Population'!$B$81)*('Total Trip Tables Sup #1'!D176/'Total Trip Tables Sup #1'!$B176)</f>
        <v>0</v>
      </c>
      <c r="E88" s="4">
        <f ca="1">$B88*('Updated Population'!E$81/'Updated Population'!$B$81)*('Total Trip Tables Sup #1'!E176/'Total Trip Tables Sup #1'!$B176)</f>
        <v>0</v>
      </c>
      <c r="F88" s="4">
        <f ca="1">$B88*('Updated Population'!F$81/'Updated Population'!$B$81)*('Total Trip Tables Sup #1'!F176/'Total Trip Tables Sup #1'!$B176)</f>
        <v>0</v>
      </c>
      <c r="G88" s="4">
        <f ca="1">$B88*('Updated Population'!G$81/'Updated Population'!$B$81)*('Total Trip Tables Sup #1'!G176/'Total Trip Tables Sup #1'!$B176)</f>
        <v>0</v>
      </c>
      <c r="H88" s="4">
        <f ca="1">$B88*('Updated Population'!H$81/'Updated Population'!$B$81)*('Total Trip Tables Sup #1'!H176/'Total Trip Tables Sup #1'!$B176)</f>
        <v>0</v>
      </c>
      <c r="I88" s="1">
        <f ca="1">$B88*('Updated Population'!I$81/'Updated Population'!$B$81)*('Total Trip Tables Sup #1'!I176/'Total Trip Tables Sup #1'!$B176)</f>
        <v>0</v>
      </c>
      <c r="J88" s="1">
        <f ca="1">$B88*('Updated Population'!J$81/'Updated Population'!$B$81)*('Total Trip Tables Sup #1'!J176/'Total Trip Tables Sup #1'!$B176)</f>
        <v>0</v>
      </c>
      <c r="K88" s="1">
        <f ca="1">$B88*('Updated Population'!K$81/'Updated Population'!$B$81)*('Total Trip Tables Sup #1'!K176/'Total Trip Tables Sup #1'!$B176)</f>
        <v>0</v>
      </c>
    </row>
    <row r="89" spans="1:11" x14ac:dyDescent="0.2">
      <c r="A89" t="str">
        <f ca="1">OFFSET(Manawatu_Reference,42,2)</f>
        <v>Local Bus</v>
      </c>
      <c r="B89" s="4">
        <f ca="1">OFFSET(Manawatu_Reference,42,5)</f>
        <v>5.2110099151</v>
      </c>
      <c r="C89" s="4">
        <f ca="1">$B89*('Updated Population'!C$81/'Updated Population'!$B$81)*('Total Trip Tables Sup #1'!C177/'Total Trip Tables Sup #1'!$B177)</f>
        <v>5.0387011315038182</v>
      </c>
      <c r="D89" s="4">
        <f ca="1">$B89*('Updated Population'!D$81/'Updated Population'!$B$81)*('Total Trip Tables Sup #1'!D177/'Total Trip Tables Sup #1'!$B177)</f>
        <v>4.8691599637873351</v>
      </c>
      <c r="E89" s="4">
        <f ca="1">$B89*('Updated Population'!E$81/'Updated Population'!$B$81)*('Total Trip Tables Sup #1'!E177/'Total Trip Tables Sup #1'!$B177)</f>
        <v>4.7612006078491449</v>
      </c>
      <c r="F89" s="4">
        <f ca="1">$B89*('Updated Population'!F$81/'Updated Population'!$B$81)*('Total Trip Tables Sup #1'!F177/'Total Trip Tables Sup #1'!$B177)</f>
        <v>4.6066156882554123</v>
      </c>
      <c r="G89" s="4">
        <f ca="1">$B89*('Updated Population'!G$81/'Updated Population'!$B$81)*('Total Trip Tables Sup #1'!G177/'Total Trip Tables Sup #1'!$B177)</f>
        <v>4.4875439106120973</v>
      </c>
      <c r="H89" s="4">
        <f ca="1">$B89*('Updated Population'!H$81/'Updated Population'!$B$81)*('Total Trip Tables Sup #1'!H177/'Total Trip Tables Sup #1'!$B177)</f>
        <v>4.3484609262763616</v>
      </c>
      <c r="I89" s="1">
        <f ca="1">$B89*('Updated Population'!I$81/'Updated Population'!$B$81)*('Total Trip Tables Sup #1'!I177/'Total Trip Tables Sup #1'!$B177)</f>
        <v>4.3126447975824664</v>
      </c>
      <c r="J89" s="1">
        <f ca="1">$B89*('Updated Population'!J$81/'Updated Population'!$B$81)*('Total Trip Tables Sup #1'!J177/'Total Trip Tables Sup #1'!$B177)</f>
        <v>4.2635088470774418</v>
      </c>
      <c r="K89" s="1">
        <f ca="1">$B89*('Updated Population'!K$81/'Updated Population'!$B$81)*('Total Trip Tables Sup #1'!K177/'Total Trip Tables Sup #1'!$B177)</f>
        <v>4.2058745624678684</v>
      </c>
    </row>
    <row r="90" spans="1:11" x14ac:dyDescent="0.2">
      <c r="A90" t="str">
        <f ca="1">OFFSET(Manawatu_Reference,49,2)</f>
        <v>Local Ferry</v>
      </c>
      <c r="B90" s="4">
        <f ca="1">OFFSET(Manawatu_Reference,49,5)</f>
        <v>0.1068619116</v>
      </c>
      <c r="C90" s="4">
        <f ca="1">$B90*('Updated Population'!C$81/'Updated Population'!$B$81)*('Total Trip Tables Sup #1'!C178/'Total Trip Tables Sup #1'!$B178)</f>
        <v>0.11948157577781141</v>
      </c>
      <c r="D90" s="4">
        <f ca="1">$B90*('Updated Population'!D$81/'Updated Population'!$B$81)*('Total Trip Tables Sup #1'!D178/'Total Trip Tables Sup #1'!$B178)</f>
        <v>0.12856476668747027</v>
      </c>
      <c r="E90" s="4">
        <f ca="1">$B90*('Updated Population'!E$81/'Updated Population'!$B$81)*('Total Trip Tables Sup #1'!E178/'Total Trip Tables Sup #1'!$B178)</f>
        <v>0.13515005616486503</v>
      </c>
      <c r="F90" s="4">
        <f ca="1">$B90*('Updated Population'!F$81/'Updated Population'!$B$81)*('Total Trip Tables Sup #1'!F178/'Total Trip Tables Sup #1'!$B178)</f>
        <v>0.14023939904500698</v>
      </c>
      <c r="G90" s="4">
        <f ca="1">$B90*('Updated Population'!G$81/'Updated Population'!$B$81)*('Total Trip Tables Sup #1'!G178/'Total Trip Tables Sup #1'!$B178)</f>
        <v>0.14823783190231624</v>
      </c>
      <c r="H90" s="4">
        <f ca="1">$B90*('Updated Population'!H$81/'Updated Population'!$B$81)*('Total Trip Tables Sup #1'!H178/'Total Trip Tables Sup #1'!$B178)</f>
        <v>0.15529568137020705</v>
      </c>
      <c r="I90" s="1">
        <f ca="1">$B90*('Updated Population'!I$81/'Updated Population'!$B$81)*('Total Trip Tables Sup #1'!I178/'Total Trip Tables Sup #1'!$B178)</f>
        <v>0.15401658740941016</v>
      </c>
      <c r="J90" s="1">
        <f ca="1">$B90*('Updated Population'!J$81/'Updated Population'!$B$81)*('Total Trip Tables Sup #1'!J178/'Total Trip Tables Sup #1'!$B178)</f>
        <v>0.15226180542037551</v>
      </c>
      <c r="K90" s="1">
        <f ca="1">$B90*('Updated Population'!K$81/'Updated Population'!$B$81)*('Total Trip Tables Sup #1'!K178/'Total Trip Tables Sup #1'!$B178)</f>
        <v>0.15020352419157476</v>
      </c>
    </row>
    <row r="91" spans="1:11" x14ac:dyDescent="0.2">
      <c r="A91" t="str">
        <f ca="1">OFFSET(Manawatu_Reference,56,2)</f>
        <v>Other Household Travel</v>
      </c>
      <c r="B91" s="4">
        <f ca="1">OFFSET(Manawatu_Reference,56,5)</f>
        <v>0.24513607779999999</v>
      </c>
      <c r="C91" s="4">
        <f ca="1">$B91*('Updated Population'!C$81/'Updated Population'!$B$81)*('Total Trip Tables Sup #1'!C179/'Total Trip Tables Sup #1'!$B179)</f>
        <v>0.25569125926790814</v>
      </c>
      <c r="D91" s="4">
        <f ca="1">$B91*('Updated Population'!D$81/'Updated Population'!$B$81)*('Total Trip Tables Sup #1'!D179/'Total Trip Tables Sup #1'!$B179)</f>
        <v>0.26410450654799311</v>
      </c>
      <c r="E91" s="4">
        <f ca="1">$B91*('Updated Population'!E$81/'Updated Population'!$B$81)*('Total Trip Tables Sup #1'!E179/'Total Trip Tables Sup #1'!$B179)</f>
        <v>0.27352623455980846</v>
      </c>
      <c r="F91" s="4">
        <f ca="1">$B91*('Updated Population'!F$81/'Updated Population'!$B$81)*('Total Trip Tables Sup #1'!F179/'Total Trip Tables Sup #1'!$B179)</f>
        <v>0.2828866563788805</v>
      </c>
      <c r="G91" s="4">
        <f ca="1">$B91*('Updated Population'!G$81/'Updated Population'!$B$81)*('Total Trip Tables Sup #1'!G179/'Total Trip Tables Sup #1'!$B179)</f>
        <v>0.29207778076186269</v>
      </c>
      <c r="H91" s="4">
        <f ca="1">$B91*('Updated Population'!H$81/'Updated Population'!$B$81)*('Total Trip Tables Sup #1'!H179/'Total Trip Tables Sup #1'!$B179)</f>
        <v>0.29871645465514679</v>
      </c>
      <c r="I91" s="1">
        <f ca="1">$B91*('Updated Population'!I$81/'Updated Population'!$B$81)*('Total Trip Tables Sup #1'!I179/'Total Trip Tables Sup #1'!$B179)</f>
        <v>0.29625607449667213</v>
      </c>
      <c r="J91" s="1">
        <f ca="1">$B91*('Updated Population'!J$81/'Updated Population'!$B$81)*('Total Trip Tables Sup #1'!J179/'Total Trip Tables Sup #1'!$B179)</f>
        <v>0.2928806924523541</v>
      </c>
      <c r="K91" s="1">
        <f ca="1">$B91*('Updated Population'!K$81/'Updated Population'!$B$81)*('Total Trip Tables Sup #1'!K179/'Total Trip Tables Sup #1'!$B179)</f>
        <v>0.28892151943527011</v>
      </c>
    </row>
    <row r="92" spans="1:11" x14ac:dyDescent="0.2">
      <c r="A92" t="str">
        <f ca="1">OFFSET(Wellington_Reference,0,0)</f>
        <v>09 WELLINGTON</v>
      </c>
      <c r="I92" s="1"/>
      <c r="J92" s="1"/>
      <c r="K92" s="1"/>
    </row>
    <row r="93" spans="1:11" x14ac:dyDescent="0.2">
      <c r="A93" t="str">
        <f ca="1">OFFSET(Wellington_Reference,0,2)</f>
        <v>Pedestrian</v>
      </c>
      <c r="B93" s="4">
        <f ca="1">OFFSET(Wellington_Reference,0,5)</f>
        <v>182.29561206</v>
      </c>
      <c r="C93" s="4">
        <f ca="1">$B93*('Updated Population'!C$92/'Updated Population'!$B$92)*('Total Trip Tables Sup #1'!C170/'Total Trip Tables Sup #1'!$B170)</f>
        <v>191.82069999330636</v>
      </c>
      <c r="D93" s="4">
        <f ca="1">$B93*('Updated Population'!D$92/'Updated Population'!$B$92)*('Total Trip Tables Sup #1'!D170/'Total Trip Tables Sup #1'!$B170)</f>
        <v>196.99316522214025</v>
      </c>
      <c r="E93" s="4">
        <f ca="1">$B93*('Updated Population'!E$92/'Updated Population'!$B$92)*('Total Trip Tables Sup #1'!E170/'Total Trip Tables Sup #1'!$B170)</f>
        <v>200.63846232461538</v>
      </c>
      <c r="F93" s="4">
        <f ca="1">$B93*('Updated Population'!F$92/'Updated Population'!$B$92)*('Total Trip Tables Sup #1'!F170/'Total Trip Tables Sup #1'!$B170)</f>
        <v>202.60481380438355</v>
      </c>
      <c r="G93" s="4">
        <f ca="1">$B93*('Updated Population'!G$92/'Updated Population'!$B$92)*('Total Trip Tables Sup #1'!G170/'Total Trip Tables Sup #1'!$B170)</f>
        <v>203.68625074416607</v>
      </c>
      <c r="H93" s="4">
        <f ca="1">$B93*('Updated Population'!H$92/'Updated Population'!$B$92)*('Total Trip Tables Sup #1'!H170/'Total Trip Tables Sup #1'!$B170)</f>
        <v>203.78370608985446</v>
      </c>
      <c r="I93" s="1">
        <f ca="1">$B93*('Updated Population'!I$92/'Updated Population'!$B$92)*('Total Trip Tables Sup #1'!I170/'Total Trip Tables Sup #1'!$B170)</f>
        <v>205.13139476787742</v>
      </c>
      <c r="J93" s="1">
        <f ca="1">$B93*('Updated Population'!J$92/'Updated Population'!$B$92)*('Total Trip Tables Sup #1'!J170/'Total Trip Tables Sup #1'!$B170)</f>
        <v>205.83070928387556</v>
      </c>
      <c r="K93" s="1">
        <f ca="1">$B93*('Updated Population'!K$92/'Updated Population'!$B$92)*('Total Trip Tables Sup #1'!K170/'Total Trip Tables Sup #1'!$B170)</f>
        <v>206.08855635358003</v>
      </c>
    </row>
    <row r="94" spans="1:11" x14ac:dyDescent="0.2">
      <c r="A94" t="str">
        <f ca="1">OFFSET(Wellington_Reference,7,2)</f>
        <v>Cyclist</v>
      </c>
      <c r="B94" s="4">
        <f ca="1">OFFSET(Wellington_Reference,7,5)</f>
        <v>8.1327913301999999</v>
      </c>
      <c r="C94" s="4">
        <f ca="1">$B94*('Updated Population'!C$92/'Updated Population'!$B$92)*('Total Trip Tables Sup #1'!C171/'Total Trip Tables Sup #1'!$B171)</f>
        <v>8.4730360203008033</v>
      </c>
      <c r="D94" s="4">
        <f ca="1">$B94*('Updated Population'!D$92/'Updated Population'!$B$92)*('Total Trip Tables Sup #1'!D171/'Total Trip Tables Sup #1'!$B171)</f>
        <v>8.5659189700026133</v>
      </c>
      <c r="E94" s="4">
        <f ca="1">$B94*('Updated Population'!E$92/'Updated Population'!$B$92)*('Total Trip Tables Sup #1'!E171/'Total Trip Tables Sup #1'!$B171)</f>
        <v>8.5895927287796816</v>
      </c>
      <c r="F94" s="4">
        <f ca="1">$B94*('Updated Population'!F$92/'Updated Population'!$B$92)*('Total Trip Tables Sup #1'!F171/'Total Trip Tables Sup #1'!$B171)</f>
        <v>8.6049888742678373</v>
      </c>
      <c r="G94" s="4">
        <f ca="1">$B94*('Updated Population'!G$92/'Updated Population'!$B$92)*('Total Trip Tables Sup #1'!G171/'Total Trip Tables Sup #1'!$B171)</f>
        <v>8.6107085837703927</v>
      </c>
      <c r="H94" s="4">
        <f ca="1">$B94*('Updated Population'!H$92/'Updated Population'!$B$92)*('Total Trip Tables Sup #1'!H171/'Total Trip Tables Sup #1'!$B171)</f>
        <v>8.5957523026430049</v>
      </c>
      <c r="I94" s="1">
        <f ca="1">$B94*('Updated Population'!I$92/'Updated Population'!$B$92)*('Total Trip Tables Sup #1'!I171/'Total Trip Tables Sup #1'!$B171)</f>
        <v>8.6525988399822271</v>
      </c>
      <c r="J94" s="1">
        <f ca="1">$B94*('Updated Population'!J$92/'Updated Population'!$B$92)*('Total Trip Tables Sup #1'!J171/'Total Trip Tables Sup #1'!$B171)</f>
        <v>8.6820964601624784</v>
      </c>
      <c r="K94" s="1">
        <f ca="1">$B94*('Updated Population'!K$92/'Updated Population'!$B$92)*('Total Trip Tables Sup #1'!K171/'Total Trip Tables Sup #1'!$B171)</f>
        <v>8.6929726464173527</v>
      </c>
    </row>
    <row r="95" spans="1:11" x14ac:dyDescent="0.2">
      <c r="A95" t="str">
        <f ca="1">OFFSET(Wellington_Reference,14,2)</f>
        <v>Light Vehicle Driver</v>
      </c>
      <c r="B95" s="4">
        <f ca="1">OFFSET(Wellington_Reference,14,5)</f>
        <v>377.93589692</v>
      </c>
      <c r="C95" s="4">
        <f ca="1">$B95*('Updated Population'!C$92/'Updated Population'!$B$92)*('Total Trip Tables Sup #1'!C172/'Total Trip Tables Sup #1'!$B172)</f>
        <v>408.32523038372727</v>
      </c>
      <c r="D95" s="4">
        <f ca="1">$B95*('Updated Population'!D$92/'Updated Population'!$B$92)*('Total Trip Tables Sup #1'!D172/'Total Trip Tables Sup #1'!$B172)</f>
        <v>426.1144265778334</v>
      </c>
      <c r="E95" s="4">
        <f ca="1">$B95*('Updated Population'!E$92/'Updated Population'!$B$92)*('Total Trip Tables Sup #1'!E172/'Total Trip Tables Sup #1'!$B172)</f>
        <v>437.04834351476251</v>
      </c>
      <c r="F95" s="4">
        <f ca="1">$B95*('Updated Population'!F$92/'Updated Population'!$B$92)*('Total Trip Tables Sup #1'!F172/'Total Trip Tables Sup #1'!$B172)</f>
        <v>446.35068676576452</v>
      </c>
      <c r="G95" s="4">
        <f ca="1">$B95*('Updated Population'!G$92/'Updated Population'!$B$92)*('Total Trip Tables Sup #1'!G172/'Total Trip Tables Sup #1'!$B172)</f>
        <v>451.49098750522558</v>
      </c>
      <c r="H95" s="4">
        <f ca="1">$B95*('Updated Population'!H$92/'Updated Population'!$B$92)*('Total Trip Tables Sup #1'!H172/'Total Trip Tables Sup #1'!$B172)</f>
        <v>454.55757378282175</v>
      </c>
      <c r="I95" s="1">
        <f ca="1">$B95*('Updated Population'!I$92/'Updated Population'!$B$92)*('Total Trip Tables Sup #1'!I172/'Total Trip Tables Sup #1'!$B172)</f>
        <v>457.56371253380991</v>
      </c>
      <c r="J95" s="1">
        <f ca="1">$B95*('Updated Population'!J$92/'Updated Population'!$B$92)*('Total Trip Tables Sup #1'!J172/'Total Trip Tables Sup #1'!$B172)</f>
        <v>459.12359539099498</v>
      </c>
      <c r="K95" s="1">
        <f ca="1">$B95*('Updated Population'!K$92/'Updated Population'!$B$92)*('Total Trip Tables Sup #1'!K172/'Total Trip Tables Sup #1'!$B172)</f>
        <v>459.69874607728286</v>
      </c>
    </row>
    <row r="96" spans="1:11" x14ac:dyDescent="0.2">
      <c r="A96" t="str">
        <f ca="1">OFFSET(Wellington_Reference,21,2)</f>
        <v>Light Vehicle Passenger</v>
      </c>
      <c r="B96" s="4">
        <f ca="1">OFFSET(Wellington_Reference,21,5)</f>
        <v>183.55442563</v>
      </c>
      <c r="C96" s="4">
        <f ca="1">$B96*('Updated Population'!C$92/'Updated Population'!$B$92)*('Total Trip Tables Sup #1'!C173/'Total Trip Tables Sup #1'!$B173)</f>
        <v>188.60754878263216</v>
      </c>
      <c r="D96" s="4">
        <f ca="1">$B96*('Updated Population'!D$92/'Updated Population'!$B$92)*('Total Trip Tables Sup #1'!D173/'Total Trip Tables Sup #1'!$B173)</f>
        <v>190.93703639695823</v>
      </c>
      <c r="E96" s="4">
        <f ca="1">$B96*('Updated Population'!E$92/'Updated Population'!$B$92)*('Total Trip Tables Sup #1'!E173/'Total Trip Tables Sup #1'!$B173)</f>
        <v>191.85894562139487</v>
      </c>
      <c r="F96" s="4">
        <f ca="1">$B96*('Updated Population'!F$92/'Updated Population'!$B$92)*('Total Trip Tables Sup #1'!F173/'Total Trip Tables Sup #1'!$B173)</f>
        <v>192.47475493728399</v>
      </c>
      <c r="G96" s="4">
        <f ca="1">$B96*('Updated Population'!G$92/'Updated Population'!$B$92)*('Total Trip Tables Sup #1'!G173/'Total Trip Tables Sup #1'!$B173)</f>
        <v>192.18811068762972</v>
      </c>
      <c r="H96" s="4">
        <f ca="1">$B96*('Updated Population'!H$92/'Updated Population'!$B$92)*('Total Trip Tables Sup #1'!H173/'Total Trip Tables Sup #1'!$B173)</f>
        <v>190.81072265086831</v>
      </c>
      <c r="I96" s="1">
        <f ca="1">$B96*('Updated Population'!I$92/'Updated Population'!$B$92)*('Total Trip Tables Sup #1'!I173/'Total Trip Tables Sup #1'!$B173)</f>
        <v>192.07261672226466</v>
      </c>
      <c r="J96" s="1">
        <f ca="1">$B96*('Updated Population'!J$92/'Updated Population'!$B$92)*('Total Trip Tables Sup #1'!J173/'Total Trip Tables Sup #1'!$B173)</f>
        <v>192.72741248939531</v>
      </c>
      <c r="K96" s="1">
        <f ca="1">$B96*('Updated Population'!K$92/'Updated Population'!$B$92)*('Total Trip Tables Sup #1'!K173/'Total Trip Tables Sup #1'!$B173)</f>
        <v>192.96884487203155</v>
      </c>
    </row>
    <row r="97" spans="1:11" x14ac:dyDescent="0.2">
      <c r="A97" t="str">
        <f ca="1">OFFSET(Wellington_Reference,28,2)</f>
        <v>Taxi/Vehicle Share</v>
      </c>
      <c r="B97" s="4">
        <f ca="1">OFFSET(Wellington_Reference,28,5)</f>
        <v>2.3579512121000001</v>
      </c>
      <c r="C97" s="4">
        <f ca="1">$B97*('Updated Population'!C$92/'Updated Population'!$B$92)*('Total Trip Tables Sup #1'!C174/'Total Trip Tables Sup #1'!$B174)</f>
        <v>2.6664298314925383</v>
      </c>
      <c r="D97" s="4">
        <f ca="1">$B97*('Updated Population'!D$92/'Updated Population'!$B$92)*('Total Trip Tables Sup #1'!D174/'Total Trip Tables Sup #1'!$B174)</f>
        <v>2.8947977065071773</v>
      </c>
      <c r="E97" s="4">
        <f ca="1">$B97*('Updated Population'!E$92/'Updated Population'!$B$92)*('Total Trip Tables Sup #1'!E174/'Total Trip Tables Sup #1'!$B174)</f>
        <v>3.1013673407956253</v>
      </c>
      <c r="F97" s="4">
        <f ca="1">$B97*('Updated Population'!F$92/'Updated Population'!$B$92)*('Total Trip Tables Sup #1'!F174/'Total Trip Tables Sup #1'!$B174)</f>
        <v>3.2803455451158965</v>
      </c>
      <c r="G97" s="4">
        <f ca="1">$B97*('Updated Population'!G$92/'Updated Population'!$B$92)*('Total Trip Tables Sup #1'!G174/'Total Trip Tables Sup #1'!$B174)</f>
        <v>3.4175556795424069</v>
      </c>
      <c r="H97" s="4">
        <f ca="1">$B97*('Updated Population'!H$92/'Updated Population'!$B$92)*('Total Trip Tables Sup #1'!H174/'Total Trip Tables Sup #1'!$B174)</f>
        <v>3.5445550609164984</v>
      </c>
      <c r="I97" s="1">
        <f ca="1">$B97*('Updated Population'!I$92/'Updated Population'!$B$92)*('Total Trip Tables Sup #1'!I174/'Total Trip Tables Sup #1'!$B174)</f>
        <v>3.5679963694287689</v>
      </c>
      <c r="J97" s="1">
        <f ca="1">$B97*('Updated Population'!J$92/'Updated Population'!$B$92)*('Total Trip Tables Sup #1'!J174/'Total Trip Tables Sup #1'!$B174)</f>
        <v>3.5801600446038617</v>
      </c>
      <c r="K97" s="1">
        <f ca="1">$B97*('Updated Population'!K$92/'Updated Population'!$B$92)*('Total Trip Tables Sup #1'!K174/'Total Trip Tables Sup #1'!$B174)</f>
        <v>3.5846449622324594</v>
      </c>
    </row>
    <row r="98" spans="1:11" x14ac:dyDescent="0.2">
      <c r="A98" t="str">
        <f ca="1">OFFSET(Wellington_Reference,35,2)</f>
        <v>Motorcyclist</v>
      </c>
      <c r="B98" s="4">
        <f ca="1">OFFSET(Wellington_Reference,35,5)</f>
        <v>2.4968267649999998</v>
      </c>
      <c r="C98" s="4">
        <f ca="1">$B98*('Updated Population'!C$92/'Updated Population'!$B$92)*('Total Trip Tables Sup #1'!C175/'Total Trip Tables Sup #1'!$B175)</f>
        <v>2.6247883505966056</v>
      </c>
      <c r="D98" s="4">
        <f ca="1">$B98*('Updated Population'!D$92/'Updated Population'!$B$92)*('Total Trip Tables Sup #1'!D175/'Total Trip Tables Sup #1'!$B175)</f>
        <v>2.6764566679774471</v>
      </c>
      <c r="E98" s="4">
        <f ca="1">$B98*('Updated Population'!E$92/'Updated Population'!$B$92)*('Total Trip Tables Sup #1'!E175/'Total Trip Tables Sup #1'!$B175)</f>
        <v>2.6872404950781337</v>
      </c>
      <c r="F98" s="4">
        <f ca="1">$B98*('Updated Population'!F$92/'Updated Population'!$B$92)*('Total Trip Tables Sup #1'!F175/'Total Trip Tables Sup #1'!$B175)</f>
        <v>2.6856861832737358</v>
      </c>
      <c r="G98" s="4">
        <f ca="1">$B98*('Updated Population'!G$92/'Updated Population'!$B$92)*('Total Trip Tables Sup #1'!G175/'Total Trip Tables Sup #1'!$B175)</f>
        <v>2.6390082711939313</v>
      </c>
      <c r="H98" s="4">
        <f ca="1">$B98*('Updated Population'!H$92/'Updated Population'!$B$92)*('Total Trip Tables Sup #1'!H175/'Total Trip Tables Sup #1'!$B175)</f>
        <v>2.5775472972214666</v>
      </c>
      <c r="I98" s="1">
        <f ca="1">$B98*('Updated Population'!I$92/'Updated Population'!$B$92)*('Total Trip Tables Sup #1'!I175/'Total Trip Tables Sup #1'!$B175)</f>
        <v>2.5945934653189417</v>
      </c>
      <c r="J98" s="1">
        <f ca="1">$B98*('Updated Population'!J$92/'Updated Population'!$B$92)*('Total Trip Tables Sup #1'!J175/'Total Trip Tables Sup #1'!$B175)</f>
        <v>2.6034387075377863</v>
      </c>
      <c r="K98" s="1">
        <f ca="1">$B98*('Updated Population'!K$92/'Updated Population'!$B$92)*('Total Trip Tables Sup #1'!K175/'Total Trip Tables Sup #1'!$B175)</f>
        <v>2.6067000723954861</v>
      </c>
    </row>
    <row r="99" spans="1:11" x14ac:dyDescent="0.2">
      <c r="A99" t="str">
        <f ca="1">OFFSET(Wellington_Reference,42,2)</f>
        <v>Local Train</v>
      </c>
      <c r="B99" s="4">
        <f ca="1">OFFSET(Wellington_Reference,42,5)</f>
        <v>10.165258230999999</v>
      </c>
      <c r="C99" s="4">
        <f ca="1">OFFSET(Wellington_Reference,43,5)</f>
        <v>10.9389138</v>
      </c>
      <c r="D99" s="4">
        <f ca="1">OFFSET(Wellington_Reference,44,5)</f>
        <v>11.465730113999999</v>
      </c>
      <c r="E99" s="4">
        <f ca="1">OFFSET(Wellington_Reference,45,5)</f>
        <v>11.868558672000001</v>
      </c>
      <c r="F99" s="4">
        <f ca="1">OFFSET(Wellington_Reference,46,5)</f>
        <v>12.166184658000001</v>
      </c>
      <c r="G99" s="4">
        <f ca="1">OFFSET(Wellington_Reference,47,5)</f>
        <v>12.519927922000001</v>
      </c>
      <c r="H99" s="4">
        <f ca="1">OFFSET(Wellington_Reference,48,5)</f>
        <v>12.830146576000001</v>
      </c>
      <c r="I99" s="1">
        <f ca="1">OFFSET(Wellington_Reference,48,5)*('Updated Population'!I92/'Updated Population'!H92)</f>
        <v>12.914996555469047</v>
      </c>
      <c r="J99" s="1">
        <f ca="1">OFFSET(Wellington_Reference,48,5)*('Updated Population'!J92/'Updated Population'!H92)</f>
        <v>12.959025138102756</v>
      </c>
      <c r="K99" s="1">
        <f ca="1">OFFSET(Wellington_Reference,48,5)*('Updated Population'!K92/'Updated Population'!H92)</f>
        <v>12.975259094006185</v>
      </c>
    </row>
    <row r="100" spans="1:11" x14ac:dyDescent="0.2">
      <c r="A100" t="str">
        <f ca="1">OFFSET(Wellington_Reference,49,2)</f>
        <v>Local Bus</v>
      </c>
      <c r="B100" s="4">
        <f ca="1">OFFSET(Wellington_Reference,49,5)</f>
        <v>24.821335829999999</v>
      </c>
      <c r="C100" s="4">
        <f ca="1">OFFSET(Wellington_Reference,50,5)</f>
        <v>25.763393008000001</v>
      </c>
      <c r="D100" s="4">
        <f ca="1">OFFSET(Wellington_Reference,51,5)</f>
        <v>26.140608413999999</v>
      </c>
      <c r="E100" s="4">
        <f ca="1">OFFSET(Wellington_Reference,52,5)</f>
        <v>26.492151513</v>
      </c>
      <c r="F100" s="4">
        <f ca="1">OFFSET(Wellington_Reference,53,5)</f>
        <v>26.498180754</v>
      </c>
      <c r="G100" s="4">
        <f ca="1">OFFSET(Wellington_Reference,54,5)</f>
        <v>26.334150153</v>
      </c>
      <c r="H100" s="4">
        <f ca="1">OFFSET(Wellington_Reference,55,5)</f>
        <v>26.043893530999998</v>
      </c>
      <c r="I100" s="1">
        <f ca="1">OFFSET(Wellington_Reference,55,5)*('Updated Population'!I92/'Updated Population'!H92)</f>
        <v>26.216130365420351</v>
      </c>
      <c r="J100" s="1">
        <f ca="1">OFFSET(Wellington_Reference,55,5)*('Updated Population'!J92/'Updated Population'!H92)</f>
        <v>26.305503913231419</v>
      </c>
      <c r="K100" s="1">
        <f ca="1">OFFSET(Wellington_Reference,55,5)*('Updated Population'!K92/'Updated Population'!H92)</f>
        <v>26.338457193743956</v>
      </c>
    </row>
    <row r="101" spans="1:11" x14ac:dyDescent="0.2">
      <c r="A101" t="str">
        <f ca="1">OFFSET(Wellington_Reference,56,2)</f>
        <v>Local Ferry</v>
      </c>
      <c r="B101" s="4">
        <f ca="1">OFFSET(Wellington_Reference,56,5)</f>
        <v>0.22615005399999999</v>
      </c>
      <c r="C101" s="4">
        <f ca="1">$B101*('Updated Population'!C$92/'Updated Population'!$B$92)*('Total Trip Tables Sup #1'!C178/'Total Trip Tables Sup #1'!$B178)</f>
        <v>0.25731313480969253</v>
      </c>
      <c r="D101" s="4">
        <f ca="1">$B101*('Updated Population'!D$92/'Updated Population'!$B$92)*('Total Trip Tables Sup #1'!D178/'Total Trip Tables Sup #1'!$B178)</f>
        <v>0.28137490794628711</v>
      </c>
      <c r="E101" s="4">
        <f ca="1">$B101*('Updated Population'!E$92/'Updated Population'!$B$92)*('Total Trip Tables Sup #1'!E178/'Total Trip Tables Sup #1'!$B178)</f>
        <v>0.29984234348170252</v>
      </c>
      <c r="F101" s="4">
        <f ca="1">$B101*('Updated Population'!F$92/'Updated Population'!$B$92)*('Total Trip Tables Sup #1'!F178/'Total Trip Tables Sup #1'!$B178)</f>
        <v>0.31572745604137631</v>
      </c>
      <c r="G101" s="4">
        <f ca="1">$B101*('Updated Population'!G$92/'Updated Population'!$B$92)*('Total Trip Tables Sup #1'!G178/'Total Trip Tables Sup #1'!$B178)</f>
        <v>0.33878043374161182</v>
      </c>
      <c r="H101" s="4">
        <f ca="1">$B101*('Updated Population'!H$92/'Updated Population'!$B$92)*('Total Trip Tables Sup #1'!H178/'Total Trip Tables Sup #1'!$B178)</f>
        <v>0.36022446313182194</v>
      </c>
      <c r="I101" s="1">
        <f ca="1">$B101*('Updated Population'!I$92/'Updated Population'!$B$92)*('Total Trip Tables Sup #1'!I178/'Total Trip Tables Sup #1'!$B178)</f>
        <v>0.3626067459935125</v>
      </c>
      <c r="J101" s="1">
        <f ca="1">$B101*('Updated Population'!J$92/'Updated Population'!$B$92)*('Total Trip Tables Sup #1'!J178/'Total Trip Tables Sup #1'!$B178)</f>
        <v>0.36384291055700629</v>
      </c>
      <c r="K101" s="1">
        <f ca="1">$B101*('Updated Population'!K$92/'Updated Population'!$B$92)*('Total Trip Tables Sup #1'!K178/'Total Trip Tables Sup #1'!$B178)</f>
        <v>0.36429870176836771</v>
      </c>
    </row>
    <row r="102" spans="1:11" x14ac:dyDescent="0.2">
      <c r="A102" t="str">
        <f ca="1">OFFSET(Wellington_Reference,63,2)</f>
        <v>Other Household Travel</v>
      </c>
      <c r="B102" s="4">
        <f ca="1">OFFSET(Wellington_Reference,63,5)</f>
        <v>0.33422365529999998</v>
      </c>
      <c r="C102" s="4">
        <f ca="1">$B102*('Updated Population'!C$92/'Updated Population'!$B$92)*('Total Trip Tables Sup #1'!C179/'Total Trip Tables Sup #1'!$B179)</f>
        <v>0.3547587294078775</v>
      </c>
      <c r="D102" s="4">
        <f ca="1">$B102*('Updated Population'!D$92/'Updated Population'!$B$92)*('Total Trip Tables Sup #1'!D179/'Total Trip Tables Sup #1'!$B179)</f>
        <v>0.37238776738720036</v>
      </c>
      <c r="E102" s="4">
        <f ca="1">$B102*('Updated Population'!E$92/'Updated Population'!$B$92)*('Total Trip Tables Sup #1'!E179/'Total Trip Tables Sup #1'!$B179)</f>
        <v>0.39095962955503116</v>
      </c>
      <c r="F102" s="4">
        <f ca="1">$B102*('Updated Population'!F$92/'Updated Population'!$B$92)*('Total Trip Tables Sup #1'!F179/'Total Trip Tables Sup #1'!$B179)</f>
        <v>0.41030892645419242</v>
      </c>
      <c r="G102" s="4">
        <f ca="1">$B102*('Updated Population'!G$92/'Updated Population'!$B$92)*('Total Trip Tables Sup #1'!G179/'Total Trip Tables Sup #1'!$B179)</f>
        <v>0.43004507661088887</v>
      </c>
      <c r="H102" s="4">
        <f ca="1">$B102*('Updated Population'!H$92/'Updated Population'!$B$92)*('Total Trip Tables Sup #1'!H179/'Total Trip Tables Sup #1'!$B179)</f>
        <v>0.44640511785136489</v>
      </c>
      <c r="I102" s="1">
        <f ca="1">$B102*('Updated Population'!I$92/'Updated Population'!$B$92)*('Total Trip Tables Sup #1'!I179/'Total Trip Tables Sup #1'!$B179)</f>
        <v>0.44935734172972797</v>
      </c>
      <c r="J102" s="1">
        <f ca="1">$B102*('Updated Population'!J$92/'Updated Population'!$B$92)*('Total Trip Tables Sup #1'!J179/'Total Trip Tables Sup #1'!$B179)</f>
        <v>0.4508892482050752</v>
      </c>
      <c r="K102" s="1">
        <f ca="1">$B102*('Updated Population'!K$92/'Updated Population'!$B$92)*('Total Trip Tables Sup #1'!K179/'Total Trip Tables Sup #1'!$B179)</f>
        <v>0.45145408360701994</v>
      </c>
    </row>
    <row r="103" spans="1:11" x14ac:dyDescent="0.2">
      <c r="A103" t="str">
        <f ca="1">OFFSET(Nelson_Reference,0,0)</f>
        <v>10 NELS-MARLB-TAS</v>
      </c>
      <c r="I103" s="1"/>
      <c r="J103" s="1"/>
      <c r="K103" s="1"/>
    </row>
    <row r="104" spans="1:11" x14ac:dyDescent="0.2">
      <c r="A104" t="str">
        <f ca="1">OFFSET(Nelson_Reference,0,2)</f>
        <v>Pedestrian</v>
      </c>
      <c r="B104" s="4">
        <f ca="1">OFFSET(Nelson_Reference,0,5)</f>
        <v>34.609993433</v>
      </c>
      <c r="C104" s="4">
        <f ca="1">$B104*('Updated Population'!C$103/'Updated Population'!$B$103)*('Total Trip Tables Sup #1'!C170/'Total Trip Tables Sup #1'!$B170)</f>
        <v>36.073170311503361</v>
      </c>
      <c r="D104" s="4">
        <f ca="1">$B104*('Updated Population'!D$103/'Updated Population'!$B$103)*('Total Trip Tables Sup #1'!D170/'Total Trip Tables Sup #1'!$B170)</f>
        <v>36.92409108050191</v>
      </c>
      <c r="E104" s="4">
        <f ca="1">$B104*('Updated Population'!E$103/'Updated Population'!$B$103)*('Total Trip Tables Sup #1'!E170/'Total Trip Tables Sup #1'!$B170)</f>
        <v>37.475652136149037</v>
      </c>
      <c r="F104" s="4">
        <f ca="1">$B104*('Updated Population'!F$103/'Updated Population'!$B$103)*('Total Trip Tables Sup #1'!F170/'Total Trip Tables Sup #1'!$B170)</f>
        <v>37.649409072801163</v>
      </c>
      <c r="G104" s="4">
        <f ca="1">$B104*('Updated Population'!G$103/'Updated Population'!$B$103)*('Total Trip Tables Sup #1'!G170/'Total Trip Tables Sup #1'!$B170)</f>
        <v>37.605835484376072</v>
      </c>
      <c r="H104" s="4">
        <f ca="1">$B104*('Updated Population'!H$103/'Updated Population'!$B$103)*('Total Trip Tables Sup #1'!H170/'Total Trip Tables Sup #1'!$B170)</f>
        <v>37.317982768213632</v>
      </c>
      <c r="I104" s="1">
        <f ca="1">$B104*('Updated Population'!I$103/'Updated Population'!$B$103)*('Total Trip Tables Sup #1'!I170/'Total Trip Tables Sup #1'!$B170)</f>
        <v>37.261170389077016</v>
      </c>
      <c r="J104" s="1">
        <f ca="1">$B104*('Updated Population'!J$103/'Updated Population'!$B$103)*('Total Trip Tables Sup #1'!J170/'Total Trip Tables Sup #1'!$B170)</f>
        <v>37.087767246361736</v>
      </c>
      <c r="K104" s="1">
        <f ca="1">$B104*('Updated Population'!K$103/'Updated Population'!$B$103)*('Total Trip Tables Sup #1'!K170/'Total Trip Tables Sup #1'!$B170)</f>
        <v>36.837578972858005</v>
      </c>
    </row>
    <row r="105" spans="1:11" x14ac:dyDescent="0.2">
      <c r="A105" t="str">
        <f ca="1">OFFSET(Nelson_Reference,7,2)</f>
        <v>Cyclist</v>
      </c>
      <c r="B105" s="4">
        <f ca="1">OFFSET(Nelson_Reference,7,5)</f>
        <v>2.9519642961999999</v>
      </c>
      <c r="C105" s="4">
        <f ca="1">$B105*('Updated Population'!C$103/'Updated Population'!$B$103)*('Total Trip Tables Sup #1'!C171/'Total Trip Tables Sup #1'!$B171)</f>
        <v>3.0463097652328357</v>
      </c>
      <c r="D105" s="4">
        <f ca="1">$B105*('Updated Population'!D$103/'Updated Population'!$B$103)*('Total Trip Tables Sup #1'!D171/'Total Trip Tables Sup #1'!$B171)</f>
        <v>3.0695787968365829</v>
      </c>
      <c r="E105" s="4">
        <f ca="1">$B105*('Updated Population'!E$103/'Updated Population'!$B$103)*('Total Trip Tables Sup #1'!E171/'Total Trip Tables Sup #1'!$B171)</f>
        <v>3.0672823103169518</v>
      </c>
      <c r="F105" s="4">
        <f ca="1">$B105*('Updated Population'!F$103/'Updated Population'!$B$103)*('Total Trip Tables Sup #1'!F171/'Total Trip Tables Sup #1'!$B171)</f>
        <v>3.0570665051326293</v>
      </c>
      <c r="G105" s="4">
        <f ca="1">$B105*('Updated Population'!G$103/'Updated Population'!$B$103)*('Total Trip Tables Sup #1'!G171/'Total Trip Tables Sup #1'!$B171)</f>
        <v>3.0393351190305293</v>
      </c>
      <c r="H105" s="4">
        <f ca="1">$B105*('Updated Population'!H$103/'Updated Population'!$B$103)*('Total Trip Tables Sup #1'!H171/'Total Trip Tables Sup #1'!$B171)</f>
        <v>3.0093920206673168</v>
      </c>
      <c r="I105" s="1">
        <f ca="1">$B105*('Updated Population'!I$103/'Updated Population'!$B$103)*('Total Trip Tables Sup #1'!I171/'Total Trip Tables Sup #1'!$B171)</f>
        <v>3.0048105640138107</v>
      </c>
      <c r="J105" s="1">
        <f ca="1">$B105*('Updated Population'!J$103/'Updated Population'!$B$103)*('Total Trip Tables Sup #1'!J171/'Total Trip Tables Sup #1'!$B171)</f>
        <v>2.9908270098306384</v>
      </c>
      <c r="K105" s="1">
        <f ca="1">$B105*('Updated Population'!K$103/'Updated Population'!$B$103)*('Total Trip Tables Sup #1'!K171/'Total Trip Tables Sup #1'!$B171)</f>
        <v>2.9706513588951875</v>
      </c>
    </row>
    <row r="106" spans="1:11" x14ac:dyDescent="0.2">
      <c r="A106" t="str">
        <f ca="1">OFFSET(Nelson_Reference,14,2)</f>
        <v>Light Vehicle Driver</v>
      </c>
      <c r="B106" s="4">
        <f ca="1">OFFSET(Nelson_Reference,14,5)</f>
        <v>98.206986838999995</v>
      </c>
      <c r="C106" s="4">
        <f ca="1">$B106*('Updated Population'!C$103/'Updated Population'!$B$103)*('Total Trip Tables Sup #1'!C172/'Total Trip Tables Sup #1'!$B172)</f>
        <v>105.0978900604385</v>
      </c>
      <c r="D106" s="4">
        <f ca="1">$B106*('Updated Population'!D$103/'Updated Population'!$B$103)*('Total Trip Tables Sup #1'!D172/'Total Trip Tables Sup #1'!$B172)</f>
        <v>109.31602566314486</v>
      </c>
      <c r="E106" s="4">
        <f ca="1">$B106*('Updated Population'!E$103/'Updated Population'!$B$103)*('Total Trip Tables Sup #1'!E172/'Total Trip Tables Sup #1'!$B172)</f>
        <v>111.72836089054054</v>
      </c>
      <c r="F106" s="4">
        <f ca="1">$B106*('Updated Population'!F$103/'Updated Population'!$B$103)*('Total Trip Tables Sup #1'!F172/'Total Trip Tables Sup #1'!$B172)</f>
        <v>113.52291973892284</v>
      </c>
      <c r="G106" s="4">
        <f ca="1">$B106*('Updated Population'!G$103/'Updated Population'!$B$103)*('Total Trip Tables Sup #1'!G172/'Total Trip Tables Sup #1'!$B172)</f>
        <v>114.08841689634225</v>
      </c>
      <c r="H106" s="4">
        <f ca="1">$B106*('Updated Population'!H$103/'Updated Population'!$B$103)*('Total Trip Tables Sup #1'!H172/'Total Trip Tables Sup #1'!$B172)</f>
        <v>113.92959214625174</v>
      </c>
      <c r="I106" s="1">
        <f ca="1">$B106*('Updated Population'!I$103/'Updated Population'!$B$103)*('Total Trip Tables Sup #1'!I172/'Total Trip Tables Sup #1'!$B172)</f>
        <v>113.75614731607173</v>
      </c>
      <c r="J106" s="1">
        <f ca="1">$B106*('Updated Population'!J$103/'Updated Population'!$B$103)*('Total Trip Tables Sup #1'!J172/'Total Trip Tables Sup #1'!$B172)</f>
        <v>113.2267577869234</v>
      </c>
      <c r="K106" s="1">
        <f ca="1">$B106*('Updated Population'!K$103/'Updated Population'!$B$103)*('Total Trip Tables Sup #1'!K172/'Total Trip Tables Sup #1'!$B172)</f>
        <v>112.46294779919991</v>
      </c>
    </row>
    <row r="107" spans="1:11" x14ac:dyDescent="0.2">
      <c r="A107" t="str">
        <f ca="1">OFFSET(Nelson_Reference,21,2)</f>
        <v>Light Vehicle Passenger</v>
      </c>
      <c r="B107" s="4">
        <f ca="1">OFFSET(Nelson_Reference,21,5)</f>
        <v>45.895773310999999</v>
      </c>
      <c r="C107" s="4">
        <f ca="1">$B107*('Updated Population'!C$103/'Updated Population'!$B$103)*('Total Trip Tables Sup #1'!C173/'Total Trip Tables Sup #1'!$B173)</f>
        <v>46.712212884274294</v>
      </c>
      <c r="D107" s="4">
        <f ca="1">$B107*('Updated Population'!D$103/'Updated Population'!$B$103)*('Total Trip Tables Sup #1'!D173/'Total Trip Tables Sup #1'!$B173)</f>
        <v>47.133681474384169</v>
      </c>
      <c r="E107" s="4">
        <f ca="1">$B107*('Updated Population'!E$103/'Updated Population'!$B$103)*('Total Trip Tables Sup #1'!E173/'Total Trip Tables Sup #1'!$B173)</f>
        <v>47.195391340491973</v>
      </c>
      <c r="F107" s="4">
        <f ca="1">$B107*('Updated Population'!F$103/'Updated Population'!$B$103)*('Total Trip Tables Sup #1'!F173/'Total Trip Tables Sup #1'!$B173)</f>
        <v>47.104750691067501</v>
      </c>
      <c r="G107" s="4">
        <f ca="1">$B107*('Updated Population'!G$103/'Updated Population'!$B$103)*('Total Trip Tables Sup #1'!G173/'Total Trip Tables Sup #1'!$B173)</f>
        <v>46.730731031999071</v>
      </c>
      <c r="H107" s="4">
        <f ca="1">$B107*('Updated Population'!H$103/'Updated Population'!$B$103)*('Total Trip Tables Sup #1'!H173/'Total Trip Tables Sup #1'!$B173)</f>
        <v>46.018664384318271</v>
      </c>
      <c r="I107" s="1">
        <f ca="1">$B107*('Updated Population'!I$103/'Updated Population'!$B$103)*('Total Trip Tables Sup #1'!I173/'Total Trip Tables Sup #1'!$B173)</f>
        <v>45.948606208221207</v>
      </c>
      <c r="J107" s="1">
        <f ca="1">$B107*('Updated Population'!J$103/'Updated Population'!$B$103)*('Total Trip Tables Sup #1'!J173/'Total Trip Tables Sup #1'!$B173)</f>
        <v>45.734774150969777</v>
      </c>
      <c r="K107" s="1">
        <f ca="1">$B107*('Updated Population'!K$103/'Updated Population'!$B$103)*('Total Trip Tables Sup #1'!K173/'Total Trip Tables Sup #1'!$B173)</f>
        <v>45.426254522168541</v>
      </c>
    </row>
    <row r="108" spans="1:11" x14ac:dyDescent="0.2">
      <c r="A108" t="str">
        <f ca="1">OFFSET(Nelson_Reference,28,2)</f>
        <v>Taxi/Vehicle Share</v>
      </c>
      <c r="B108" s="4">
        <f ca="1">OFFSET(Nelson_Reference,28,5)</f>
        <v>0.40359339709999997</v>
      </c>
      <c r="C108" s="4">
        <f ca="1">$B108*('Updated Population'!C$103/'Updated Population'!$B$103)*('Total Trip Tables Sup #1'!C174/'Total Trip Tables Sup #1'!$B174)</f>
        <v>0.45206713571061119</v>
      </c>
      <c r="D108" s="4">
        <f ca="1">$B108*('Updated Population'!D$103/'Updated Population'!$B$103)*('Total Trip Tables Sup #1'!D174/'Total Trip Tables Sup #1'!$B174)</f>
        <v>0.48917112206743329</v>
      </c>
      <c r="E108" s="4">
        <f ca="1">$B108*('Updated Population'!E$103/'Updated Population'!$B$103)*('Total Trip Tables Sup #1'!E174/'Total Trip Tables Sup #1'!$B174)</f>
        <v>0.52224242955596334</v>
      </c>
      <c r="F108" s="4">
        <f ca="1">$B108*('Updated Population'!F$103/'Updated Population'!$B$103)*('Total Trip Tables Sup #1'!F174/'Total Trip Tables Sup #1'!$B174)</f>
        <v>0.54955597476169427</v>
      </c>
      <c r="G108" s="4">
        <f ca="1">$B108*('Updated Population'!G$103/'Updated Population'!$B$103)*('Total Trip Tables Sup #1'!G174/'Total Trip Tables Sup #1'!$B174)</f>
        <v>0.56884384360546014</v>
      </c>
      <c r="H108" s="4">
        <f ca="1">$B108*('Updated Population'!H$103/'Updated Population'!$B$103)*('Total Trip Tables Sup #1'!H174/'Total Trip Tables Sup #1'!$B174)</f>
        <v>0.58518659132719719</v>
      </c>
      <c r="I108" s="1">
        <f ca="1">$B108*('Updated Population'!I$103/'Updated Population'!$B$103)*('Total Trip Tables Sup #1'!I174/'Total Trip Tables Sup #1'!$B174)</f>
        <v>0.58429571138069414</v>
      </c>
      <c r="J108" s="1">
        <f ca="1">$B108*('Updated Population'!J$103/'Updated Population'!$B$103)*('Total Trip Tables Sup #1'!J174/'Total Trip Tables Sup #1'!$B174)</f>
        <v>0.58157656134942803</v>
      </c>
      <c r="K108" s="1">
        <f ca="1">$B108*('Updated Population'!K$103/'Updated Population'!$B$103)*('Total Trip Tables Sup #1'!K174/'Total Trip Tables Sup #1'!$B174)</f>
        <v>0.57765333688493758</v>
      </c>
    </row>
    <row r="109" spans="1:11" x14ac:dyDescent="0.2">
      <c r="A109" t="str">
        <f ca="1">OFFSET(Nelson_Reference,35,2)</f>
        <v>Motorcyclist</v>
      </c>
      <c r="B109" s="4">
        <f ca="1">OFFSET(Nelson_Reference,35,5)</f>
        <v>1.5095151791999999</v>
      </c>
      <c r="C109" s="4">
        <f ca="1">$B109*('Updated Population'!C$103/'Updated Population'!$B$103)*('Total Trip Tables Sup #1'!C175/'Total Trip Tables Sup #1'!$B175)</f>
        <v>1.5718348090056744</v>
      </c>
      <c r="D109" s="4">
        <f ca="1">$B109*('Updated Population'!D$103/'Updated Population'!$B$103)*('Total Trip Tables Sup #1'!D175/'Total Trip Tables Sup #1'!$B175)</f>
        <v>1.5975065345846358</v>
      </c>
      <c r="E109" s="4">
        <f ca="1">$B109*('Updated Population'!E$103/'Updated Population'!$B$103)*('Total Trip Tables Sup #1'!E175/'Total Trip Tables Sup #1'!$B175)</f>
        <v>1.5983258198870502</v>
      </c>
      <c r="F109" s="4">
        <f ca="1">$B109*('Updated Population'!F$103/'Updated Population'!$B$103)*('Total Trip Tables Sup #1'!F175/'Total Trip Tables Sup #1'!$B175)</f>
        <v>1.589232510799462</v>
      </c>
      <c r="G109" s="4">
        <f ca="1">$B109*('Updated Population'!G$103/'Updated Population'!$B$103)*('Total Trip Tables Sup #1'!G175/'Total Trip Tables Sup #1'!$B175)</f>
        <v>1.5515224018243152</v>
      </c>
      <c r="H109" s="4">
        <f ca="1">$B109*('Updated Population'!H$103/'Updated Population'!$B$103)*('Total Trip Tables Sup #1'!H175/'Total Trip Tables Sup #1'!$B175)</f>
        <v>1.5030696942041126</v>
      </c>
      <c r="I109" s="1">
        <f ca="1">$B109*('Updated Population'!I$103/'Updated Population'!$B$103)*('Total Trip Tables Sup #1'!I175/'Total Trip Tables Sup #1'!$B175)</f>
        <v>1.5007814417584682</v>
      </c>
      <c r="J109" s="1">
        <f ca="1">$B109*('Updated Population'!J$103/'Updated Population'!$B$103)*('Total Trip Tables Sup #1'!J175/'Total Trip Tables Sup #1'!$B175)</f>
        <v>1.4937972215685953</v>
      </c>
      <c r="K109" s="1">
        <f ca="1">$B109*('Updated Population'!K$103/'Updated Population'!$B$103)*('Total Trip Tables Sup #1'!K175/'Total Trip Tables Sup #1'!$B175)</f>
        <v>1.4837202992953737</v>
      </c>
    </row>
    <row r="110" spans="1:11" x14ac:dyDescent="0.2">
      <c r="A110" t="str">
        <f ca="1">OFFSET(Nelson_Reference,42,2)</f>
        <v>Local Train</v>
      </c>
      <c r="B110" s="4">
        <v>0</v>
      </c>
      <c r="C110" s="4">
        <f ca="1">$B110*('Updated Population'!C$103/'Updated Population'!$B$103)*('Total Trip Tables Sup #1'!C176/'Total Trip Tables Sup #1'!$B176)</f>
        <v>0</v>
      </c>
      <c r="D110" s="4">
        <f ca="1">$B110*('Updated Population'!D$103/'Updated Population'!$B$103)*('Total Trip Tables Sup #1'!D176/'Total Trip Tables Sup #1'!$B176)</f>
        <v>0</v>
      </c>
      <c r="E110" s="4">
        <f ca="1">$B110*('Updated Population'!E$103/'Updated Population'!$B$103)*('Total Trip Tables Sup #1'!E176/'Total Trip Tables Sup #1'!$B176)</f>
        <v>0</v>
      </c>
      <c r="F110" s="4">
        <f ca="1">$B110*('Updated Population'!F$103/'Updated Population'!$B$103)*('Total Trip Tables Sup #1'!F176/'Total Trip Tables Sup #1'!$B176)</f>
        <v>0</v>
      </c>
      <c r="G110" s="4">
        <f ca="1">$B110*('Updated Population'!G$103/'Updated Population'!$B$103)*('Total Trip Tables Sup #1'!G176/'Total Trip Tables Sup #1'!$B176)</f>
        <v>0</v>
      </c>
      <c r="H110" s="4">
        <f ca="1">$B110*('Updated Population'!H$103/'Updated Population'!$B$103)*('Total Trip Tables Sup #1'!H176/'Total Trip Tables Sup #1'!$B176)</f>
        <v>0</v>
      </c>
      <c r="I110" s="1">
        <f ca="1">$B110*('Updated Population'!I$103/'Updated Population'!$B$103)*('Total Trip Tables Sup #1'!I176/'Total Trip Tables Sup #1'!$B176)</f>
        <v>0</v>
      </c>
      <c r="J110" s="1">
        <f ca="1">$B110*('Updated Population'!J$103/'Updated Population'!$B$103)*('Total Trip Tables Sup #1'!J176/'Total Trip Tables Sup #1'!$B176)</f>
        <v>0</v>
      </c>
      <c r="K110" s="1">
        <f ca="1">$B110*('Updated Population'!K$103/'Updated Population'!$B$103)*('Total Trip Tables Sup #1'!K176/'Total Trip Tables Sup #1'!$B176)</f>
        <v>0</v>
      </c>
    </row>
    <row r="111" spans="1:11" x14ac:dyDescent="0.2">
      <c r="A111" t="str">
        <f ca="1">OFFSET(Nelson_Reference,49,2)</f>
        <v>Local Bus</v>
      </c>
      <c r="B111" s="4">
        <f ca="1">OFFSET(Nelson_Reference,49,5)</f>
        <v>2.0764681202999999</v>
      </c>
      <c r="C111" s="4">
        <f ca="1">$B111*('Updated Population'!C$103/'Updated Population'!$B$103)*('Total Trip Tables Sup #1'!C177/'Total Trip Tables Sup #1'!$B177)</f>
        <v>2.0238241014057587</v>
      </c>
      <c r="D111" s="4">
        <f ca="1">$B111*('Updated Population'!D$103/'Updated Population'!$B$103)*('Total Trip Tables Sup #1'!D177/'Total Trip Tables Sup #1'!$B177)</f>
        <v>1.9809814422012042</v>
      </c>
      <c r="E111" s="4">
        <f ca="1">$B111*('Updated Population'!E$103/'Updated Population'!$B$103)*('Total Trip Tables Sup #1'!E177/'Total Trip Tables Sup #1'!$B177)</f>
        <v>1.9567373335141593</v>
      </c>
      <c r="F111" s="4">
        <f ca="1">$B111*('Updated Population'!F$103/'Updated Population'!$B$103)*('Total Trip Tables Sup #1'!F177/'Total Trip Tables Sup #1'!$B177)</f>
        <v>1.9113358442754365</v>
      </c>
      <c r="G111" s="4">
        <f ca="1">$B111*('Updated Population'!G$103/'Updated Population'!$B$103)*('Total Trip Tables Sup #1'!G177/'Total Trip Tables Sup #1'!$B177)</f>
        <v>1.8778712526594683</v>
      </c>
      <c r="H111" s="4">
        <f ca="1">$B111*('Updated Population'!H$103/'Updated Population'!$B$103)*('Total Trip Tables Sup #1'!H177/'Total Trip Tables Sup #1'!$B177)</f>
        <v>1.8319027279675673</v>
      </c>
      <c r="I111" s="1">
        <f ca="1">$B111*('Updated Population'!I$103/'Updated Population'!$B$103)*('Total Trip Tables Sup #1'!I177/'Total Trip Tables Sup #1'!$B177)</f>
        <v>1.829113864674256</v>
      </c>
      <c r="J111" s="1">
        <f ca="1">$B111*('Updated Population'!J$103/'Updated Population'!$B$103)*('Total Trip Tables Sup #1'!J177/'Total Trip Tables Sup #1'!$B177)</f>
        <v>1.8206016765382766</v>
      </c>
      <c r="K111" s="1">
        <f ca="1">$B111*('Updated Population'!K$103/'Updated Population'!$B$103)*('Total Trip Tables Sup #1'!K177/'Total Trip Tables Sup #1'!$B177)</f>
        <v>1.8083201825576491</v>
      </c>
    </row>
    <row r="112" spans="1:11" x14ac:dyDescent="0.2">
      <c r="A112" t="str">
        <f ca="1">OFFSET(Wellington_Reference,56,2)</f>
        <v>Local Ferry</v>
      </c>
      <c r="B112" s="4">
        <v>0</v>
      </c>
      <c r="C112" s="4">
        <f ca="1">$B112*('Updated Population'!C$103/'Updated Population'!$B$103)*('Total Trip Tables Sup #1'!C178/'Total Trip Tables Sup #1'!$B178)</f>
        <v>0</v>
      </c>
      <c r="D112" s="4">
        <f ca="1">$B112*('Updated Population'!D$103/'Updated Population'!$B$103)*('Total Trip Tables Sup #1'!D178/'Total Trip Tables Sup #1'!$B178)</f>
        <v>0</v>
      </c>
      <c r="E112" s="4">
        <f ca="1">$B112*('Updated Population'!E$103/'Updated Population'!$B$103)*('Total Trip Tables Sup #1'!E178/'Total Trip Tables Sup #1'!$B178)</f>
        <v>0</v>
      </c>
      <c r="F112" s="4">
        <f ca="1">$B112*('Updated Population'!F$103/'Updated Population'!$B$103)*('Total Trip Tables Sup #1'!F178/'Total Trip Tables Sup #1'!$B178)</f>
        <v>0</v>
      </c>
      <c r="G112" s="4">
        <f ca="1">$B112*('Updated Population'!G$103/'Updated Population'!$B$103)*('Total Trip Tables Sup #1'!G178/'Total Trip Tables Sup #1'!$B178)</f>
        <v>0</v>
      </c>
      <c r="H112" s="4">
        <f ca="1">$B112*('Updated Population'!H$103/'Updated Population'!$B$103)*('Total Trip Tables Sup #1'!H178/'Total Trip Tables Sup #1'!$B178)</f>
        <v>0</v>
      </c>
      <c r="I112" s="1">
        <f ca="1">$B112*('Updated Population'!I$103/'Updated Population'!$B$103)*('Total Trip Tables Sup #1'!I178/'Total Trip Tables Sup #1'!$B178)</f>
        <v>0</v>
      </c>
      <c r="J112" s="1">
        <f ca="1">$B112*('Updated Population'!J$103/'Updated Population'!$B$103)*('Total Trip Tables Sup #1'!J178/'Total Trip Tables Sup #1'!$B178)</f>
        <v>0</v>
      </c>
      <c r="K112" s="1">
        <f ca="1">$B112*('Updated Population'!K$103/'Updated Population'!$B$103)*('Total Trip Tables Sup #1'!K178/'Total Trip Tables Sup #1'!$B178)</f>
        <v>0</v>
      </c>
    </row>
    <row r="113" spans="1:11" x14ac:dyDescent="0.2">
      <c r="A113" t="str">
        <f ca="1">OFFSET(Nelson_Reference,56,2)</f>
        <v>Other Household Travel</v>
      </c>
      <c r="B113" s="4">
        <f ca="1">OFFSET(Nelson_Reference,56,5)</f>
        <v>1.495105957</v>
      </c>
      <c r="C113" s="4">
        <f ca="1">$B113*('Updated Population'!C$103/'Updated Population'!$B$103)*('Total Trip Tables Sup #1'!C179/'Total Trip Tables Sup #1'!$B179)</f>
        <v>1.5719235373379035</v>
      </c>
      <c r="D113" s="4">
        <f ca="1">$B113*('Updated Population'!D$103/'Updated Population'!$B$103)*('Total Trip Tables Sup #1'!D179/'Total Trip Tables Sup #1'!$B179)</f>
        <v>1.644612349211106</v>
      </c>
      <c r="E113" s="4">
        <f ca="1">$B113*('Updated Population'!E$103/'Updated Population'!$B$103)*('Total Trip Tables Sup #1'!E179/'Total Trip Tables Sup #1'!$B179)</f>
        <v>1.7205860925564387</v>
      </c>
      <c r="F113" s="4">
        <f ca="1">$B113*('Updated Population'!F$103/'Updated Population'!$B$103)*('Total Trip Tables Sup #1'!F179/'Total Trip Tables Sup #1'!$B179)</f>
        <v>1.7965067573575146</v>
      </c>
      <c r="G113" s="4">
        <f ca="1">$B113*('Updated Population'!G$103/'Updated Population'!$B$103)*('Total Trip Tables Sup #1'!G179/'Total Trip Tables Sup #1'!$B179)</f>
        <v>1.87075533768623</v>
      </c>
      <c r="H113" s="4">
        <f ca="1">$B113*('Updated Population'!H$103/'Updated Population'!$B$103)*('Total Trip Tables Sup #1'!H179/'Total Trip Tables Sup #1'!$B179)</f>
        <v>1.9261377989154329</v>
      </c>
      <c r="I113" s="1">
        <f ca="1">$B113*('Updated Population'!I$103/'Updated Population'!$B$103)*('Total Trip Tables Sup #1'!I179/'Total Trip Tables Sup #1'!$B179)</f>
        <v>1.92320547345773</v>
      </c>
      <c r="J113" s="1">
        <f ca="1">$B113*('Updated Population'!J$103/'Updated Population'!$B$103)*('Total Trip Tables Sup #1'!J179/'Total Trip Tables Sup #1'!$B179)</f>
        <v>1.914255409095754</v>
      </c>
      <c r="K113" s="1">
        <f ca="1">$B113*('Updated Population'!K$103/'Updated Population'!$B$103)*('Total Trip Tables Sup #1'!K179/'Total Trip Tables Sup #1'!$B179)</f>
        <v>1.901342141692367</v>
      </c>
    </row>
    <row r="114" spans="1:11" x14ac:dyDescent="0.2">
      <c r="A114" t="str">
        <f ca="1">OFFSET(West_Coast_Reference,0,0)</f>
        <v>12 WEST COAST</v>
      </c>
      <c r="B114" s="4"/>
      <c r="C114" s="4"/>
      <c r="D114" s="4"/>
      <c r="E114" s="4"/>
      <c r="F114" s="4"/>
      <c r="G114" s="4"/>
      <c r="H114" s="4"/>
      <c r="I114" s="1"/>
      <c r="J114" s="1"/>
      <c r="K114" s="1"/>
    </row>
    <row r="115" spans="1:11" x14ac:dyDescent="0.2">
      <c r="A115" t="str">
        <f ca="1">OFFSET(West_Coast_Reference,0,2)</f>
        <v>Pedestrian</v>
      </c>
      <c r="B115" s="4">
        <f ca="1">OFFSET(West_Coast_Reference,0,5)</f>
        <v>5.2699511529</v>
      </c>
      <c r="C115" s="4">
        <f ca="1">$B115*('Updated Population'!C$114/'Updated Population'!$B$114)*('Total Trip Tables Sup #1'!C170/'Total Trip Tables Sup #1'!$B170)</f>
        <v>5.1591809358520546</v>
      </c>
      <c r="D115" s="4">
        <f ca="1">$B115*('Updated Population'!D$114/'Updated Population'!$B$114)*('Total Trip Tables Sup #1'!D170/'Total Trip Tables Sup #1'!$B170)</f>
        <v>5.1261662651019755</v>
      </c>
      <c r="E115" s="4">
        <f ca="1">$B115*('Updated Population'!E$114/'Updated Population'!$B$114)*('Total Trip Tables Sup #1'!E170/'Total Trip Tables Sup #1'!$B170)</f>
        <v>5.0587451183963541</v>
      </c>
      <c r="F115" s="4">
        <f ca="1">$B115*('Updated Population'!F$114/'Updated Population'!$B$114)*('Total Trip Tables Sup #1'!F170/'Total Trip Tables Sup #1'!$B170)</f>
        <v>4.9436903359974025</v>
      </c>
      <c r="G115" s="4">
        <f ca="1">$B115*('Updated Population'!G$114/'Updated Population'!$B$114)*('Total Trip Tables Sup #1'!G170/'Total Trip Tables Sup #1'!$B170)</f>
        <v>4.8058967033673614</v>
      </c>
      <c r="H115" s="4">
        <f ca="1">$B115*('Updated Population'!H$114/'Updated Population'!$B$114)*('Total Trip Tables Sup #1'!H170/'Total Trip Tables Sup #1'!$B170)</f>
        <v>4.6537648994597776</v>
      </c>
      <c r="I115" s="1">
        <f ca="1">$B115*('Updated Population'!I$114/'Updated Population'!$B$114)*('Total Trip Tables Sup #1'!I170/'Total Trip Tables Sup #1'!$B170)</f>
        <v>4.5340821241121869</v>
      </c>
      <c r="J115" s="1">
        <f ca="1">$B115*('Updated Population'!J$114/'Updated Population'!$B$114)*('Total Trip Tables Sup #1'!J170/'Total Trip Tables Sup #1'!$B170)</f>
        <v>4.403415688317728</v>
      </c>
      <c r="K115" s="1">
        <f ca="1">$B115*('Updated Population'!K$114/'Updated Population'!$B$114)*('Total Trip Tables Sup #1'!K170/'Total Trip Tables Sup #1'!$B170)</f>
        <v>4.2673243850407871</v>
      </c>
    </row>
    <row r="116" spans="1:11" x14ac:dyDescent="0.2">
      <c r="A116" t="str">
        <f ca="1">OFFSET(West_Coast_Reference,7,2)</f>
        <v>Cyclist</v>
      </c>
      <c r="B116" s="4">
        <f ca="1">OFFSET(West_Coast_Reference,7,5)</f>
        <v>0.73381292249999996</v>
      </c>
      <c r="C116" s="4">
        <f ca="1">$B116*('Updated Population'!C$114/'Updated Population'!$B$114)*('Total Trip Tables Sup #1'!C171/'Total Trip Tables Sup #1'!$B171)</f>
        <v>0.71127851696034627</v>
      </c>
      <c r="D116" s="4">
        <f ca="1">$B116*('Updated Population'!D$114/'Updated Population'!$B$114)*('Total Trip Tables Sup #1'!D171/'Total Trip Tables Sup #1'!$B171)</f>
        <v>0.69571416064633729</v>
      </c>
      <c r="E116" s="4">
        <f ca="1">$B116*('Updated Population'!E$114/'Updated Population'!$B$114)*('Total Trip Tables Sup #1'!E171/'Total Trip Tables Sup #1'!$B171)</f>
        <v>0.6759530491118334</v>
      </c>
      <c r="F116" s="4">
        <f ca="1">$B116*('Updated Population'!F$114/'Updated Population'!$B$114)*('Total Trip Tables Sup #1'!F171/'Total Trip Tables Sup #1'!$B171)</f>
        <v>0.65534073554265138</v>
      </c>
      <c r="G116" s="4">
        <f ca="1">$B116*('Updated Population'!G$114/'Updated Population'!$B$114)*('Total Trip Tables Sup #1'!G171/'Total Trip Tables Sup #1'!$B171)</f>
        <v>0.63411344364591571</v>
      </c>
      <c r="H116" s="4">
        <f ca="1">$B116*('Updated Population'!H$114/'Updated Population'!$B$114)*('Total Trip Tables Sup #1'!H171/'Total Trip Tables Sup #1'!$B171)</f>
        <v>0.61268073841354243</v>
      </c>
      <c r="I116" s="1">
        <f ca="1">$B116*('Updated Population'!I$114/'Updated Population'!$B$114)*('Total Trip Tables Sup #1'!I171/'Total Trip Tables Sup #1'!$B171)</f>
        <v>0.59692417727229186</v>
      </c>
      <c r="J116" s="1">
        <f ca="1">$B116*('Updated Population'!J$114/'Updated Population'!$B$114)*('Total Trip Tables Sup #1'!J171/'Total Trip Tables Sup #1'!$B171)</f>
        <v>0.57972158752013059</v>
      </c>
      <c r="K116" s="1">
        <f ca="1">$B116*('Updated Population'!K$114/'Updated Population'!$B$114)*('Total Trip Tables Sup #1'!K171/'Total Trip Tables Sup #1'!$B171)</f>
        <v>0.56180479928850846</v>
      </c>
    </row>
    <row r="117" spans="1:11" x14ac:dyDescent="0.2">
      <c r="A117" t="str">
        <f ca="1">OFFSET(West_Coast_Reference,14,2)</f>
        <v>Light Vehicle Driver</v>
      </c>
      <c r="B117" s="4">
        <f ca="1">OFFSET(West_Coast_Reference,14,5)</f>
        <v>21.329902885999999</v>
      </c>
      <c r="C117" s="4">
        <f ca="1">$B117*('Updated Population'!C$114/'Updated Population'!$B$114)*('Total Trip Tables Sup #1'!C172/'Total Trip Tables Sup #1'!$B172)</f>
        <v>21.440349625863444</v>
      </c>
      <c r="D117" s="4">
        <f ca="1">$B117*('Updated Population'!D$114/'Updated Population'!$B$114)*('Total Trip Tables Sup #1'!D172/'Total Trip Tables Sup #1'!$B172)</f>
        <v>21.647518901489054</v>
      </c>
      <c r="E117" s="4">
        <f ca="1">$B117*('Updated Population'!E$114/'Updated Population'!$B$114)*('Total Trip Tables Sup #1'!E172/'Total Trip Tables Sup #1'!$B172)</f>
        <v>21.512874601826702</v>
      </c>
      <c r="F117" s="4">
        <f ca="1">$B117*('Updated Population'!F$114/'Updated Population'!$B$114)*('Total Trip Tables Sup #1'!F172/'Total Trip Tables Sup #1'!$B172)</f>
        <v>21.262683109530897</v>
      </c>
      <c r="G117" s="4">
        <f ca="1">$B117*('Updated Population'!G$114/'Updated Population'!$B$114)*('Total Trip Tables Sup #1'!G172/'Total Trip Tables Sup #1'!$B172)</f>
        <v>20.797070447918522</v>
      </c>
      <c r="H117" s="4">
        <f ca="1">$B117*('Updated Population'!H$114/'Updated Population'!$B$114)*('Total Trip Tables Sup #1'!H172/'Total Trip Tables Sup #1'!$B172)</f>
        <v>20.265822821852414</v>
      </c>
      <c r="I117" s="1">
        <f ca="1">$B117*('Updated Population'!I$114/'Updated Population'!$B$114)*('Total Trip Tables Sup #1'!I172/'Total Trip Tables Sup #1'!$B172)</f>
        <v>19.744638367454346</v>
      </c>
      <c r="J117" s="1">
        <f ca="1">$B117*('Updated Population'!J$114/'Updated Population'!$B$114)*('Total Trip Tables Sup #1'!J172/'Total Trip Tables Sup #1'!$B172)</f>
        <v>19.175623195054715</v>
      </c>
      <c r="K117" s="1">
        <f ca="1">$B117*('Updated Population'!K$114/'Updated Population'!$B$114)*('Total Trip Tables Sup #1'!K172/'Total Trip Tables Sup #1'!$B172)</f>
        <v>18.582984267350049</v>
      </c>
    </row>
    <row r="118" spans="1:11" x14ac:dyDescent="0.2">
      <c r="A118" t="str">
        <f ca="1">OFFSET(West_Coast_Reference,21,2)</f>
        <v>Light Vehicle Passenger</v>
      </c>
      <c r="B118" s="4">
        <f ca="1">OFFSET(West_Coast_Reference,21,5)</f>
        <v>11.090105214999999</v>
      </c>
      <c r="C118" s="4">
        <f ca="1">$B118*('Updated Population'!C$114/'Updated Population'!$B$114)*('Total Trip Tables Sup #1'!C173/'Total Trip Tables Sup #1'!$B173)</f>
        <v>10.601926526763155</v>
      </c>
      <c r="D118" s="4">
        <f ca="1">$B118*('Updated Population'!D$114/'Updated Population'!$B$114)*('Total Trip Tables Sup #1'!D173/'Total Trip Tables Sup #1'!$B173)</f>
        <v>10.384178359472886</v>
      </c>
      <c r="E118" s="4">
        <f ca="1">$B118*('Updated Population'!E$114/'Updated Population'!$B$114)*('Total Trip Tables Sup #1'!E173/'Total Trip Tables Sup #1'!$B173)</f>
        <v>10.109998534840027</v>
      </c>
      <c r="F118" s="4">
        <f ca="1">$B118*('Updated Population'!F$114/'Updated Population'!$B$114)*('Total Trip Tables Sup #1'!F173/'Total Trip Tables Sup #1'!$B173)</f>
        <v>9.8155741164440471</v>
      </c>
      <c r="G118" s="4">
        <f ca="1">$B118*('Updated Population'!G$114/'Updated Population'!$B$114)*('Total Trip Tables Sup #1'!G173/'Total Trip Tables Sup #1'!$B173)</f>
        <v>9.477191732475502</v>
      </c>
      <c r="H118" s="4">
        <f ca="1">$B118*('Updated Population'!H$114/'Updated Population'!$B$114)*('Total Trip Tables Sup #1'!H173/'Total Trip Tables Sup #1'!$B173)</f>
        <v>9.1070598656658568</v>
      </c>
      <c r="I118" s="1">
        <f ca="1">$B118*('Updated Population'!I$114/'Updated Population'!$B$114)*('Total Trip Tables Sup #1'!I173/'Total Trip Tables Sup #1'!$B173)</f>
        <v>8.8728498822380164</v>
      </c>
      <c r="J118" s="1">
        <f ca="1">$B118*('Updated Population'!J$114/'Updated Population'!$B$114)*('Total Trip Tables Sup #1'!J173/'Total Trip Tables Sup #1'!$B173)</f>
        <v>8.6171457203557829</v>
      </c>
      <c r="K118" s="1">
        <f ca="1">$B118*('Updated Population'!K$114/'Updated Population'!$B$114)*('Total Trip Tables Sup #1'!K173/'Total Trip Tables Sup #1'!$B173)</f>
        <v>8.3508255101785451</v>
      </c>
    </row>
    <row r="119" spans="1:11" x14ac:dyDescent="0.2">
      <c r="A119" t="str">
        <f ca="1">OFFSET(West_Coast_Reference,28,2)</f>
        <v>Taxi/Vehicle Share</v>
      </c>
      <c r="B119" s="4">
        <f ca="1">OFFSET(West_Coast_Reference,28,5)</f>
        <v>0.29973375209999997</v>
      </c>
      <c r="C119" s="4">
        <f ca="1">$B119*('Updated Population'!C$114/'Updated Population'!$B$114)*('Total Trip Tables Sup #1'!C174/'Total Trip Tables Sup #1'!$B174)</f>
        <v>0.31534496981636745</v>
      </c>
      <c r="D119" s="4">
        <f ca="1">$B119*('Updated Population'!D$114/'Updated Population'!$B$114)*('Total Trip Tables Sup #1'!D174/'Total Trip Tables Sup #1'!$B174)</f>
        <v>0.33123041629289562</v>
      </c>
      <c r="E119" s="4">
        <f ca="1">$B119*('Updated Population'!E$114/'Updated Population'!$B$114)*('Total Trip Tables Sup #1'!E174/'Total Trip Tables Sup #1'!$B174)</f>
        <v>0.34383673754529509</v>
      </c>
      <c r="F119" s="4">
        <f ca="1">$B119*('Updated Population'!F$114/'Updated Population'!$B$114)*('Total Trip Tables Sup #1'!F174/'Total Trip Tables Sup #1'!$B174)</f>
        <v>0.35195857786612911</v>
      </c>
      <c r="G119" s="4">
        <f ca="1">$B119*('Updated Population'!G$114/'Updated Population'!$B$114)*('Total Trip Tables Sup #1'!G174/'Total Trip Tables Sup #1'!$B174)</f>
        <v>0.35456737926882553</v>
      </c>
      <c r="H119" s="4">
        <f ca="1">$B119*('Updated Population'!H$114/'Updated Population'!$B$114)*('Total Trip Tables Sup #1'!H174/'Total Trip Tables Sup #1'!$B174)</f>
        <v>0.3559321116486186</v>
      </c>
      <c r="I119" s="1">
        <f ca="1">$B119*('Updated Population'!I$114/'Updated Population'!$B$114)*('Total Trip Tables Sup #1'!I174/'Total Trip Tables Sup #1'!$B174)</f>
        <v>0.3467784599541851</v>
      </c>
      <c r="J119" s="1">
        <f ca="1">$B119*('Updated Population'!J$114/'Updated Population'!$B$114)*('Total Trip Tables Sup #1'!J174/'Total Trip Tables Sup #1'!$B174)</f>
        <v>0.33678474918050183</v>
      </c>
      <c r="K119" s="1">
        <f ca="1">$B119*('Updated Population'!K$114/'Updated Population'!$B$114)*('Total Trip Tables Sup #1'!K174/'Total Trip Tables Sup #1'!$B174)</f>
        <v>0.3263761303527658</v>
      </c>
    </row>
    <row r="120" spans="1:11" x14ac:dyDescent="0.2">
      <c r="A120" t="str">
        <f ca="1">OFFSET(West_Coast_Reference,35,2)</f>
        <v>Motorcyclist</v>
      </c>
      <c r="B120" s="4">
        <f ca="1">OFFSET(West_Coast_Reference,35,5)</f>
        <v>6.1723256599999998E-2</v>
      </c>
      <c r="C120" s="4">
        <f ca="1">$B120*('Updated Population'!C$114/'Updated Population'!$B$114)*('Total Trip Tables Sup #1'!C175/'Total Trip Tables Sup #1'!$B175)</f>
        <v>6.0368394186578772E-2</v>
      </c>
      <c r="D120" s="4">
        <f ca="1">$B120*('Updated Population'!D$114/'Updated Population'!$B$114)*('Total Trip Tables Sup #1'!D175/'Total Trip Tables Sup #1'!$B175)</f>
        <v>5.9556860007005982E-2</v>
      </c>
      <c r="E120" s="4">
        <f ca="1">$B120*('Updated Population'!E$114/'Updated Population'!$B$114)*('Total Trip Tables Sup #1'!E175/'Total Trip Tables Sup #1'!$B175)</f>
        <v>5.7938225417799319E-2</v>
      </c>
      <c r="F120" s="4">
        <f ca="1">$B120*('Updated Population'!F$114/'Updated Population'!$B$114)*('Total Trip Tables Sup #1'!F175/'Total Trip Tables Sup #1'!$B175)</f>
        <v>5.6038539855292939E-2</v>
      </c>
      <c r="G120" s="4">
        <f ca="1">$B120*('Updated Population'!G$114/'Updated Population'!$B$114)*('Total Trip Tables Sup #1'!G175/'Total Trip Tables Sup #1'!$B175)</f>
        <v>5.324557425902024E-2</v>
      </c>
      <c r="H120" s="4">
        <f ca="1">$B120*('Updated Population'!H$114/'Updated Population'!$B$114)*('Total Trip Tables Sup #1'!H175/'Total Trip Tables Sup #1'!$B175)</f>
        <v>5.0335185422309803E-2</v>
      </c>
      <c r="I120" s="1">
        <f ca="1">$B120*('Updated Population'!I$114/'Updated Population'!$B$114)*('Total Trip Tables Sup #1'!I175/'Total Trip Tables Sup #1'!$B175)</f>
        <v>4.9040694871298744E-2</v>
      </c>
      <c r="J120" s="1">
        <f ca="1">$B120*('Updated Population'!J$114/'Updated Population'!$B$114)*('Total Trip Tables Sup #1'!J175/'Total Trip Tables Sup #1'!$B175)</f>
        <v>4.7627404897207029E-2</v>
      </c>
      <c r="K120" s="1">
        <f ca="1">$B120*('Updated Population'!K$114/'Updated Population'!$B$114)*('Total Trip Tables Sup #1'!K175/'Total Trip Tables Sup #1'!$B175)</f>
        <v>4.6155439481505918E-2</v>
      </c>
    </row>
    <row r="121" spans="1:11" x14ac:dyDescent="0.2">
      <c r="A121" t="str">
        <f ca="1">OFFSET(Nelson_Reference,42,2)</f>
        <v>Local Train</v>
      </c>
      <c r="B121" s="4">
        <v>0</v>
      </c>
      <c r="C121" s="4">
        <f ca="1">$B121*('Updated Population'!C$114/'Updated Population'!$B$114)*('Total Trip Tables Sup #1'!C176/'Total Trip Tables Sup #1'!$B176)</f>
        <v>0</v>
      </c>
      <c r="D121" s="4">
        <f ca="1">$B121*('Updated Population'!D$114/'Updated Population'!$B$114)*('Total Trip Tables Sup #1'!D176/'Total Trip Tables Sup #1'!$B176)</f>
        <v>0</v>
      </c>
      <c r="E121" s="4">
        <f ca="1">$B121*('Updated Population'!E$114/'Updated Population'!$B$114)*('Total Trip Tables Sup #1'!E176/'Total Trip Tables Sup #1'!$B176)</f>
        <v>0</v>
      </c>
      <c r="F121" s="4">
        <f ca="1">$B121*('Updated Population'!F$114/'Updated Population'!$B$114)*('Total Trip Tables Sup #1'!F176/'Total Trip Tables Sup #1'!$B176)</f>
        <v>0</v>
      </c>
      <c r="G121" s="4">
        <f ca="1">$B121*('Updated Population'!G$114/'Updated Population'!$B$114)*('Total Trip Tables Sup #1'!G176/'Total Trip Tables Sup #1'!$B176)</f>
        <v>0</v>
      </c>
      <c r="H121" s="4">
        <f ca="1">$B121*('Updated Population'!H$114/'Updated Population'!$B$114)*('Total Trip Tables Sup #1'!H176/'Total Trip Tables Sup #1'!$B176)</f>
        <v>0</v>
      </c>
      <c r="I121" s="1">
        <f ca="1">$B121*('Updated Population'!I$114/'Updated Population'!$B$114)*('Total Trip Tables Sup #1'!I176/'Total Trip Tables Sup #1'!$B176)</f>
        <v>0</v>
      </c>
      <c r="J121" s="1">
        <f ca="1">$B121*('Updated Population'!J$114/'Updated Population'!$B$114)*('Total Trip Tables Sup #1'!J176/'Total Trip Tables Sup #1'!$B176)</f>
        <v>0</v>
      </c>
      <c r="K121" s="1">
        <f ca="1">$B121*('Updated Population'!K$114/'Updated Population'!$B$114)*('Total Trip Tables Sup #1'!K176/'Total Trip Tables Sup #1'!$B176)</f>
        <v>0</v>
      </c>
    </row>
    <row r="122" spans="1:11" x14ac:dyDescent="0.2">
      <c r="A122" t="str">
        <f ca="1">OFFSET(West_Coast_Reference,42,2)</f>
        <v>Local Bus</v>
      </c>
      <c r="B122" s="4">
        <f ca="1">OFFSET(West_Coast_Reference,42,5)</f>
        <v>0.50805546800000001</v>
      </c>
      <c r="C122" s="4">
        <f ca="1">$B122*('Updated Population'!C$114/'Updated Population'!$B$114)*('Total Trip Tables Sup #1'!C177/'Total Trip Tables Sup #1'!$B177)</f>
        <v>0.46510391974076115</v>
      </c>
      <c r="D122" s="4">
        <f ca="1">$B122*('Updated Population'!D$114/'Updated Population'!$B$114)*('Total Trip Tables Sup #1'!D177/'Total Trip Tables Sup #1'!$B177)</f>
        <v>0.44192042129045667</v>
      </c>
      <c r="E122" s="4">
        <f ca="1">$B122*('Updated Population'!E$114/'Updated Population'!$B$114)*('Total Trip Tables Sup #1'!E177/'Total Trip Tables Sup #1'!$B177)</f>
        <v>0.4244308268764353</v>
      </c>
      <c r="F122" s="4">
        <f ca="1">$B122*('Updated Population'!F$114/'Updated Population'!$B$114)*('Total Trip Tables Sup #1'!F177/'Total Trip Tables Sup #1'!$B177)</f>
        <v>0.40328390429493416</v>
      </c>
      <c r="G122" s="4">
        <f ca="1">$B122*('Updated Population'!G$114/'Updated Population'!$B$114)*('Total Trip Tables Sup #1'!G177/'Total Trip Tables Sup #1'!$B177)</f>
        <v>0.38562554302139579</v>
      </c>
      <c r="H122" s="4">
        <f ca="1">$B122*('Updated Population'!H$114/'Updated Population'!$B$114)*('Total Trip Tables Sup #1'!H177/'Total Trip Tables Sup #1'!$B177)</f>
        <v>0.36708740037669524</v>
      </c>
      <c r="I122" s="1">
        <f ca="1">$B122*('Updated Population'!I$114/'Updated Population'!$B$114)*('Total Trip Tables Sup #1'!I177/'Total Trip Tables Sup #1'!$B177)</f>
        <v>0.35764686355943681</v>
      </c>
      <c r="J122" s="1">
        <f ca="1">$B122*('Updated Population'!J$114/'Updated Population'!$B$114)*('Total Trip Tables Sup #1'!J177/'Total Trip Tables Sup #1'!$B177)</f>
        <v>0.3473399393231385</v>
      </c>
      <c r="K122" s="1">
        <f ca="1">$B122*('Updated Population'!K$114/'Updated Population'!$B$114)*('Total Trip Tables Sup #1'!K177/'Total Trip Tables Sup #1'!$B177)</f>
        <v>0.33660510337566563</v>
      </c>
    </row>
    <row r="123" spans="1:11" x14ac:dyDescent="0.2">
      <c r="A123" t="str">
        <f ca="1">OFFSET(Wellington_Reference,56,2)</f>
        <v>Local Ferry</v>
      </c>
      <c r="B123" s="4">
        <v>0</v>
      </c>
      <c r="C123" s="4">
        <f ca="1">$B123*('Updated Population'!C$114/'Updated Population'!$B$114)*('Total Trip Tables Sup #1'!C178/'Total Trip Tables Sup #1'!$B178)</f>
        <v>0</v>
      </c>
      <c r="D123" s="4">
        <f ca="1">$B123*('Updated Population'!D$114/'Updated Population'!$B$114)*('Total Trip Tables Sup #1'!D178/'Total Trip Tables Sup #1'!$B178)</f>
        <v>0</v>
      </c>
      <c r="E123" s="4">
        <f ca="1">$B123*('Updated Population'!E$114/'Updated Population'!$B$114)*('Total Trip Tables Sup #1'!E178/'Total Trip Tables Sup #1'!$B178)</f>
        <v>0</v>
      </c>
      <c r="F123" s="4">
        <f ca="1">$B123*('Updated Population'!F$114/'Updated Population'!$B$114)*('Total Trip Tables Sup #1'!F178/'Total Trip Tables Sup #1'!$B178)</f>
        <v>0</v>
      </c>
      <c r="G123" s="4">
        <f ca="1">$B123*('Updated Population'!G$114/'Updated Population'!$B$114)*('Total Trip Tables Sup #1'!G178/'Total Trip Tables Sup #1'!$B178)</f>
        <v>0</v>
      </c>
      <c r="H123" s="4">
        <f ca="1">$B123*('Updated Population'!H$114/'Updated Population'!$B$114)*('Total Trip Tables Sup #1'!H178/'Total Trip Tables Sup #1'!$B178)</f>
        <v>0</v>
      </c>
      <c r="I123" s="1">
        <f ca="1">$B123*('Updated Population'!I$114/'Updated Population'!$B$114)*('Total Trip Tables Sup #1'!I178/'Total Trip Tables Sup #1'!$B178)</f>
        <v>0</v>
      </c>
      <c r="J123" s="1">
        <f ca="1">$B123*('Updated Population'!J$114/'Updated Population'!$B$114)*('Total Trip Tables Sup #1'!J178/'Total Trip Tables Sup #1'!$B178)</f>
        <v>0</v>
      </c>
      <c r="K123" s="1">
        <f ca="1">$B123*('Updated Population'!K$114/'Updated Population'!$B$114)*('Total Trip Tables Sup #1'!K178/'Total Trip Tables Sup #1'!$B178)</f>
        <v>0</v>
      </c>
    </row>
    <row r="124" spans="1:11" x14ac:dyDescent="0.2">
      <c r="A124" t="str">
        <f ca="1">OFFSET(West_Coast_Reference,49,2)</f>
        <v>Other Household Travel</v>
      </c>
      <c r="B124" s="4">
        <f ca="1">OFFSET(West_Coast_Reference,49,5)</f>
        <v>2.77012627E-2</v>
      </c>
      <c r="C124" s="4">
        <f ca="1">$B124*('Updated Population'!C$114/'Updated Population'!$B$114)*('Total Trip Tables Sup #1'!C179/'Total Trip Tables Sup #1'!$B179)</f>
        <v>2.7355860788371711E-2</v>
      </c>
      <c r="D124" s="4">
        <f ca="1">$B124*('Updated Population'!D$114/'Updated Population'!$B$114)*('Total Trip Tables Sup #1'!D179/'Total Trip Tables Sup #1'!$B179)</f>
        <v>2.7782347733755184E-2</v>
      </c>
      <c r="E124" s="4">
        <f ca="1">$B124*('Updated Population'!E$114/'Updated Population'!$B$114)*('Total Trip Tables Sup #1'!E179/'Total Trip Tables Sup #1'!$B179)</f>
        <v>2.8261325600551092E-2</v>
      </c>
      <c r="F124" s="4">
        <f ca="1">$B124*('Updated Population'!F$114/'Updated Population'!$B$114)*('Total Trip Tables Sup #1'!F179/'Total Trip Tables Sup #1'!$B179)</f>
        <v>2.8704135507307348E-2</v>
      </c>
      <c r="G124" s="4">
        <f ca="1">$B124*('Updated Population'!G$114/'Updated Population'!$B$114)*('Total Trip Tables Sup #1'!G179/'Total Trip Tables Sup #1'!$B179)</f>
        <v>2.909100361704603E-2</v>
      </c>
      <c r="H124" s="4">
        <f ca="1">$B124*('Updated Population'!H$114/'Updated Population'!$B$114)*('Total Trip Tables Sup #1'!H179/'Total Trip Tables Sup #1'!$B179)</f>
        <v>2.9227801889266127E-2</v>
      </c>
      <c r="I124" s="1">
        <f ca="1">$B124*('Updated Population'!I$114/'Updated Population'!$B$114)*('Total Trip Tables Sup #1'!I179/'Total Trip Tables Sup #1'!$B179)</f>
        <v>2.8476138553668113E-2</v>
      </c>
      <c r="J124" s="1">
        <f ca="1">$B124*('Updated Population'!J$114/'Updated Population'!$B$114)*('Total Trip Tables Sup #1'!J179/'Total Trip Tables Sup #1'!$B179)</f>
        <v>2.7655492736467443E-2</v>
      </c>
      <c r="K124" s="1">
        <f ca="1">$B124*('Updated Population'!K$114/'Updated Population'!$B$114)*('Total Trip Tables Sup #1'!K179/'Total Trip Tables Sup #1'!$B179)</f>
        <v>2.680077623553458E-2</v>
      </c>
    </row>
    <row r="125" spans="1:11" x14ac:dyDescent="0.2">
      <c r="A125" t="str">
        <f ca="1">OFFSET(Canterbury_Reference,0,0)</f>
        <v>13 CANTERBURY</v>
      </c>
      <c r="B125" s="4"/>
      <c r="I125" s="1"/>
      <c r="J125" s="1"/>
      <c r="K125" s="1"/>
    </row>
    <row r="126" spans="1:11" x14ac:dyDescent="0.2">
      <c r="A126" t="str">
        <f ca="1">OFFSET(Canterbury_Reference,0,2)</f>
        <v>Pedestrian</v>
      </c>
      <c r="B126" s="4">
        <f ca="1">OFFSET(Canterbury_Reference,0,5)</f>
        <v>131.04676542000001</v>
      </c>
      <c r="C126" s="4">
        <f ca="1">$B126*('Updated Population'!C$125/'Updated Population'!$B$125)*('Total Trip Tables Sup #1'!C170/'Total Trip Tables Sup #1'!$B170)</f>
        <v>144.22058410442588</v>
      </c>
      <c r="D126" s="4">
        <f ca="1">$B126*('Updated Population'!D$125/'Updated Population'!$B$125)*('Total Trip Tables Sup #1'!D170/'Total Trip Tables Sup #1'!$B170)</f>
        <v>152.72516600450689</v>
      </c>
      <c r="E126" s="4">
        <f ca="1">$B126*('Updated Population'!E$125/'Updated Population'!$B$125)*('Total Trip Tables Sup #1'!E170/'Total Trip Tables Sup #1'!$B170)</f>
        <v>158.5221115407798</v>
      </c>
      <c r="F126" s="4">
        <f ca="1">$B126*('Updated Population'!F$125/'Updated Population'!$B$125)*('Total Trip Tables Sup #1'!F170/'Total Trip Tables Sup #1'!$B170)</f>
        <v>163.04958173845006</v>
      </c>
      <c r="G126" s="4">
        <f ca="1">$B126*('Updated Population'!G$125/'Updated Population'!$B$125)*('Total Trip Tables Sup #1'!G170/'Total Trip Tables Sup #1'!$B170)</f>
        <v>166.93787493656615</v>
      </c>
      <c r="H126" s="4">
        <f ca="1">$B126*('Updated Population'!H$125/'Updated Population'!$B$125)*('Total Trip Tables Sup #1'!H170/'Total Trip Tables Sup #1'!$B170)</f>
        <v>170.11813727498767</v>
      </c>
      <c r="I126" s="1">
        <f ca="1">$B126*('Updated Population'!I$125/'Updated Population'!$B$125)*('Total Trip Tables Sup #1'!I170/'Total Trip Tables Sup #1'!$B170)</f>
        <v>174.42201179706748</v>
      </c>
      <c r="J126" s="1">
        <f ca="1">$B126*('Updated Population'!J$125/'Updated Population'!$B$125)*('Total Trip Tables Sup #1'!J170/'Total Trip Tables Sup #1'!$B170)</f>
        <v>178.26550956001174</v>
      </c>
      <c r="K126" s="1">
        <f ca="1">$B126*('Updated Population'!K$125/'Updated Population'!$B$125)*('Total Trip Tables Sup #1'!K170/'Total Trip Tables Sup #1'!$B170)</f>
        <v>181.80215516154115</v>
      </c>
    </row>
    <row r="127" spans="1:11" x14ac:dyDescent="0.2">
      <c r="A127" t="str">
        <f ca="1">OFFSET(Canterbury_Reference,7,2)</f>
        <v>Cyclist</v>
      </c>
      <c r="B127" s="4">
        <f ca="1">OFFSET(Canterbury_Reference,7,5)</f>
        <v>23.740018446000001</v>
      </c>
      <c r="C127" s="4">
        <f ca="1">$B127*('Updated Population'!C$125/'Updated Population'!$B$125)*('Total Trip Tables Sup #1'!C171/'Total Trip Tables Sup #1'!$B171)</f>
        <v>25.867958959054516</v>
      </c>
      <c r="D127" s="4">
        <f ca="1">$B127*('Updated Population'!D$125/'Updated Population'!$B$125)*('Total Trip Tables Sup #1'!D171/'Total Trip Tables Sup #1'!$B171)</f>
        <v>26.966509842228337</v>
      </c>
      <c r="E127" s="4">
        <f ca="1">$B127*('Updated Population'!E$125/'Updated Population'!$B$125)*('Total Trip Tables Sup #1'!E171/'Total Trip Tables Sup #1'!$B171)</f>
        <v>27.55748388872648</v>
      </c>
      <c r="F127" s="4">
        <f ca="1">$B127*('Updated Population'!F$125/'Updated Population'!$B$125)*('Total Trip Tables Sup #1'!F171/'Total Trip Tables Sup #1'!$B171)</f>
        <v>28.119757710209271</v>
      </c>
      <c r="G127" s="4">
        <f ca="1">$B127*('Updated Population'!G$125/'Updated Population'!$B$125)*('Total Trip Tables Sup #1'!G171/'Total Trip Tables Sup #1'!$B171)</f>
        <v>28.656516085866102</v>
      </c>
      <c r="H127" s="4">
        <f ca="1">$B127*('Updated Population'!H$125/'Updated Population'!$B$125)*('Total Trip Tables Sup #1'!H171/'Total Trip Tables Sup #1'!$B171)</f>
        <v>29.137775085700596</v>
      </c>
      <c r="I127" s="1">
        <f ca="1">$B127*('Updated Population'!I$125/'Updated Population'!$B$125)*('Total Trip Tables Sup #1'!I171/'Total Trip Tables Sup #1'!$B171)</f>
        <v>29.874941209373393</v>
      </c>
      <c r="J127" s="1">
        <f ca="1">$B127*('Updated Population'!J$125/'Updated Population'!$B$125)*('Total Trip Tables Sup #1'!J171/'Total Trip Tables Sup #1'!$B171)</f>
        <v>30.533254162671462</v>
      </c>
      <c r="K127" s="1">
        <f ca="1">$B127*('Updated Population'!K$125/'Updated Population'!$B$125)*('Total Trip Tables Sup #1'!K171/'Total Trip Tables Sup #1'!$B171)</f>
        <v>31.139009585026109</v>
      </c>
    </row>
    <row r="128" spans="1:11" x14ac:dyDescent="0.2">
      <c r="A128" t="str">
        <f ca="1">OFFSET(Canterbury_Reference,14,2)</f>
        <v>Light Vehicle Driver</v>
      </c>
      <c r="B128" s="4">
        <f ca="1">OFFSET(Canterbury_Reference,14,5)</f>
        <v>417.41567177000002</v>
      </c>
      <c r="C128" s="4">
        <f ca="1">$B128*('Updated Population'!C$125/'Updated Population'!$B$125)*('Total Trip Tables Sup #1'!C172/'Total Trip Tables Sup #1'!$B172)</f>
        <v>471.67027805126668</v>
      </c>
      <c r="D128" s="4">
        <f ca="1">$B128*('Updated Population'!D$125/'Updated Population'!$B$125)*('Total Trip Tables Sup #1'!D172/'Total Trip Tables Sup #1'!$B172)</f>
        <v>507.55861239643099</v>
      </c>
      <c r="E128" s="4">
        <f ca="1">$B128*('Updated Population'!E$125/'Updated Population'!$B$125)*('Total Trip Tables Sup #1'!E172/'Total Trip Tables Sup #1'!$B172)</f>
        <v>530.5247535155554</v>
      </c>
      <c r="F128" s="4">
        <f ca="1">$B128*('Updated Population'!F$125/'Updated Population'!$B$125)*('Total Trip Tables Sup #1'!F172/'Total Trip Tables Sup #1'!$B172)</f>
        <v>551.88253757466396</v>
      </c>
      <c r="G128" s="4">
        <f ca="1">$B128*('Updated Population'!G$125/'Updated Population'!$B$125)*('Total Trip Tables Sup #1'!G172/'Total Trip Tables Sup #1'!$B172)</f>
        <v>568.51609986630808</v>
      </c>
      <c r="H128" s="4">
        <f ca="1">$B128*('Updated Population'!H$125/'Updated Population'!$B$125)*('Total Trip Tables Sup #1'!H172/'Total Trip Tables Sup #1'!$B172)</f>
        <v>583.0027143325085</v>
      </c>
      <c r="I128" s="1">
        <f ca="1">$B128*('Updated Population'!I$125/'Updated Population'!$B$125)*('Total Trip Tables Sup #1'!I172/'Total Trip Tables Sup #1'!$B172)</f>
        <v>597.75229111903957</v>
      </c>
      <c r="J128" s="1">
        <f ca="1">$B128*('Updated Population'!J$125/'Updated Population'!$B$125)*('Total Trip Tables Sup #1'!J172/'Total Trip Tables Sup #1'!$B172)</f>
        <v>610.92413548684704</v>
      </c>
      <c r="K128" s="1">
        <f ca="1">$B128*('Updated Population'!K$125/'Updated Population'!$B$125)*('Total Trip Tables Sup #1'!K172/'Total Trip Tables Sup #1'!$B172)</f>
        <v>623.04438332374184</v>
      </c>
    </row>
    <row r="129" spans="1:11" x14ac:dyDescent="0.2">
      <c r="A129" t="str">
        <f ca="1">OFFSET(Canterbury_Reference,21,2)</f>
        <v>Light Vehicle Passenger</v>
      </c>
      <c r="B129" s="4">
        <f ca="1">OFFSET(Canterbury_Reference,21,5)</f>
        <v>189.77500577999999</v>
      </c>
      <c r="C129" s="4">
        <f ca="1">$B129*('Updated Population'!C$125/'Updated Population'!$B$125)*('Total Trip Tables Sup #1'!C173/'Total Trip Tables Sup #1'!$B173)</f>
        <v>203.9458685312847</v>
      </c>
      <c r="D129" s="4">
        <f ca="1">$B129*('Updated Population'!D$125/'Updated Population'!$B$125)*('Total Trip Tables Sup #1'!D173/'Total Trip Tables Sup #1'!$B173)</f>
        <v>212.89903227789898</v>
      </c>
      <c r="E129" s="4">
        <f ca="1">$B129*('Updated Population'!E$125/'Updated Population'!$B$125)*('Total Trip Tables Sup #1'!E173/'Total Trip Tables Sup #1'!$B173)</f>
        <v>218.01269004365204</v>
      </c>
      <c r="F129" s="4">
        <f ca="1">$B129*('Updated Population'!F$125/'Updated Population'!$B$125)*('Total Trip Tables Sup #1'!F173/'Total Trip Tables Sup #1'!$B173)</f>
        <v>222.77567439638628</v>
      </c>
      <c r="G129" s="4">
        <f ca="1">$B129*('Updated Population'!G$125/'Updated Population'!$B$125)*('Total Trip Tables Sup #1'!G173/'Total Trip Tables Sup #1'!$B173)</f>
        <v>226.53940028589565</v>
      </c>
      <c r="H129" s="4">
        <f ca="1">$B129*('Updated Population'!H$125/'Updated Population'!$B$125)*('Total Trip Tables Sup #1'!H173/'Total Trip Tables Sup #1'!$B173)</f>
        <v>229.09098591276017</v>
      </c>
      <c r="I129" s="1">
        <f ca="1">$B129*('Updated Population'!I$125/'Updated Population'!$B$125)*('Total Trip Tables Sup #1'!I173/'Total Trip Tables Sup #1'!$B173)</f>
        <v>234.88683386467079</v>
      </c>
      <c r="J129" s="1">
        <f ca="1">$B129*('Updated Population'!J$125/'Updated Population'!$B$125)*('Total Trip Tables Sup #1'!J173/'Total Trip Tables Sup #1'!$B173)</f>
        <v>240.06271167506014</v>
      </c>
      <c r="K129" s="1">
        <f ca="1">$B129*('Updated Population'!K$125/'Updated Population'!$B$125)*('Total Trip Tables Sup #1'!K173/'Total Trip Tables Sup #1'!$B173)</f>
        <v>244.82536450359854</v>
      </c>
    </row>
    <row r="130" spans="1:11" x14ac:dyDescent="0.2">
      <c r="A130" t="str">
        <f ca="1">OFFSET(Canterbury_Reference,28,2)</f>
        <v>Taxi/Vehicle Share</v>
      </c>
      <c r="B130" s="4">
        <f ca="1">OFFSET(Canterbury_Reference,28,5)</f>
        <v>2.2446435044999999</v>
      </c>
      <c r="C130" s="4">
        <f ca="1">$B130*('Updated Population'!C$125/'Updated Population'!$B$125)*('Total Trip Tables Sup #1'!C174/'Total Trip Tables Sup #1'!$B174)</f>
        <v>2.6547547611532871</v>
      </c>
      <c r="D130" s="4">
        <f ca="1">$B130*('Updated Population'!D$125/'Updated Population'!$B$125)*('Total Trip Tables Sup #1'!D174/'Total Trip Tables Sup #1'!$B174)</f>
        <v>2.9719406864153681</v>
      </c>
      <c r="E130" s="4">
        <f ca="1">$B130*('Updated Population'!E$125/'Updated Population'!$B$125)*('Total Trip Tables Sup #1'!E174/'Total Trip Tables Sup #1'!$B174)</f>
        <v>3.244825432093672</v>
      </c>
      <c r="F130" s="4">
        <f ca="1">$B130*('Updated Population'!F$125/'Updated Population'!$B$125)*('Total Trip Tables Sup #1'!F174/'Total Trip Tables Sup #1'!$B174)</f>
        <v>3.4958435900413982</v>
      </c>
      <c r="G130" s="4">
        <f ca="1">$B130*('Updated Population'!G$125/'Updated Population'!$B$125)*('Total Trip Tables Sup #1'!G174/'Total Trip Tables Sup #1'!$B174)</f>
        <v>3.7091230025653172</v>
      </c>
      <c r="H130" s="4">
        <f ca="1">$B130*('Updated Population'!H$125/'Updated Population'!$B$125)*('Total Trip Tables Sup #1'!H174/'Total Trip Tables Sup #1'!$B174)</f>
        <v>3.9183692513290844</v>
      </c>
      <c r="I130" s="1">
        <f ca="1">$B130*('Updated Population'!I$125/'Updated Population'!$B$125)*('Total Trip Tables Sup #1'!I174/'Total Trip Tables Sup #1'!$B174)</f>
        <v>4.0175013595159745</v>
      </c>
      <c r="J130" s="1">
        <f ca="1">$B130*('Updated Population'!J$125/'Updated Population'!$B$125)*('Total Trip Tables Sup #1'!J174/'Total Trip Tables Sup #1'!$B174)</f>
        <v>4.1060295064444157</v>
      </c>
      <c r="K130" s="1">
        <f ca="1">$B130*('Updated Population'!K$125/'Updated Population'!$B$125)*('Total Trip Tables Sup #1'!K174/'Total Trip Tables Sup #1'!$B174)</f>
        <v>4.1874898586435494</v>
      </c>
    </row>
    <row r="131" spans="1:11" x14ac:dyDescent="0.2">
      <c r="A131" t="str">
        <f ca="1">OFFSET(Canterbury_Reference,35,2)</f>
        <v>Motorcyclist</v>
      </c>
      <c r="B131" s="4">
        <f ca="1">OFFSET(Canterbury_Reference,35,5)</f>
        <v>1.4451657518000001</v>
      </c>
      <c r="C131" s="4">
        <f ca="1">$B131*('Updated Population'!C$125/'Updated Population'!$B$125)*('Total Trip Tables Sup #1'!C175/'Total Trip Tables Sup #1'!$B175)</f>
        <v>1.5889316927510737</v>
      </c>
      <c r="D131" s="4">
        <f ca="1">$B131*('Updated Population'!D$125/'Updated Population'!$B$125)*('Total Trip Tables Sup #1'!D175/'Total Trip Tables Sup #1'!$B175)</f>
        <v>1.6707013479788528</v>
      </c>
      <c r="E131" s="4">
        <f ca="1">$B131*('Updated Population'!E$125/'Updated Population'!$B$125)*('Total Trip Tables Sup #1'!E175/'Total Trip Tables Sup #1'!$B175)</f>
        <v>1.7094694827712691</v>
      </c>
      <c r="F131" s="4">
        <f ca="1">$B131*('Updated Population'!F$125/'Updated Population'!$B$125)*('Total Trip Tables Sup #1'!F175/'Total Trip Tables Sup #1'!$B175)</f>
        <v>1.7402207916458063</v>
      </c>
      <c r="G131" s="4">
        <f ca="1">$B131*('Updated Population'!G$125/'Updated Population'!$B$125)*('Total Trip Tables Sup #1'!G175/'Total Trip Tables Sup #1'!$B175)</f>
        <v>1.7414582896853132</v>
      </c>
      <c r="H131" s="4">
        <f ca="1">$B131*('Updated Population'!H$125/'Updated Population'!$B$125)*('Total Trip Tables Sup #1'!H175/'Total Trip Tables Sup #1'!$B175)</f>
        <v>1.7324749534191897</v>
      </c>
      <c r="I131" s="1">
        <f ca="1">$B131*('Updated Population'!I$125/'Updated Population'!$B$125)*('Total Trip Tables Sup #1'!I175/'Total Trip Tables Sup #1'!$B175)</f>
        <v>1.7763054051958242</v>
      </c>
      <c r="J131" s="1">
        <f ca="1">$B131*('Updated Population'!J$125/'Updated Population'!$B$125)*('Total Trip Tables Sup #1'!J175/'Total Trip Tables Sup #1'!$B175)</f>
        <v>1.8154474021309308</v>
      </c>
      <c r="K131" s="1">
        <f ca="1">$B131*('Updated Population'!K$125/'Updated Population'!$B$125)*('Total Trip Tables Sup #1'!K175/'Total Trip Tables Sup #1'!$B175)</f>
        <v>1.8514644313667119</v>
      </c>
    </row>
    <row r="132" spans="1:11" x14ac:dyDescent="0.2">
      <c r="A132" t="str">
        <f ca="1">OFFSET(Canterbury_Reference,42,2)</f>
        <v>Local Train</v>
      </c>
      <c r="B132" s="4">
        <f ca="1">OFFSET(Canterbury_Reference,42,5)</f>
        <v>2.1901243099999999E-2</v>
      </c>
      <c r="C132" s="4">
        <f ca="1">OFFSET(Canterbury_Reference,43,5)</f>
        <v>2.2058192899999999E-2</v>
      </c>
      <c r="D132" s="4">
        <f ca="1">OFFSET(Canterbury_Reference,44,5)</f>
        <v>1.8725575000000001E-2</v>
      </c>
      <c r="E132" s="4">
        <f ca="1">OFFSET(Canterbury_Reference,45,5)</f>
        <v>1.7423979199999998E-2</v>
      </c>
      <c r="F132" s="4">
        <f ca="1">OFFSET(Canterbury_Reference,46,5)</f>
        <v>1.6539134600000002E-2</v>
      </c>
      <c r="G132" s="4">
        <f ca="1">OFFSET(Canterbury_Reference,47,5)</f>
        <v>1.3973374199999999E-2</v>
      </c>
      <c r="H132" s="4">
        <f ca="1">OFFSET(Canterbury_Reference,48,5)</f>
        <v>1.1562156699999999E-2</v>
      </c>
      <c r="I132" s="1">
        <f ca="1">OFFSET(Canterbury_Reference,48,5)</f>
        <v>1.1562156699999999E-2</v>
      </c>
      <c r="J132" s="1">
        <f ca="1">OFFSET(Canterbury_Reference,48,5)</f>
        <v>1.1562156699999999E-2</v>
      </c>
      <c r="K132" s="1">
        <f ca="1">OFFSET(Canterbury_Reference,48,5)</f>
        <v>1.1562156699999999E-2</v>
      </c>
    </row>
    <row r="133" spans="1:11" x14ac:dyDescent="0.2">
      <c r="A133" t="str">
        <f ca="1">OFFSET(Canterbury_Reference,49,2)</f>
        <v>Local Bus</v>
      </c>
      <c r="B133" s="4">
        <f ca="1">OFFSET(Canterbury_Reference,49,5)</f>
        <v>20.502079716000001</v>
      </c>
      <c r="C133" s="4">
        <f ca="1">OFFSET(Canterbury_Reference,50,5)</f>
        <v>20.810860451</v>
      </c>
      <c r="D133" s="4">
        <f ca="1">OFFSET(Canterbury_Reference,51,5)</f>
        <v>20.596568740999999</v>
      </c>
      <c r="E133" s="4">
        <f ca="1">OFFSET(Canterbury_Reference,52,5)</f>
        <v>20.902055278999999</v>
      </c>
      <c r="F133" s="4">
        <f ca="1">OFFSET(Canterbury_Reference,53,5)</f>
        <v>20.727711654</v>
      </c>
      <c r="G133" s="4">
        <f ca="1">OFFSET(Canterbury_Reference,54,5)</f>
        <v>20.543844931999999</v>
      </c>
      <c r="H133" s="4">
        <f ca="1">OFFSET(Canterbury_Reference,55,5)</f>
        <v>20.244408851999999</v>
      </c>
      <c r="I133" s="1">
        <f ca="1">OFFSET(Canterbury_Reference,55,5)</f>
        <v>20.244408851999999</v>
      </c>
      <c r="J133" s="1">
        <f ca="1">OFFSET(Canterbury_Reference,55,5)</f>
        <v>20.244408851999999</v>
      </c>
      <c r="K133" s="1">
        <f ca="1">OFFSET(Canterbury_Reference,55,5)</f>
        <v>20.244408851999999</v>
      </c>
    </row>
    <row r="134" spans="1:11" x14ac:dyDescent="0.2">
      <c r="A134" t="str">
        <f ca="1">OFFSET(Wellington_Reference,56,2)</f>
        <v>Local Ferry</v>
      </c>
      <c r="B134" s="4">
        <v>0</v>
      </c>
      <c r="C134" s="4">
        <f ca="1">$B134*('Updated Population'!C$125/'Updated Population'!$B$125)*('Total Trip Tables Sup #1'!C178/'Total Trip Tables Sup #1'!$B178)</f>
        <v>0</v>
      </c>
      <c r="D134" s="4">
        <f ca="1">$B134*('Updated Population'!D$125/'Updated Population'!$B$125)*('Total Trip Tables Sup #1'!D178/'Total Trip Tables Sup #1'!$B178)</f>
        <v>0</v>
      </c>
      <c r="E134" s="4">
        <f ca="1">$B134*('Updated Population'!E$125/'Updated Population'!$B$125)*('Total Trip Tables Sup #1'!E178/'Total Trip Tables Sup #1'!$B178)</f>
        <v>0</v>
      </c>
      <c r="F134" s="4">
        <f ca="1">$B134*('Updated Population'!F$125/'Updated Population'!$B$125)*('Total Trip Tables Sup #1'!F178/'Total Trip Tables Sup #1'!$B178)</f>
        <v>0</v>
      </c>
      <c r="G134" s="4">
        <f ca="1">$B134*('Updated Population'!G$125/'Updated Population'!$B$125)*('Total Trip Tables Sup #1'!G178/'Total Trip Tables Sup #1'!$B178)</f>
        <v>0</v>
      </c>
      <c r="H134" s="4">
        <f ca="1">$B134*('Updated Population'!H$125/'Updated Population'!$B$125)*('Total Trip Tables Sup #1'!H178/'Total Trip Tables Sup #1'!$B178)</f>
        <v>0</v>
      </c>
      <c r="I134" s="1">
        <f ca="1">$B134*('Updated Population'!I$125/'Updated Population'!$B$125)*('Total Trip Tables Sup #1'!I178/'Total Trip Tables Sup #1'!$B178)</f>
        <v>0</v>
      </c>
      <c r="J134" s="1">
        <f ca="1">$B134*('Updated Population'!J$125/'Updated Population'!$B$125)*('Total Trip Tables Sup #1'!J178/'Total Trip Tables Sup #1'!$B178)</f>
        <v>0</v>
      </c>
      <c r="K134" s="1">
        <f ca="1">$B134*('Updated Population'!K$125/'Updated Population'!$B$125)*('Total Trip Tables Sup #1'!K178/'Total Trip Tables Sup #1'!$B178)</f>
        <v>0</v>
      </c>
    </row>
    <row r="135" spans="1:11" x14ac:dyDescent="0.2">
      <c r="A135" t="str">
        <f ca="1">OFFSET(Canterbury_Reference,56,2)</f>
        <v>Other Household Travel</v>
      </c>
      <c r="B135" s="4">
        <f ca="1">OFFSET(Canterbury_Reference,56,5)</f>
        <v>1.5386198845000001</v>
      </c>
      <c r="C135" s="4">
        <f ca="1">$B135*('Updated Population'!C$125/'Updated Population'!$B$125)*('Total Trip Tables Sup #1'!C179/'Total Trip Tables Sup #1'!$B179)</f>
        <v>1.7080828603602132</v>
      </c>
      <c r="D135" s="4">
        <f ca="1">$B135*('Updated Population'!D$125/'Updated Population'!$B$125)*('Total Trip Tables Sup #1'!D179/'Total Trip Tables Sup #1'!$B179)</f>
        <v>1.8488382571781454</v>
      </c>
      <c r="E135" s="4">
        <f ca="1">$B135*('Updated Population'!E$125/'Updated Population'!$B$125)*('Total Trip Tables Sup #1'!E179/'Total Trip Tables Sup #1'!$B179)</f>
        <v>1.9781154622383317</v>
      </c>
      <c r="F135" s="4">
        <f ca="1">$B135*('Updated Population'!F$125/'Updated Population'!$B$125)*('Total Trip Tables Sup #1'!F179/'Total Trip Tables Sup #1'!$B179)</f>
        <v>2.1145840885683134</v>
      </c>
      <c r="G135" s="4">
        <f ca="1">$B135*('Updated Population'!G$125/'Updated Population'!$B$125)*('Total Trip Tables Sup #1'!G179/'Total Trip Tables Sup #1'!$B179)</f>
        <v>2.257102137011521</v>
      </c>
      <c r="H135" s="4">
        <f ca="1">$B135*('Updated Population'!H$125/'Updated Population'!$B$125)*('Total Trip Tables Sup #1'!H179/'Total Trip Tables Sup #1'!$B179)</f>
        <v>2.3864612824027716</v>
      </c>
      <c r="I135" s="1">
        <f ca="1">$B135*('Updated Population'!I$125/'Updated Population'!$B$125)*('Total Trip Tables Sup #1'!I179/'Total Trip Tables Sup #1'!$B179)</f>
        <v>2.4468371487024392</v>
      </c>
      <c r="J135" s="1">
        <f ca="1">$B135*('Updated Population'!J$125/'Updated Population'!$B$125)*('Total Trip Tables Sup #1'!J179/'Total Trip Tables Sup #1'!$B179)</f>
        <v>2.5007547306087208</v>
      </c>
      <c r="K135" s="1">
        <f ca="1">$B135*('Updated Population'!K$125/'Updated Population'!$B$125)*('Total Trip Tables Sup #1'!K179/'Total Trip Tables Sup #1'!$B179)</f>
        <v>2.5503677109341929</v>
      </c>
    </row>
    <row r="136" spans="1:11" x14ac:dyDescent="0.2">
      <c r="A136" t="str">
        <f ca="1">OFFSET(Otago_Reference,0,0)</f>
        <v>14 OTAGO</v>
      </c>
      <c r="I136" s="1"/>
      <c r="J136" s="1"/>
      <c r="K136" s="1"/>
    </row>
    <row r="137" spans="1:11" x14ac:dyDescent="0.2">
      <c r="A137" t="str">
        <f ca="1">OFFSET(Otago_Reference,0,2)</f>
        <v>Pedestrian</v>
      </c>
      <c r="B137" s="4">
        <f ca="1">OFFSET(Otago_Reference,0,5)</f>
        <v>58.261736425999999</v>
      </c>
      <c r="C137" s="4">
        <f ca="1">$B137*('Updated Population'!C$136/'Updated Population'!$B$136)*('Total Trip Tables Sup #1'!C170/'Total Trip Tables Sup #1'!$B170)</f>
        <v>62.629885204357073</v>
      </c>
      <c r="D137" s="4">
        <f ca="1">$B137*('Updated Population'!D$136/'Updated Population'!$B$136)*('Total Trip Tables Sup #1'!D170/'Total Trip Tables Sup #1'!$B170)</f>
        <v>65.040161378384184</v>
      </c>
      <c r="E137" s="4">
        <f ca="1">$B137*('Updated Population'!E$136/'Updated Population'!$B$136)*('Total Trip Tables Sup #1'!E170/'Total Trip Tables Sup #1'!$B170)</f>
        <v>66.415635451845759</v>
      </c>
      <c r="F137" s="4">
        <f ca="1">$B137*('Updated Population'!F$136/'Updated Population'!$B$136)*('Total Trip Tables Sup #1'!F170/'Total Trip Tables Sup #1'!$B170)</f>
        <v>67.235335439109051</v>
      </c>
      <c r="G137" s="4">
        <f ca="1">$B137*('Updated Population'!G$136/'Updated Population'!$B$136)*('Total Trip Tables Sup #1'!G170/'Total Trip Tables Sup #1'!$B170)</f>
        <v>67.794680174981281</v>
      </c>
      <c r="H137" s="4">
        <f ca="1">$B137*('Updated Population'!H$136/'Updated Population'!$B$136)*('Total Trip Tables Sup #1'!H170/'Total Trip Tables Sup #1'!$B170)</f>
        <v>68.05387696372982</v>
      </c>
      <c r="I137" s="1">
        <f ca="1">$B137*('Updated Population'!I$136/'Updated Population'!$B$136)*('Total Trip Tables Sup #1'!I170/'Total Trip Tables Sup #1'!$B170)</f>
        <v>68.732962264243127</v>
      </c>
      <c r="J137" s="1">
        <f ca="1">$B137*('Updated Population'!J$136/'Updated Population'!$B$136)*('Total Trip Tables Sup #1'!J170/'Total Trip Tables Sup #1'!$B170)</f>
        <v>69.197851836428285</v>
      </c>
      <c r="K137" s="1">
        <f ca="1">$B137*('Updated Population'!K$136/'Updated Population'!$B$136)*('Total Trip Tables Sup #1'!K170/'Total Trip Tables Sup #1'!$B170)</f>
        <v>69.516169297318328</v>
      </c>
    </row>
    <row r="138" spans="1:11" x14ac:dyDescent="0.2">
      <c r="A138" t="str">
        <f ca="1">OFFSET(Otago_Reference,7,2)</f>
        <v>Cyclist</v>
      </c>
      <c r="B138" s="4">
        <f ca="1">OFFSET(Otago_Reference,7,5)</f>
        <v>4.5847179276999999</v>
      </c>
      <c r="C138" s="4">
        <f ca="1">$B138*('Updated Population'!C$136/'Updated Population'!$B$136)*('Total Trip Tables Sup #1'!C171/'Total Trip Tables Sup #1'!$B171)</f>
        <v>4.8796759189504435</v>
      </c>
      <c r="D138" s="4">
        <f ca="1">$B138*('Updated Population'!D$136/'Updated Population'!$B$136)*('Total Trip Tables Sup #1'!D171/'Total Trip Tables Sup #1'!$B171)</f>
        <v>4.9885025242718584</v>
      </c>
      <c r="E138" s="4">
        <f ca="1">$B138*('Updated Population'!E$136/'Updated Population'!$B$136)*('Total Trip Tables Sup #1'!E171/'Total Trip Tables Sup #1'!$B171)</f>
        <v>5.0152720570459968</v>
      </c>
      <c r="F138" s="4">
        <f ca="1">$B138*('Updated Population'!F$136/'Updated Population'!$B$136)*('Total Trip Tables Sup #1'!F171/'Total Trip Tables Sup #1'!$B171)</f>
        <v>5.0369067645679246</v>
      </c>
      <c r="G138" s="4">
        <f ca="1">$B138*('Updated Population'!G$136/'Updated Population'!$B$136)*('Total Trip Tables Sup #1'!G171/'Total Trip Tables Sup #1'!$B171)</f>
        <v>5.0552027219447897</v>
      </c>
      <c r="H138" s="4">
        <f ca="1">$B138*('Updated Population'!H$136/'Updated Population'!$B$136)*('Total Trip Tables Sup #1'!H171/'Total Trip Tables Sup #1'!$B171)</f>
        <v>5.0632933573076535</v>
      </c>
      <c r="I138" s="1">
        <f ca="1">$B138*('Updated Population'!I$136/'Updated Population'!$B$136)*('Total Trip Tables Sup #1'!I171/'Total Trip Tables Sup #1'!$B171)</f>
        <v>5.1138181509644056</v>
      </c>
      <c r="J138" s="1">
        <f ca="1">$B138*('Updated Population'!J$136/'Updated Population'!$B$136)*('Total Trip Tables Sup #1'!J171/'Total Trip Tables Sup #1'!$B171)</f>
        <v>5.1484065151803202</v>
      </c>
      <c r="K138" s="1">
        <f ca="1">$B138*('Updated Population'!K$136/'Updated Population'!$B$136)*('Total Trip Tables Sup #1'!K171/'Total Trip Tables Sup #1'!$B171)</f>
        <v>5.1720897314370324</v>
      </c>
    </row>
    <row r="139" spans="1:11" x14ac:dyDescent="0.2">
      <c r="A139" t="str">
        <f ca="1">OFFSET(Otago_Reference,14,2)</f>
        <v>Light Vehicle Driver</v>
      </c>
      <c r="B139" s="4">
        <f ca="1">OFFSET(Otago_Reference,14,5)</f>
        <v>150.49144967999999</v>
      </c>
      <c r="C139" s="4">
        <f ca="1">$B139*('Updated Population'!C$136/'Updated Population'!$B$136)*('Total Trip Tables Sup #1'!C172/'Total Trip Tables Sup #1'!$B172)</f>
        <v>166.10351882250757</v>
      </c>
      <c r="D139" s="4">
        <f ca="1">$B139*('Updated Population'!D$136/'Updated Population'!$B$136)*('Total Trip Tables Sup #1'!D172/'Total Trip Tables Sup #1'!$B172)</f>
        <v>175.28435815015226</v>
      </c>
      <c r="E139" s="4">
        <f ca="1">$B139*('Updated Population'!E$136/'Updated Population'!$B$136)*('Total Trip Tables Sup #1'!E172/'Total Trip Tables Sup #1'!$B172)</f>
        <v>180.24867997542046</v>
      </c>
      <c r="F139" s="4">
        <f ca="1">$B139*('Updated Population'!F$136/'Updated Population'!$B$136)*('Total Trip Tables Sup #1'!F172/'Total Trip Tables Sup #1'!$B172)</f>
        <v>184.54849011373153</v>
      </c>
      <c r="G139" s="4">
        <f ca="1">$B139*('Updated Population'!G$136/'Updated Population'!$B$136)*('Total Trip Tables Sup #1'!G172/'Total Trip Tables Sup #1'!$B172)</f>
        <v>187.22742334059927</v>
      </c>
      <c r="H139" s="4">
        <f ca="1">$B139*('Updated Population'!H$136/'Updated Population'!$B$136)*('Total Trip Tables Sup #1'!H172/'Total Trip Tables Sup #1'!$B172)</f>
        <v>189.1292875556471</v>
      </c>
      <c r="I139" s="1">
        <f ca="1">$B139*('Updated Population'!I$136/'Updated Population'!$B$136)*('Total Trip Tables Sup #1'!I172/'Total Trip Tables Sup #1'!$B172)</f>
        <v>191.01654107897022</v>
      </c>
      <c r="J139" s="1">
        <f ca="1">$B139*('Updated Population'!J$136/'Updated Population'!$B$136)*('Total Trip Tables Sup #1'!J172/'Total Trip Tables Sup #1'!$B172)</f>
        <v>192.30852086766447</v>
      </c>
      <c r="K139" s="1">
        <f ca="1">$B139*('Updated Population'!K$136/'Updated Population'!$B$136)*('Total Trip Tables Sup #1'!K172/'Total Trip Tables Sup #1'!$B172)</f>
        <v>193.19316046911945</v>
      </c>
    </row>
    <row r="140" spans="1:11" x14ac:dyDescent="0.2">
      <c r="A140" t="str">
        <f ca="1">OFFSET(Otago_Reference,21,2)</f>
        <v>Light Vehicle Passenger</v>
      </c>
      <c r="B140" s="4">
        <f ca="1">OFFSET(Otago_Reference,21,5)</f>
        <v>71.232164202000007</v>
      </c>
      <c r="C140" s="4">
        <f ca="1">$B140*('Updated Population'!C$136/'Updated Population'!$B$136)*('Total Trip Tables Sup #1'!C173/'Total Trip Tables Sup #1'!$B173)</f>
        <v>74.773771297018016</v>
      </c>
      <c r="D140" s="4">
        <f ca="1">$B140*('Updated Population'!D$136/'Updated Population'!$B$136)*('Total Trip Tables Sup #1'!D173/'Total Trip Tables Sup #1'!$B173)</f>
        <v>76.546387488797762</v>
      </c>
      <c r="E140" s="4">
        <f ca="1">$B140*('Updated Population'!E$136/'Updated Population'!$B$136)*('Total Trip Tables Sup #1'!E173/'Total Trip Tables Sup #1'!$B173)</f>
        <v>77.115604123269549</v>
      </c>
      <c r="F140" s="4">
        <f ca="1">$B140*('Updated Population'!F$136/'Updated Population'!$B$136)*('Total Trip Tables Sup #1'!F173/'Total Trip Tables Sup #1'!$B173)</f>
        <v>77.557832207578286</v>
      </c>
      <c r="G140" s="4">
        <f ca="1">$B140*('Updated Population'!G$136/'Updated Population'!$B$136)*('Total Trip Tables Sup #1'!G173/'Total Trip Tables Sup #1'!$B173)</f>
        <v>77.672000310499214</v>
      </c>
      <c r="H140" s="4">
        <f ca="1">$B140*('Updated Population'!H$136/'Updated Population'!$B$136)*('Total Trip Tables Sup #1'!H173/'Total Trip Tables Sup #1'!$B173)</f>
        <v>77.373147121622964</v>
      </c>
      <c r="I140" s="1">
        <f ca="1">$B140*('Updated Population'!I$136/'Updated Population'!$B$136)*('Total Trip Tables Sup #1'!I173/'Total Trip Tables Sup #1'!$B173)</f>
        <v>78.145226086246126</v>
      </c>
      <c r="J140" s="1">
        <f ca="1">$B140*('Updated Population'!J$136/'Updated Population'!$B$136)*('Total Trip Tables Sup #1'!J173/'Total Trip Tables Sup #1'!$B173)</f>
        <v>78.673777446856477</v>
      </c>
      <c r="K140" s="1">
        <f ca="1">$B140*('Updated Population'!K$136/'Updated Population'!$B$136)*('Total Trip Tables Sup #1'!K173/'Total Trip Tables Sup #1'!$B173)</f>
        <v>79.035685171025577</v>
      </c>
    </row>
    <row r="141" spans="1:11" x14ac:dyDescent="0.2">
      <c r="A141" t="str">
        <f ca="1">OFFSET(Otago_Reference,28,2)</f>
        <v>Taxi/Vehicle Share</v>
      </c>
      <c r="B141" s="4">
        <f ca="1">OFFSET(Otago_Reference,28,5)</f>
        <v>0.85820748670000002</v>
      </c>
      <c r="C141" s="4">
        <f ca="1">$B141*('Updated Population'!C$136/'Updated Population'!$B$136)*('Total Trip Tables Sup #1'!C174/'Total Trip Tables Sup #1'!$B174)</f>
        <v>0.99144032379696145</v>
      </c>
      <c r="D141" s="4">
        <f ca="1">$B141*('Updated Population'!D$136/'Updated Population'!$B$136)*('Total Trip Tables Sup #1'!D174/'Total Trip Tables Sup #1'!$B174)</f>
        <v>1.0884260977598328</v>
      </c>
      <c r="E141" s="4">
        <f ca="1">$B141*('Updated Population'!E$136/'Updated Population'!$B$136)*('Total Trip Tables Sup #1'!E174/'Total Trip Tables Sup #1'!$B174)</f>
        <v>1.1691214416631353</v>
      </c>
      <c r="F141" s="4">
        <f ca="1">$B141*('Updated Population'!F$136/'Updated Population'!$B$136)*('Total Trip Tables Sup #1'!F174/'Total Trip Tables Sup #1'!$B174)</f>
        <v>1.2397030932246202</v>
      </c>
      <c r="G141" s="4">
        <f ca="1">$B141*('Updated Population'!G$136/'Updated Population'!$B$136)*('Total Trip Tables Sup #1'!G174/'Total Trip Tables Sup #1'!$B174)</f>
        <v>1.2953877204049882</v>
      </c>
      <c r="H141" s="4">
        <f ca="1">$B141*('Updated Population'!H$136/'Updated Population'!$B$136)*('Total Trip Tables Sup #1'!H174/'Total Trip Tables Sup #1'!$B174)</f>
        <v>1.3480171492651982</v>
      </c>
      <c r="I141" s="1">
        <f ca="1">$B141*('Updated Population'!I$136/'Updated Population'!$B$136)*('Total Trip Tables Sup #1'!I174/'Total Trip Tables Sup #1'!$B174)</f>
        <v>1.3614685303142713</v>
      </c>
      <c r="J141" s="1">
        <f ca="1">$B141*('Updated Population'!J$136/'Updated Population'!$B$136)*('Total Trip Tables Sup #1'!J174/'Total Trip Tables Sup #1'!$B174)</f>
        <v>1.3706771036355843</v>
      </c>
      <c r="K141" s="1">
        <f ca="1">$B141*('Updated Population'!K$136/'Updated Population'!$B$136)*('Total Trip Tables Sup #1'!K174/'Total Trip Tables Sup #1'!$B174)</f>
        <v>1.3769823637520513</v>
      </c>
    </row>
    <row r="142" spans="1:11" x14ac:dyDescent="0.2">
      <c r="A142" t="str">
        <f ca="1">OFFSET(Otago_Reference,35,2)</f>
        <v>Motorcyclist</v>
      </c>
      <c r="B142" s="4">
        <f ca="1">OFFSET(Otago_Reference,35,5)</f>
        <v>2.0937246197000001</v>
      </c>
      <c r="C142" s="4">
        <f ca="1">$B142*('Updated Population'!C$136/'Updated Population'!$B$136)*('Total Trip Tables Sup #1'!C175/'Total Trip Tables Sup #1'!$B175)</f>
        <v>2.248559446452838</v>
      </c>
      <c r="D142" s="4">
        <f ca="1">$B142*('Updated Population'!D$136/'Updated Population'!$B$136)*('Total Trip Tables Sup #1'!D175/'Total Trip Tables Sup #1'!$B175)</f>
        <v>2.3185400809062848</v>
      </c>
      <c r="E142" s="4">
        <f ca="1">$B142*('Updated Population'!E$136/'Updated Population'!$B$136)*('Total Trip Tables Sup #1'!E175/'Total Trip Tables Sup #1'!$B175)</f>
        <v>2.333923498394594</v>
      </c>
      <c r="F142" s="4">
        <f ca="1">$B142*('Updated Population'!F$136/'Updated Population'!$B$136)*('Total Trip Tables Sup #1'!F175/'Total Trip Tables Sup #1'!$B175)</f>
        <v>2.3384442510812633</v>
      </c>
      <c r="G142" s="4">
        <f ca="1">$B142*('Updated Population'!G$136/'Updated Population'!$B$136)*('Total Trip Tables Sup #1'!G175/'Total Trip Tables Sup #1'!$B175)</f>
        <v>2.3046161085687791</v>
      </c>
      <c r="H142" s="4">
        <f ca="1">$B142*('Updated Population'!H$136/'Updated Population'!$B$136)*('Total Trip Tables Sup #1'!H175/'Total Trip Tables Sup #1'!$B175)</f>
        <v>2.2584682952114732</v>
      </c>
      <c r="I142" s="1">
        <f ca="1">$B142*('Updated Population'!I$136/'Updated Population'!$B$136)*('Total Trip Tables Sup #1'!I175/'Total Trip Tables Sup #1'!$B175)</f>
        <v>2.2810047426466564</v>
      </c>
      <c r="J142" s="1">
        <f ca="1">$B142*('Updated Population'!J$136/'Updated Population'!$B$136)*('Total Trip Tables Sup #1'!J175/'Total Trip Tables Sup #1'!$B175)</f>
        <v>2.2964327888711811</v>
      </c>
      <c r="K142" s="1">
        <f ca="1">$B142*('Updated Population'!K$136/'Updated Population'!$B$136)*('Total Trip Tables Sup #1'!K175/'Total Trip Tables Sup #1'!$B175)</f>
        <v>2.306996623369773</v>
      </c>
    </row>
    <row r="143" spans="1:11" x14ac:dyDescent="0.2">
      <c r="A143" t="str">
        <f ca="1">OFFSET(Canterbury_Reference,42,2)</f>
        <v>Local Train</v>
      </c>
      <c r="B143" s="4">
        <v>0</v>
      </c>
      <c r="C143" s="4">
        <f ca="1">$B143*('Updated Population'!C$136/'Updated Population'!$B$136)*('Total Trip Tables Sup #1'!C176/'Total Trip Tables Sup #1'!$B176)</f>
        <v>0</v>
      </c>
      <c r="D143" s="4">
        <f ca="1">$B143*('Updated Population'!D$136/'Updated Population'!$B$136)*('Total Trip Tables Sup #1'!D176/'Total Trip Tables Sup #1'!$B176)</f>
        <v>0</v>
      </c>
      <c r="E143" s="4">
        <f ca="1">$B143*('Updated Population'!E$136/'Updated Population'!$B$136)*('Total Trip Tables Sup #1'!E176/'Total Trip Tables Sup #1'!$B176)</f>
        <v>0</v>
      </c>
      <c r="F143" s="4">
        <f ca="1">$B143*('Updated Population'!F$136/'Updated Population'!$B$136)*('Total Trip Tables Sup #1'!F176/'Total Trip Tables Sup #1'!$B176)</f>
        <v>0</v>
      </c>
      <c r="G143" s="4">
        <f ca="1">$B143*('Updated Population'!G$136/'Updated Population'!$B$136)*('Total Trip Tables Sup #1'!G176/'Total Trip Tables Sup #1'!$B176)</f>
        <v>0</v>
      </c>
      <c r="H143" s="4">
        <f ca="1">$B143*('Updated Population'!H$136/'Updated Population'!$B$136)*('Total Trip Tables Sup #1'!H176/'Total Trip Tables Sup #1'!$B176)</f>
        <v>0</v>
      </c>
      <c r="I143" s="1">
        <f ca="1">$B143*('Updated Population'!I$136/'Updated Population'!$B$136)*('Total Trip Tables Sup #1'!I176/'Total Trip Tables Sup #1'!$B176)</f>
        <v>0</v>
      </c>
      <c r="J143" s="1">
        <f ca="1">$B143*('Updated Population'!J$136/'Updated Population'!$B$136)*('Total Trip Tables Sup #1'!J176/'Total Trip Tables Sup #1'!$B176)</f>
        <v>0</v>
      </c>
      <c r="K143" s="1">
        <f ca="1">$B143*('Updated Population'!K$136/'Updated Population'!$B$136)*('Total Trip Tables Sup #1'!K176/'Total Trip Tables Sup #1'!$B176)</f>
        <v>0</v>
      </c>
    </row>
    <row r="144" spans="1:11" x14ac:dyDescent="0.2">
      <c r="A144" t="str">
        <f ca="1">OFFSET(Otago_Reference,42,2)</f>
        <v>Local Bus</v>
      </c>
      <c r="B144" s="4">
        <f ca="1">OFFSET(Otago_Reference,42,5)</f>
        <v>4.2627057848999996</v>
      </c>
      <c r="C144" s="4">
        <f ca="1">$B144*('Updated Population'!C$136/'Updated Population'!$B$136)*('Total Trip Tables Sup #1'!C177/'Total Trip Tables Sup #1'!$B177)</f>
        <v>4.2849745838240683</v>
      </c>
      <c r="D144" s="4">
        <f ca="1">$B144*('Updated Population'!D$136/'Updated Population'!$B$136)*('Total Trip Tables Sup #1'!D177/'Total Trip Tables Sup #1'!$B177)</f>
        <v>4.2553019944231032</v>
      </c>
      <c r="E144" s="4">
        <f ca="1">$B144*('Updated Population'!E$136/'Updated Population'!$B$136)*('Total Trip Tables Sup #1'!E177/'Total Trip Tables Sup #1'!$B177)</f>
        <v>4.2289431574559382</v>
      </c>
      <c r="F144" s="4">
        <f ca="1">$B144*('Updated Population'!F$136/'Updated Population'!$B$136)*('Total Trip Tables Sup #1'!F177/'Total Trip Tables Sup #1'!$B177)</f>
        <v>4.1625033832191418</v>
      </c>
      <c r="G144" s="4">
        <f ca="1">$B144*('Updated Population'!G$136/'Updated Population'!$B$136)*('Total Trip Tables Sup #1'!G177/'Total Trip Tables Sup #1'!$B177)</f>
        <v>4.1284247343373268</v>
      </c>
      <c r="H144" s="4">
        <f ca="1">$B144*('Updated Population'!H$136/'Updated Population'!$B$136)*('Total Trip Tables Sup #1'!H177/'Total Trip Tables Sup #1'!$B177)</f>
        <v>4.0739463400707026</v>
      </c>
      <c r="I144" s="1">
        <f ca="1">$B144*('Updated Population'!I$136/'Updated Population'!$B$136)*('Total Trip Tables Sup #1'!I177/'Total Trip Tables Sup #1'!$B177)</f>
        <v>4.1145987936568007</v>
      </c>
      <c r="J144" s="1">
        <f ca="1">$B144*('Updated Population'!J$136/'Updated Population'!$B$136)*('Total Trip Tables Sup #1'!J177/'Total Trip Tables Sup #1'!$B177)</f>
        <v>4.1424287315771648</v>
      </c>
      <c r="K144" s="1">
        <f ca="1">$B144*('Updated Population'!K$136/'Updated Population'!$B$136)*('Total Trip Tables Sup #1'!K177/'Total Trip Tables Sup #1'!$B177)</f>
        <v>4.1614843432870572</v>
      </c>
    </row>
    <row r="145" spans="1:11" x14ac:dyDescent="0.2">
      <c r="A145" t="str">
        <f ca="1">OFFSET(Wellington_Reference,56,2)</f>
        <v>Local Ferry</v>
      </c>
      <c r="B145" s="4">
        <v>0</v>
      </c>
      <c r="C145" s="4">
        <f ca="1">$B145*('Updated Population'!C$136/'Updated Population'!$B$136)*('Total Trip Tables Sup #1'!C178/'Total Trip Tables Sup #1'!$B178)</f>
        <v>0</v>
      </c>
      <c r="D145" s="4">
        <f ca="1">$B145*('Updated Population'!D$136/'Updated Population'!$B$136)*('Total Trip Tables Sup #1'!D178/'Total Trip Tables Sup #1'!$B178)</f>
        <v>0</v>
      </c>
      <c r="E145" s="4">
        <f ca="1">$B145*('Updated Population'!E$136/'Updated Population'!$B$136)*('Total Trip Tables Sup #1'!E178/'Total Trip Tables Sup #1'!$B178)</f>
        <v>0</v>
      </c>
      <c r="F145" s="4">
        <f ca="1">$B145*('Updated Population'!F$136/'Updated Population'!$B$136)*('Total Trip Tables Sup #1'!F178/'Total Trip Tables Sup #1'!$B178)</f>
        <v>0</v>
      </c>
      <c r="G145" s="4">
        <f ca="1">$B145*('Updated Population'!G$136/'Updated Population'!$B$136)*('Total Trip Tables Sup #1'!G178/'Total Trip Tables Sup #1'!$B178)</f>
        <v>0</v>
      </c>
      <c r="H145" s="4">
        <f ca="1">$B145*('Updated Population'!H$136/'Updated Population'!$B$136)*('Total Trip Tables Sup #1'!H178/'Total Trip Tables Sup #1'!$B178)</f>
        <v>0</v>
      </c>
      <c r="I145" s="1">
        <f ca="1">$B145*('Updated Population'!I$136/'Updated Population'!$B$136)*('Total Trip Tables Sup #1'!I178/'Total Trip Tables Sup #1'!$B178)</f>
        <v>0</v>
      </c>
      <c r="J145" s="1">
        <f ca="1">$B145*('Updated Population'!J$136/'Updated Population'!$B$136)*('Total Trip Tables Sup #1'!J178/'Total Trip Tables Sup #1'!$B178)</f>
        <v>0</v>
      </c>
      <c r="K145" s="1">
        <f ca="1">$B145*('Updated Population'!K$136/'Updated Population'!$B$136)*('Total Trip Tables Sup #1'!K178/'Total Trip Tables Sup #1'!$B178)</f>
        <v>0</v>
      </c>
    </row>
    <row r="146" spans="1:11" x14ac:dyDescent="0.2">
      <c r="A146" t="str">
        <f ca="1">OFFSET(Otago_Reference,49,2)</f>
        <v>Other Household Travel</v>
      </c>
      <c r="B146" s="4">
        <f ca="1">OFFSET(Otago_Reference,49,5)</f>
        <v>0.77539158779999995</v>
      </c>
      <c r="C146" s="4">
        <f ca="1">$B146*('Updated Population'!C$136/'Updated Population'!$B$136)*('Total Trip Tables Sup #1'!C179/'Total Trip Tables Sup #1'!$B179)</f>
        <v>0.8408062403933545</v>
      </c>
      <c r="D146" s="4">
        <f ca="1">$B146*('Updated Population'!D$136/'Updated Population'!$B$136)*('Total Trip Tables Sup #1'!D179/'Total Trip Tables Sup #1'!$B179)</f>
        <v>0.89248833709822417</v>
      </c>
      <c r="E146" s="4">
        <f ca="1">$B146*('Updated Population'!E$136/'Updated Population'!$B$136)*('Total Trip Tables Sup #1'!E179/'Total Trip Tables Sup #1'!$B179)</f>
        <v>0.93943069743332297</v>
      </c>
      <c r="F146" s="4">
        <f ca="1">$B146*('Updated Population'!F$136/'Updated Population'!$B$136)*('Total Trip Tables Sup #1'!F179/'Total Trip Tables Sup #1'!$B179)</f>
        <v>0.98840622705526626</v>
      </c>
      <c r="G146" s="4">
        <f ca="1">$B146*('Updated Population'!G$136/'Updated Population'!$B$136)*('Total Trip Tables Sup #1'!G179/'Total Trip Tables Sup #1'!$B179)</f>
        <v>1.0390215936229759</v>
      </c>
      <c r="H146" s="4">
        <f ca="1">$B146*('Updated Population'!H$136/'Updated Population'!$B$136)*('Total Trip Tables Sup #1'!H179/'Total Trip Tables Sup #1'!$B179)</f>
        <v>1.0821545048590218</v>
      </c>
      <c r="I146" s="1">
        <f ca="1">$B146*('Updated Population'!I$136/'Updated Population'!$B$136)*('Total Trip Tables Sup #1'!I179/'Total Trip Tables Sup #1'!$B179)</f>
        <v>1.0929529376584595</v>
      </c>
      <c r="J146" s="1">
        <f ca="1">$B146*('Updated Population'!J$136/'Updated Population'!$B$136)*('Total Trip Tables Sup #1'!J179/'Total Trip Tables Sup #1'!$B179)</f>
        <v>1.1003453503650897</v>
      </c>
      <c r="K146" s="1">
        <f ca="1">$B146*('Updated Population'!K$136/'Updated Population'!$B$136)*('Total Trip Tables Sup #1'!K179/'Total Trip Tables Sup #1'!$B179)</f>
        <v>1.1054070557321629</v>
      </c>
    </row>
    <row r="147" spans="1:11" x14ac:dyDescent="0.2">
      <c r="A147" t="str">
        <f ca="1">OFFSET(Southland_Reference,0,0)</f>
        <v>15 SOUTHLAND</v>
      </c>
      <c r="I147" s="1"/>
      <c r="J147" s="1"/>
      <c r="K147" s="1"/>
    </row>
    <row r="148" spans="1:11" x14ac:dyDescent="0.2">
      <c r="A148" t="str">
        <f ca="1">OFFSET(Southland_Reference,0,2)</f>
        <v>Pedestrian</v>
      </c>
      <c r="B148" s="4">
        <f ca="1">OFFSET(Southland_Reference,0,5)</f>
        <v>12.52065131</v>
      </c>
      <c r="C148" s="4">
        <f ca="1">$B148*('Updated Population'!C$147/'Updated Population'!$B$147)*('Total Trip Tables Sup #1'!C170/'Total Trip Tables Sup #1'!$B170)</f>
        <v>12.860922120132789</v>
      </c>
      <c r="D148" s="4">
        <f ca="1">$B148*('Updated Population'!D$147/'Updated Population'!$B$147)*('Total Trip Tables Sup #1'!D170/'Total Trip Tables Sup #1'!$B170)</f>
        <v>12.894557489650586</v>
      </c>
      <c r="E148" s="4">
        <f ca="1">$B148*('Updated Population'!E$147/'Updated Population'!$B$147)*('Total Trip Tables Sup #1'!E170/'Total Trip Tables Sup #1'!$B170)</f>
        <v>12.867710892199808</v>
      </c>
      <c r="F148" s="4">
        <f ca="1">$B148*('Updated Population'!F$147/'Updated Population'!$B$147)*('Total Trip Tables Sup #1'!F170/'Total Trip Tables Sup #1'!$B170)</f>
        <v>12.732731915169856</v>
      </c>
      <c r="G148" s="4">
        <f ca="1">$B148*('Updated Population'!G$147/'Updated Population'!$B$147)*('Total Trip Tables Sup #1'!G170/'Total Trip Tables Sup #1'!$B170)</f>
        <v>12.539872836610584</v>
      </c>
      <c r="H148" s="4">
        <f ca="1">$B148*('Updated Population'!H$147/'Updated Population'!$B$147)*('Total Trip Tables Sup #1'!H170/'Total Trip Tables Sup #1'!$B170)</f>
        <v>12.296492403360061</v>
      </c>
      <c r="I148" s="1">
        <f ca="1">$B148*('Updated Population'!I$147/'Updated Population'!$B$147)*('Total Trip Tables Sup #1'!I170/'Total Trip Tables Sup #1'!$B170)</f>
        <v>12.131773512559336</v>
      </c>
      <c r="J148" s="1">
        <f ca="1">$B148*('Updated Population'!J$147/'Updated Population'!$B$147)*('Total Trip Tables Sup #1'!J170/'Total Trip Tables Sup #1'!$B170)</f>
        <v>11.931160909561225</v>
      </c>
      <c r="K148" s="1">
        <f ca="1">$B148*('Updated Population'!K$147/'Updated Population'!$B$147)*('Total Trip Tables Sup #1'!K170/'Total Trip Tables Sup #1'!$B170)</f>
        <v>11.708648827834018</v>
      </c>
    </row>
    <row r="149" spans="1:11" x14ac:dyDescent="0.2">
      <c r="A149" t="str">
        <f ca="1">OFFSET(Southland_Reference,7,2)</f>
        <v>Cyclist</v>
      </c>
      <c r="B149" s="4">
        <f ca="1">OFFSET(Southland_Reference,7,5)</f>
        <v>1.0312878256</v>
      </c>
      <c r="C149" s="4">
        <f ca="1">$B149*('Updated Population'!C$147/'Updated Population'!$B$147)*('Total Trip Tables Sup #1'!C171/'Total Trip Tables Sup #1'!$B171)</f>
        <v>1.0488303479717209</v>
      </c>
      <c r="D149" s="4">
        <f ca="1">$B149*('Updated Population'!D$147/'Updated Population'!$B$147)*('Total Trip Tables Sup #1'!D171/'Total Trip Tables Sup #1'!$B171)</f>
        <v>1.0351869821159363</v>
      </c>
      <c r="E149" s="4">
        <f ca="1">$B149*('Updated Population'!E$147/'Updated Population'!$B$147)*('Total Trip Tables Sup #1'!E171/'Total Trip Tables Sup #1'!$B171)</f>
        <v>1.0170662243520658</v>
      </c>
      <c r="F149" s="4">
        <f ca="1">$B149*('Updated Population'!F$147/'Updated Population'!$B$147)*('Total Trip Tables Sup #1'!F171/'Total Trip Tables Sup #1'!$B171)</f>
        <v>0.99841639562349227</v>
      </c>
      <c r="G149" s="4">
        <f ca="1">$B149*('Updated Population'!G$147/'Updated Population'!$B$147)*('Total Trip Tables Sup #1'!G171/'Total Trip Tables Sup #1'!$B171)</f>
        <v>0.97872316006482984</v>
      </c>
      <c r="H149" s="4">
        <f ca="1">$B149*('Updated Population'!H$147/'Updated Population'!$B$147)*('Total Trip Tables Sup #1'!H171/'Total Trip Tables Sup #1'!$B171)</f>
        <v>0.95760242573908627</v>
      </c>
      <c r="I149" s="1">
        <f ca="1">$B149*('Updated Population'!I$147/'Updated Population'!$B$147)*('Total Trip Tables Sup #1'!I171/'Total Trip Tables Sup #1'!$B171)</f>
        <v>0.94477476690584661</v>
      </c>
      <c r="J149" s="1">
        <f ca="1">$B149*('Updated Population'!J$147/'Updated Population'!$B$147)*('Total Trip Tables Sup #1'!J171/'Total Trip Tables Sup #1'!$B171)</f>
        <v>0.92915184705495235</v>
      </c>
      <c r="K149" s="1">
        <f ca="1">$B149*('Updated Population'!K$147/'Updated Population'!$B$147)*('Total Trip Tables Sup #1'!K171/'Total Trip Tables Sup #1'!$B171)</f>
        <v>0.91182348200346819</v>
      </c>
    </row>
    <row r="150" spans="1:11" x14ac:dyDescent="0.2">
      <c r="A150" t="str">
        <f ca="1">OFFSET(Southland_Reference,14,2)</f>
        <v>Light Vehicle Driver</v>
      </c>
      <c r="B150" s="4">
        <f ca="1">OFFSET(Southland_Reference,14,5)</f>
        <v>66.981547285000005</v>
      </c>
      <c r="C150" s="4">
        <f ca="1">$B150*('Updated Population'!C$147/'Updated Population'!$B$147)*('Total Trip Tables Sup #1'!C172/'Total Trip Tables Sup #1'!$B172)</f>
        <v>70.643007220278733</v>
      </c>
      <c r="D150" s="4">
        <f ca="1">$B150*('Updated Population'!D$147/'Updated Population'!$B$147)*('Total Trip Tables Sup #1'!D172/'Total Trip Tables Sup #1'!$B172)</f>
        <v>71.97270880104152</v>
      </c>
      <c r="E150" s="4">
        <f ca="1">$B150*('Updated Population'!E$147/'Updated Population'!$B$147)*('Total Trip Tables Sup #1'!E172/'Total Trip Tables Sup #1'!$B172)</f>
        <v>72.327409144975832</v>
      </c>
      <c r="F150" s="4">
        <f ca="1">$B150*('Updated Population'!F$147/'Updated Population'!$B$147)*('Total Trip Tables Sup #1'!F172/'Total Trip Tables Sup #1'!$B172)</f>
        <v>72.382631606170634</v>
      </c>
      <c r="G150" s="4">
        <f ca="1">$B150*('Updated Population'!G$147/'Updated Population'!$B$147)*('Total Trip Tables Sup #1'!G172/'Total Trip Tables Sup #1'!$B172)</f>
        <v>71.724384442135033</v>
      </c>
      <c r="H150" s="4">
        <f ca="1">$B150*('Updated Population'!H$147/'Updated Population'!$B$147)*('Total Trip Tables Sup #1'!H172/'Total Trip Tables Sup #1'!$B172)</f>
        <v>70.77616289890301</v>
      </c>
      <c r="I150" s="1">
        <f ca="1">$B150*('Updated Population'!I$147/'Updated Population'!$B$147)*('Total Trip Tables Sup #1'!I172/'Total Trip Tables Sup #1'!$B172)</f>
        <v>69.828073747507844</v>
      </c>
      <c r="J150" s="1">
        <f ca="1">$B150*('Updated Population'!J$147/'Updated Population'!$B$147)*('Total Trip Tables Sup #1'!J172/'Total Trip Tables Sup #1'!$B172)</f>
        <v>68.673387532641613</v>
      </c>
      <c r="K150" s="1">
        <f ca="1">$B150*('Updated Population'!K$147/'Updated Population'!$B$147)*('Total Trip Tables Sup #1'!K172/'Total Trip Tables Sup #1'!$B172)</f>
        <v>67.39265227687099</v>
      </c>
    </row>
    <row r="151" spans="1:11" x14ac:dyDescent="0.2">
      <c r="A151" t="str">
        <f ca="1">OFFSET(Southland_Reference,21,2)</f>
        <v>Light Vehicle Passenger</v>
      </c>
      <c r="B151" s="4">
        <f ca="1">OFFSET(Southland_Reference,21,5)</f>
        <v>28.419434702</v>
      </c>
      <c r="C151" s="4">
        <f ca="1">$B151*('Updated Population'!C$147/'Updated Population'!$B$147)*('Total Trip Tables Sup #1'!C173/'Total Trip Tables Sup #1'!$B173)</f>
        <v>28.505953787792265</v>
      </c>
      <c r="D151" s="4">
        <f ca="1">$B151*('Updated Population'!D$147/'Updated Population'!$B$147)*('Total Trip Tables Sup #1'!D173/'Total Trip Tables Sup #1'!$B173)</f>
        <v>28.173793746256415</v>
      </c>
      <c r="E151" s="4">
        <f ca="1">$B151*('Updated Population'!E$147/'Updated Population'!$B$147)*('Total Trip Tables Sup #1'!E173/'Total Trip Tables Sup #1'!$B173)</f>
        <v>27.737609291895684</v>
      </c>
      <c r="F151" s="4">
        <f ca="1">$B151*('Updated Population'!F$147/'Updated Population'!$B$147)*('Total Trip Tables Sup #1'!F173/'Total Trip Tables Sup #1'!$B173)</f>
        <v>27.267509919266775</v>
      </c>
      <c r="G151" s="4">
        <f ca="1">$B151*('Updated Population'!G$147/'Updated Population'!$B$147)*('Total Trip Tables Sup #1'!G173/'Total Trip Tables Sup #1'!$B173)</f>
        <v>26.672136480677807</v>
      </c>
      <c r="H151" s="4">
        <f ca="1">$B151*('Updated Population'!H$147/'Updated Population'!$B$147)*('Total Trip Tables Sup #1'!H173/'Total Trip Tables Sup #1'!$B173)</f>
        <v>25.954605668008487</v>
      </c>
      <c r="I151" s="1">
        <f ca="1">$B151*('Updated Population'!I$147/'Updated Population'!$B$147)*('Total Trip Tables Sup #1'!I173/'Total Trip Tables Sup #1'!$B173)</f>
        <v>25.606928158311792</v>
      </c>
      <c r="J151" s="1">
        <f ca="1">$B151*('Updated Population'!J$147/'Updated Population'!$B$147)*('Total Trip Tables Sup #1'!J173/'Total Trip Tables Sup #1'!$B173)</f>
        <v>25.183488625146552</v>
      </c>
      <c r="K151" s="1">
        <f ca="1">$B151*('Updated Population'!K$147/'Updated Population'!$B$147)*('Total Trip Tables Sup #1'!K173/'Total Trip Tables Sup #1'!$B173)</f>
        <v>24.713825151356318</v>
      </c>
    </row>
    <row r="152" spans="1:11" x14ac:dyDescent="0.2">
      <c r="A152" t="str">
        <f ca="1">OFFSET(Southland_Reference,28,2)</f>
        <v>Taxi/Vehicle Share</v>
      </c>
      <c r="B152" s="4">
        <f ca="1">OFFSET(Southland_Reference,28,5)</f>
        <v>0.47613164409999997</v>
      </c>
      <c r="C152" s="4">
        <f ca="1">$B152*('Updated Population'!C$147/'Updated Population'!$B$147)*('Total Trip Tables Sup #1'!C174/'Total Trip Tables Sup #1'!$B174)</f>
        <v>0.52559148602244998</v>
      </c>
      <c r="D152" s="4">
        <f ca="1">$B152*('Updated Population'!D$147/'Updated Population'!$B$147)*('Total Trip Tables Sup #1'!D174/'Total Trip Tables Sup #1'!$B174)</f>
        <v>0.55707674518926764</v>
      </c>
      <c r="E152" s="4">
        <f ca="1">$B152*('Updated Population'!E$147/'Updated Population'!$B$147)*('Total Trip Tables Sup #1'!E174/'Total Trip Tables Sup #1'!$B174)</f>
        <v>0.58476562949837607</v>
      </c>
      <c r="F152" s="4">
        <f ca="1">$B152*('Updated Population'!F$147/'Updated Population'!$B$147)*('Total Trip Tables Sup #1'!F174/'Total Trip Tables Sup #1'!$B174)</f>
        <v>0.60608418869508196</v>
      </c>
      <c r="G152" s="4">
        <f ca="1">$B152*('Updated Population'!G$147/'Updated Population'!$B$147)*('Total Trip Tables Sup #1'!G174/'Total Trip Tables Sup #1'!$B174)</f>
        <v>0.6185695570859111</v>
      </c>
      <c r="H152" s="4">
        <f ca="1">$B152*('Updated Population'!H$147/'Updated Population'!$B$147)*('Total Trip Tables Sup #1'!H174/'Total Trip Tables Sup #1'!$B174)</f>
        <v>0.62880363242436399</v>
      </c>
      <c r="I152" s="1">
        <f ca="1">$B152*('Updated Population'!I$147/'Updated Population'!$B$147)*('Total Trip Tables Sup #1'!I174/'Total Trip Tables Sup #1'!$B174)</f>
        <v>0.62038043063097248</v>
      </c>
      <c r="J152" s="1">
        <f ca="1">$B152*('Updated Population'!J$147/'Updated Population'!$B$147)*('Total Trip Tables Sup #1'!J174/'Total Trip Tables Sup #1'!$B174)</f>
        <v>0.61012173820573679</v>
      </c>
      <c r="K152" s="1">
        <f ca="1">$B152*('Updated Population'!K$147/'Updated Population'!$B$147)*('Total Trip Tables Sup #1'!K174/'Total Trip Tables Sup #1'!$B174)</f>
        <v>0.59874317587603187</v>
      </c>
    </row>
    <row r="153" spans="1:11" x14ac:dyDescent="0.2">
      <c r="A153" t="str">
        <f ca="1">OFFSET(Southland_Reference,35,2)</f>
        <v>Motorcyclist</v>
      </c>
      <c r="B153" s="4">
        <f ca="1">OFFSET(Southland_Reference,35,5)</f>
        <v>0.62652592730000001</v>
      </c>
      <c r="C153" s="4">
        <f ca="1">$B153*('Updated Population'!C$147/'Updated Population'!$B$147)*('Total Trip Tables Sup #1'!C175/'Total Trip Tables Sup #1'!$B175)</f>
        <v>0.64294060965763933</v>
      </c>
      <c r="D153" s="4">
        <f ca="1">$B153*('Updated Population'!D$147/'Updated Population'!$B$147)*('Total Trip Tables Sup #1'!D175/'Total Trip Tables Sup #1'!$B175)</f>
        <v>0.64005225484756656</v>
      </c>
      <c r="E153" s="4">
        <f ca="1">$B153*('Updated Population'!E$147/'Updated Population'!$B$147)*('Total Trip Tables Sup #1'!E175/'Total Trip Tables Sup #1'!$B175)</f>
        <v>0.6296418269224795</v>
      </c>
      <c r="F153" s="4">
        <f ca="1">$B153*('Updated Population'!F$147/'Updated Population'!$B$147)*('Total Trip Tables Sup #1'!F175/'Total Trip Tables Sup #1'!$B175)</f>
        <v>0.61663338103019383</v>
      </c>
      <c r="G153" s="4">
        <f ca="1">$B153*('Updated Population'!G$147/'Updated Population'!$B$147)*('Total Trip Tables Sup #1'!G175/'Total Trip Tables Sup #1'!$B175)</f>
        <v>0.59357021559383327</v>
      </c>
      <c r="H153" s="4">
        <f ca="1">$B153*('Updated Population'!H$147/'Updated Population'!$B$147)*('Total Trip Tables Sup #1'!H175/'Total Trip Tables Sup #1'!$B175)</f>
        <v>0.56822241782594496</v>
      </c>
      <c r="I153" s="1">
        <f ca="1">$B153*('Updated Population'!I$147/'Updated Population'!$B$147)*('Total Trip Tables Sup #1'!I175/'Total Trip Tables Sup #1'!$B175)</f>
        <v>0.56061073773684733</v>
      </c>
      <c r="J153" s="1">
        <f ca="1">$B153*('Updated Population'!J$147/'Updated Population'!$B$147)*('Total Trip Tables Sup #1'!J175/'Total Trip Tables Sup #1'!$B175)</f>
        <v>0.55134040481729096</v>
      </c>
      <c r="K153" s="1">
        <f ca="1">$B153*('Updated Population'!K$147/'Updated Population'!$B$147)*('Total Trip Tables Sup #1'!K175/'Total Trip Tables Sup #1'!$B175)</f>
        <v>0.54105809430734686</v>
      </c>
    </row>
    <row r="154" spans="1:11" x14ac:dyDescent="0.2">
      <c r="A154" t="str">
        <f ca="1">OFFSET(Canterbury_Reference,42,2)</f>
        <v>Local Train</v>
      </c>
      <c r="B154" s="4">
        <v>0</v>
      </c>
      <c r="C154" s="4">
        <f ca="1">$B154*('Updated Population'!C$147/'Updated Population'!$B$147)*('Total Trip Tables Sup #1'!C176/'Total Trip Tables Sup #1'!$B176)</f>
        <v>0</v>
      </c>
      <c r="D154" s="4">
        <f ca="1">$B154*('Updated Population'!D$147/'Updated Population'!$B$147)*('Total Trip Tables Sup #1'!D176/'Total Trip Tables Sup #1'!$B176)</f>
        <v>0</v>
      </c>
      <c r="E154" s="4">
        <f ca="1">$B154*('Updated Population'!E$147/'Updated Population'!$B$147)*('Total Trip Tables Sup #1'!E176/'Total Trip Tables Sup #1'!$B176)</f>
        <v>0</v>
      </c>
      <c r="F154" s="4">
        <f ca="1">$B154*('Updated Population'!F$147/'Updated Population'!$B$147)*('Total Trip Tables Sup #1'!F176/'Total Trip Tables Sup #1'!$B176)</f>
        <v>0</v>
      </c>
      <c r="G154" s="4">
        <f ca="1">$B154*('Updated Population'!G$147/'Updated Population'!$B$147)*('Total Trip Tables Sup #1'!G176/'Total Trip Tables Sup #1'!$B176)</f>
        <v>0</v>
      </c>
      <c r="H154" s="4">
        <f ca="1">$B154*('Updated Population'!H$147/'Updated Population'!$B$147)*('Total Trip Tables Sup #1'!H176/'Total Trip Tables Sup #1'!$B176)</f>
        <v>0</v>
      </c>
      <c r="I154" s="1">
        <f ca="1">$B154*('Updated Population'!I$147/'Updated Population'!$B$147)*('Total Trip Tables Sup #1'!I176/'Total Trip Tables Sup #1'!$B176)</f>
        <v>0</v>
      </c>
      <c r="J154" s="1">
        <f ca="1">$B154*('Updated Population'!J$147/'Updated Population'!$B$147)*('Total Trip Tables Sup #1'!J176/'Total Trip Tables Sup #1'!$B176)</f>
        <v>0</v>
      </c>
      <c r="K154" s="1">
        <f ca="1">$B154*('Updated Population'!K$147/'Updated Population'!$B$147)*('Total Trip Tables Sup #1'!K176/'Total Trip Tables Sup #1'!$B176)</f>
        <v>0</v>
      </c>
    </row>
    <row r="155" spans="1:11" x14ac:dyDescent="0.2">
      <c r="A155" t="str">
        <f ca="1">OFFSET(Southland_Reference,42,2)</f>
        <v>Local Bus</v>
      </c>
      <c r="B155" s="4">
        <f ca="1">OFFSET(Southland_Reference,42,5)</f>
        <v>2.6369167839999998</v>
      </c>
      <c r="C155" s="4">
        <f ca="1">$B155*('Updated Population'!C$147/'Updated Population'!$B$147)*('Total Trip Tables Sup #1'!C177/'Total Trip Tables Sup #1'!$B177)</f>
        <v>2.5328315790153555</v>
      </c>
      <c r="D155" s="4">
        <f ca="1">$B155*('Updated Population'!D$147/'Updated Population'!$B$147)*('Total Trip Tables Sup #1'!D177/'Total Trip Tables Sup #1'!$B177)</f>
        <v>2.428414340850336</v>
      </c>
      <c r="E155" s="4">
        <f ca="1">$B155*('Updated Population'!E$147/'Updated Population'!$B$147)*('Total Trip Tables Sup #1'!E177/'Total Trip Tables Sup #1'!$B177)</f>
        <v>2.3584701259527412</v>
      </c>
      <c r="F155" s="4">
        <f ca="1">$B155*('Updated Population'!F$147/'Updated Population'!$B$147)*('Total Trip Tables Sup #1'!F177/'Total Trip Tables Sup #1'!$B177)</f>
        <v>2.2690610876575121</v>
      </c>
      <c r="G155" s="4">
        <f ca="1">$B155*('Updated Population'!G$147/'Updated Population'!$B$147)*('Total Trip Tables Sup #1'!G177/'Total Trip Tables Sup #1'!$B177)</f>
        <v>2.1981101763763649</v>
      </c>
      <c r="H155" s="4">
        <f ca="1">$B155*('Updated Population'!H$147/'Updated Population'!$B$147)*('Total Trip Tables Sup #1'!H177/'Total Trip Tables Sup #1'!$B177)</f>
        <v>2.1189038397635276</v>
      </c>
      <c r="I155" s="1">
        <f ca="1">$B155*('Updated Population'!I$147/'Updated Population'!$B$147)*('Total Trip Tables Sup #1'!I177/'Total Trip Tables Sup #1'!$B177)</f>
        <v>2.0905198519765817</v>
      </c>
      <c r="J155" s="1">
        <f ca="1">$B155*('Updated Population'!J$147/'Updated Population'!$B$147)*('Total Trip Tables Sup #1'!J177/'Total Trip Tables Sup #1'!$B177)</f>
        <v>2.0559507406516726</v>
      </c>
      <c r="K155" s="1">
        <f ca="1">$B155*('Updated Population'!K$147/'Updated Population'!$B$147)*('Total Trip Tables Sup #1'!K177/'Total Trip Tables Sup #1'!$B177)</f>
        <v>2.0176079605401087</v>
      </c>
    </row>
    <row r="156" spans="1:11" x14ac:dyDescent="0.2">
      <c r="A156" t="str">
        <f ca="1">OFFSET(Wellington_Reference,56,2)</f>
        <v>Local Ferry</v>
      </c>
      <c r="B156" s="4">
        <v>0</v>
      </c>
      <c r="C156" s="4">
        <f ca="1">$B156*('Updated Population'!C$147/'Updated Population'!$B$147)*('Total Trip Tables Sup #1'!C178/'Total Trip Tables Sup #1'!$B178)</f>
        <v>0</v>
      </c>
      <c r="D156" s="4">
        <f ca="1">$B156*('Updated Population'!D$147/'Updated Population'!$B$147)*('Total Trip Tables Sup #1'!D178/'Total Trip Tables Sup #1'!$B178)</f>
        <v>0</v>
      </c>
      <c r="E156" s="4">
        <f ca="1">$B156*('Updated Population'!E$147/'Updated Population'!$B$147)*('Total Trip Tables Sup #1'!E178/'Total Trip Tables Sup #1'!$B178)</f>
        <v>0</v>
      </c>
      <c r="F156" s="4">
        <f ca="1">$B156*('Updated Population'!F$147/'Updated Population'!$B$147)*('Total Trip Tables Sup #1'!F178/'Total Trip Tables Sup #1'!$B178)</f>
        <v>0</v>
      </c>
      <c r="G156" s="4">
        <f ca="1">$B156*('Updated Population'!G$147/'Updated Population'!$B$147)*('Total Trip Tables Sup #1'!G178/'Total Trip Tables Sup #1'!$B178)</f>
        <v>0</v>
      </c>
      <c r="H156" s="4">
        <f ca="1">$B156*('Updated Population'!H$147/'Updated Population'!$B$147)*('Total Trip Tables Sup #1'!H178/'Total Trip Tables Sup #1'!$B178)</f>
        <v>0</v>
      </c>
      <c r="I156" s="1">
        <f ca="1">$B156*('Updated Population'!I$147/'Updated Population'!$B$147)*('Total Trip Tables Sup #1'!I178/'Total Trip Tables Sup #1'!$B178)</f>
        <v>0</v>
      </c>
      <c r="J156" s="1">
        <f ca="1">$B156*('Updated Population'!J$147/'Updated Population'!$B$147)*('Total Trip Tables Sup #1'!J178/'Total Trip Tables Sup #1'!$B178)</f>
        <v>0</v>
      </c>
      <c r="K156" s="1">
        <f ca="1">$B156*('Updated Population'!K$147/'Updated Population'!$B$147)*('Total Trip Tables Sup #1'!K178/'Total Trip Tables Sup #1'!$B178)</f>
        <v>0</v>
      </c>
    </row>
    <row r="157" spans="1:11" x14ac:dyDescent="0.2">
      <c r="A157" t="str">
        <f ca="1">OFFSET(Southland_Reference,49,2)</f>
        <v>Other Household Travel</v>
      </c>
      <c r="B157" s="4">
        <f ca="1">OFFSET(Southland_Reference,49,5)</f>
        <v>0.42937289560000003</v>
      </c>
      <c r="C157" s="4">
        <f ca="1">$B157*('Updated Population'!C$147/'Updated Population'!$B$147)*('Total Trip Tables Sup #1'!C179/'Total Trip Tables Sup #1'!$B179)</f>
        <v>0.44489391219553753</v>
      </c>
      <c r="D157" s="4">
        <f ca="1">$B157*('Updated Population'!D$147/'Updated Population'!$B$147)*('Total Trip Tables Sup #1'!D179/'Total Trip Tables Sup #1'!$B179)</f>
        <v>0.45592921959917793</v>
      </c>
      <c r="E157" s="4">
        <f ca="1">$B157*('Updated Population'!E$147/'Updated Population'!$B$147)*('Total Trip Tables Sup #1'!E179/'Total Trip Tables Sup #1'!$B179)</f>
        <v>0.46899234473971735</v>
      </c>
      <c r="F157" s="4">
        <f ca="1">$B157*('Updated Population'!F$147/'Updated Population'!$B$147)*('Total Trip Tables Sup #1'!F179/'Total Trip Tables Sup #1'!$B179)</f>
        <v>0.48231363115315212</v>
      </c>
      <c r="G157" s="4">
        <f ca="1">$B157*('Updated Population'!G$147/'Updated Population'!$B$147)*('Total Trip Tables Sup #1'!G179/'Total Trip Tables Sup #1'!$B179)</f>
        <v>0.49521311024288883</v>
      </c>
      <c r="H157" s="4">
        <f ca="1">$B157*('Updated Population'!H$147/'Updated Population'!$B$147)*('Total Trip Tables Sup #1'!H179/'Total Trip Tables Sup #1'!$B179)</f>
        <v>0.50383425349026023</v>
      </c>
      <c r="I157" s="1">
        <f ca="1">$B157*('Updated Population'!I$147/'Updated Population'!$B$147)*('Total Trip Tables Sup #1'!I179/'Total Trip Tables Sup #1'!$B179)</f>
        <v>0.49708509148047847</v>
      </c>
      <c r="J157" s="1">
        <f ca="1">$B157*('Updated Population'!J$147/'Updated Population'!$B$147)*('Total Trip Tables Sup #1'!J179/'Total Trip Tables Sup #1'!$B179)</f>
        <v>0.48886522700557578</v>
      </c>
      <c r="K157" s="1">
        <f ca="1">$B157*('Updated Population'!K$147/'Updated Population'!$B$147)*('Total Trip Tables Sup #1'!K179/'Total Trip Tables Sup #1'!$B179)</f>
        <v>0.47974805725406544</v>
      </c>
    </row>
    <row r="158" spans="1:11" x14ac:dyDescent="0.2">
      <c r="A158" t="s">
        <v>19</v>
      </c>
      <c r="I158" s="1"/>
      <c r="J158" s="1"/>
      <c r="K158" s="1"/>
    </row>
    <row r="159" spans="1:11" x14ac:dyDescent="0.2">
      <c r="A159" t="str">
        <f t="shared" ref="A159:A165" ca="1" si="0">A5</f>
        <v>Pedestrian</v>
      </c>
      <c r="B159" s="4">
        <f t="shared" ref="B159:H164" ca="1" si="1">B5+B16+B27+B38+B49+B60+B71+B82+B93+B104+B115+B126+B137+B148</f>
        <v>986.56972308989998</v>
      </c>
      <c r="C159" s="4">
        <f t="shared" ca="1" si="1"/>
        <v>1072.9454666421314</v>
      </c>
      <c r="D159" s="4">
        <f t="shared" ca="1" si="1"/>
        <v>1129.838485420976</v>
      </c>
      <c r="E159" s="4">
        <f t="shared" ca="1" si="1"/>
        <v>1171.859009427184</v>
      </c>
      <c r="F159" s="4">
        <f t="shared" ca="1" si="1"/>
        <v>1203.4408676271219</v>
      </c>
      <c r="G159" s="4">
        <f t="shared" ca="1" si="1"/>
        <v>1229.3564674528886</v>
      </c>
      <c r="H159" s="4">
        <f t="shared" ca="1" si="1"/>
        <v>1249.7734789032168</v>
      </c>
      <c r="I159" s="1">
        <f t="shared" ref="I159" ca="1" si="2">I5+I16+I27+I38+I49+I60+I71+I82+I93+I104+I115+I126+I137+I148</f>
        <v>1278.7211610480394</v>
      </c>
      <c r="J159" s="1">
        <f t="shared" ref="J159:K159" ca="1" si="3">J5+J16+J27+J38+J49+J60+J71+J82+J93+J104+J115+J126+J137+J148</f>
        <v>1304.5814566465961</v>
      </c>
      <c r="K159" s="1">
        <f t="shared" ca="1" si="3"/>
        <v>1328.5163754101916</v>
      </c>
    </row>
    <row r="160" spans="1:11" x14ac:dyDescent="0.2">
      <c r="A160" t="str">
        <f t="shared" ca="1" si="0"/>
        <v>Cyclist</v>
      </c>
      <c r="B160" s="4">
        <f t="shared" ca="1" si="1"/>
        <v>71.074316198400012</v>
      </c>
      <c r="C160" s="4">
        <f t="shared" ca="1" si="1"/>
        <v>75.918455817288304</v>
      </c>
      <c r="D160" s="4">
        <f t="shared" ca="1" si="1"/>
        <v>78.110111825072806</v>
      </c>
      <c r="E160" s="4">
        <f t="shared" ca="1" si="1"/>
        <v>79.221899634315307</v>
      </c>
      <c r="F160" s="4">
        <f t="shared" ca="1" si="1"/>
        <v>80.204360275201068</v>
      </c>
      <c r="G160" s="4">
        <f t="shared" ca="1" si="1"/>
        <v>81.076562175216381</v>
      </c>
      <c r="H160" s="4">
        <f t="shared" ca="1" si="1"/>
        <v>81.781569863672146</v>
      </c>
      <c r="I160" s="1">
        <f t="shared" ref="I160" ca="1" si="4">I6+I17+I28+I39+I50+I61+I72+I83+I94+I105+I116+I127+I138+I149</f>
        <v>83.201431197234143</v>
      </c>
      <c r="J160" s="1">
        <f t="shared" ref="J160:K160" ca="1" si="5">J6+J17+J28+J39+J50+J61+J72+J83+J94+J105+J116+J127+J138+J149</f>
        <v>84.395366617145996</v>
      </c>
      <c r="K160" s="1">
        <f t="shared" ca="1" si="5"/>
        <v>85.441467361539893</v>
      </c>
    </row>
    <row r="161" spans="1:20" x14ac:dyDescent="0.2">
      <c r="A161" t="str">
        <f t="shared" ca="1" si="0"/>
        <v>Light Vehicle Driver</v>
      </c>
      <c r="B161" s="4">
        <f t="shared" ca="1" si="1"/>
        <v>3093.3887589700003</v>
      </c>
      <c r="C161" s="4">
        <f t="shared" ca="1" si="1"/>
        <v>3453.4480386643959</v>
      </c>
      <c r="D161" s="4">
        <f t="shared" ca="1" si="1"/>
        <v>3693.5756443825835</v>
      </c>
      <c r="E161" s="4">
        <f t="shared" ca="1" si="1"/>
        <v>3856.4585633422653</v>
      </c>
      <c r="F161" s="4">
        <f t="shared" ca="1" si="1"/>
        <v>4003.7577770535991</v>
      </c>
      <c r="G161" s="4">
        <f t="shared" ca="1" si="1"/>
        <v>4113.3871351679682</v>
      </c>
      <c r="H161" s="4">
        <f t="shared" ca="1" si="1"/>
        <v>4206.544748041707</v>
      </c>
      <c r="I161" s="1">
        <f t="shared" ref="I161" ca="1" si="6">I7+I18+I29+I40+I51+I62+I73+I84+I95+I106+I117+I128+I139+I150</f>
        <v>4302.4397847109703</v>
      </c>
      <c r="J161" s="1">
        <f t="shared" ref="J161:K161" ca="1" si="7">J7+J18+J29+J40+J51+J62+J73+J84+J95+J106+J117+J128+J139+J150</f>
        <v>4387.9234038383393</v>
      </c>
      <c r="K161" s="1">
        <f t="shared" ca="1" si="7"/>
        <v>4466.9138751261489</v>
      </c>
    </row>
    <row r="162" spans="1:20" x14ac:dyDescent="0.2">
      <c r="A162" t="str">
        <f t="shared" ca="1" si="0"/>
        <v>Light Vehicle Passenger</v>
      </c>
      <c r="B162" s="4">
        <f t="shared" ca="1" si="1"/>
        <v>1512.9377645669999</v>
      </c>
      <c r="C162" s="4">
        <f t="shared" ca="1" si="1"/>
        <v>1606.157249737741</v>
      </c>
      <c r="D162" s="4">
        <f t="shared" ca="1" si="1"/>
        <v>1666.4872206148841</v>
      </c>
      <c r="E162" s="4">
        <f t="shared" ca="1" si="1"/>
        <v>1704.7192458956672</v>
      </c>
      <c r="F162" s="4">
        <f t="shared" ca="1" si="1"/>
        <v>1738.539346908356</v>
      </c>
      <c r="G162" s="4">
        <f t="shared" ca="1" si="1"/>
        <v>1763.1638093104268</v>
      </c>
      <c r="H162" s="4">
        <f t="shared" ca="1" si="1"/>
        <v>1778.0739339544241</v>
      </c>
      <c r="I162" s="1">
        <f t="shared" ref="I162" ca="1" si="8">I8+I19+I30+I41+I52+I63+I74+I85+I96+I107+I118+I129+I140+I151</f>
        <v>1818.5933539135256</v>
      </c>
      <c r="J162" s="1">
        <f t="shared" ref="J162:K162" ca="1" si="9">J8+J19+J30+J41+J52+J63+J74+J85+J96+J107+J118+J129+J140+J151</f>
        <v>1854.7187611881752</v>
      </c>
      <c r="K162" s="1">
        <f t="shared" ca="1" si="9"/>
        <v>1888.1068919232616</v>
      </c>
    </row>
    <row r="163" spans="1:20" x14ac:dyDescent="0.2">
      <c r="A163" t="str">
        <f t="shared" ca="1" si="0"/>
        <v>Taxi/Vehicle Share</v>
      </c>
      <c r="B163" s="4">
        <f t="shared" ca="1" si="1"/>
        <v>15.600131729099999</v>
      </c>
      <c r="C163" s="4">
        <f t="shared" ca="1" si="1"/>
        <v>18.255686685903068</v>
      </c>
      <c r="D163" s="4">
        <f t="shared" ca="1" si="1"/>
        <v>20.353766137413842</v>
      </c>
      <c r="E163" s="4">
        <f t="shared" ca="1" si="1"/>
        <v>22.233403015643283</v>
      </c>
      <c r="F163" s="4">
        <f t="shared" ca="1" si="1"/>
        <v>23.944397230456214</v>
      </c>
      <c r="G163" s="4">
        <f t="shared" ca="1" si="1"/>
        <v>25.377898210903993</v>
      </c>
      <c r="H163" s="4">
        <f t="shared" ca="1" si="1"/>
        <v>26.777518756516145</v>
      </c>
      <c r="I163" s="1">
        <f t="shared" ref="I163" ca="1" si="10">I9+I20+I31+I42+I53+I64+I75+I86+I97+I108+I119+I130+I141+I152</f>
        <v>27.432127565416852</v>
      </c>
      <c r="J163" s="1">
        <f t="shared" ref="J163:K163" ca="1" si="11">J9+J20+J31+J42+J53+J64+J75+J86+J97+J108+J119+J130+J141+J152</f>
        <v>28.023358065990013</v>
      </c>
      <c r="K163" s="1">
        <f t="shared" ca="1" si="11"/>
        <v>28.575963332478445</v>
      </c>
    </row>
    <row r="164" spans="1:20" x14ac:dyDescent="0.2">
      <c r="A164" t="str">
        <f t="shared" ca="1" si="0"/>
        <v>Motorcyclist</v>
      </c>
      <c r="B164" s="4">
        <f t="shared" ca="1" si="1"/>
        <v>19.272283824500001</v>
      </c>
      <c r="C164" s="4">
        <f t="shared" ca="1" si="1"/>
        <v>20.741284876897904</v>
      </c>
      <c r="D164" s="4">
        <f t="shared" ca="1" si="1"/>
        <v>21.519963457042543</v>
      </c>
      <c r="E164" s="4">
        <f t="shared" ca="1" si="1"/>
        <v>21.87149550976531</v>
      </c>
      <c r="F164" s="4">
        <f t="shared" ca="1" si="1"/>
        <v>22.099481781421996</v>
      </c>
      <c r="G164" s="4">
        <f t="shared" ca="1" si="1"/>
        <v>21.940131730009053</v>
      </c>
      <c r="H164" s="4">
        <f t="shared" ca="1" si="1"/>
        <v>21.652935922699292</v>
      </c>
      <c r="I164" s="1">
        <f t="shared" ref="I164" ca="1" si="12">I10+I21+I32+I43+I54+I65+I76+I87+I98+I109+I120+I131+I142+I153</f>
        <v>22.030464236383235</v>
      </c>
      <c r="J164" s="1">
        <f t="shared" ref="J164:K164" ca="1" si="13">J10+J21+J32+J43+J54+J65+J76+J87+J98+J109+J120+J131+J142+J153</f>
        <v>22.350065637288171</v>
      </c>
      <c r="K164" s="1">
        <f t="shared" ca="1" si="13"/>
        <v>22.632521296798672</v>
      </c>
      <c r="L164" s="4"/>
    </row>
    <row r="165" spans="1:20" x14ac:dyDescent="0.2">
      <c r="A165" t="str">
        <f t="shared" ca="1" si="0"/>
        <v>Local Train</v>
      </c>
      <c r="B165" s="4">
        <f t="shared" ref="B165:H165" ca="1" si="14">B22+B99</f>
        <v>20.753709268000001</v>
      </c>
      <c r="C165" s="4">
        <f t="shared" ca="1" si="14"/>
        <v>22.876386421999999</v>
      </c>
      <c r="D165" s="4">
        <f t="shared" ca="1" si="14"/>
        <v>24.337785656999998</v>
      </c>
      <c r="E165" s="4">
        <f t="shared" ca="1" si="14"/>
        <v>25.706260968999999</v>
      </c>
      <c r="F165" s="4">
        <f t="shared" ca="1" si="14"/>
        <v>26.868885234</v>
      </c>
      <c r="G165" s="4">
        <f t="shared" ca="1" si="14"/>
        <v>27.854195507</v>
      </c>
      <c r="H165" s="4">
        <f t="shared" ca="1" si="14"/>
        <v>28.70210265</v>
      </c>
      <c r="I165" s="1">
        <f t="shared" ref="I165" ca="1" si="15">I22+I99</f>
        <v>29.469055918721743</v>
      </c>
      <c r="J165" s="1">
        <f t="shared" ref="J165:K165" ca="1" si="16">J22+J99</f>
        <v>30.169542450352324</v>
      </c>
      <c r="K165" s="1">
        <f t="shared" ca="1" si="16"/>
        <v>30.829813233468869</v>
      </c>
    </row>
    <row r="166" spans="1:20" x14ac:dyDescent="0.2">
      <c r="A166" t="s">
        <v>16</v>
      </c>
      <c r="B166" s="4">
        <f t="shared" ref="B166:H166" ca="1" si="17">B12+B34+B45+B56+B67+B78+B89+B111+B122+B144+B155</f>
        <v>37.710964695899996</v>
      </c>
      <c r="C166" s="4">
        <f t="shared" ca="1" si="17"/>
        <v>37.329012476235398</v>
      </c>
      <c r="D166" s="4">
        <f t="shared" ca="1" si="17"/>
        <v>36.742155137467392</v>
      </c>
      <c r="E166" s="4">
        <f t="shared" ca="1" si="17"/>
        <v>36.426898530874588</v>
      </c>
      <c r="F166" s="4">
        <f t="shared" ca="1" si="17"/>
        <v>35.728005607430845</v>
      </c>
      <c r="G166" s="4">
        <f t="shared" ca="1" si="17"/>
        <v>35.27564638796111</v>
      </c>
      <c r="H166" s="4">
        <f t="shared" ca="1" si="17"/>
        <v>34.649936517300517</v>
      </c>
      <c r="I166" s="1">
        <f t="shared" ref="I166" ca="1" si="18">I12+I34+I45+I56+I67+I78+I89+I111+I122+I144+I155</f>
        <v>34.839523523476295</v>
      </c>
      <c r="J166" s="1">
        <f t="shared" ref="J166:K166" ca="1" si="19">J12+J34+J45+J56+J67+J78+J89+J111+J122+J144+J155</f>
        <v>34.923529819702111</v>
      </c>
      <c r="K166" s="1">
        <f t="shared" ca="1" si="19"/>
        <v>34.937375454590004</v>
      </c>
    </row>
    <row r="167" spans="1:20" x14ac:dyDescent="0.2">
      <c r="A167" t="str">
        <f ca="1">A13</f>
        <v>Local Ferry</v>
      </c>
      <c r="B167" s="4">
        <f t="shared" ref="B167:H168" ca="1" si="20">B13+B24+B35+B46+B57+B68+B79+B90+B101+B112+B123+B134+B145+B156</f>
        <v>4.9488267775000008</v>
      </c>
      <c r="C167" s="4">
        <f t="shared" ca="1" si="20"/>
        <v>6.0096234622055054</v>
      </c>
      <c r="D167" s="4">
        <f t="shared" ca="1" si="20"/>
        <v>6.9123394016052027</v>
      </c>
      <c r="E167" s="4">
        <f t="shared" ca="1" si="20"/>
        <v>7.6526412921637865</v>
      </c>
      <c r="F167" s="4">
        <f t="shared" ca="1" si="20"/>
        <v>8.3464629104712014</v>
      </c>
      <c r="G167" s="4">
        <f t="shared" ca="1" si="20"/>
        <v>9.2550752647248125</v>
      </c>
      <c r="H167" s="4">
        <f t="shared" ca="1" si="20"/>
        <v>10.161933049063952</v>
      </c>
      <c r="I167" s="1">
        <f t="shared" ref="I167" ca="1" si="21">I13+I24+I35+I46+I57+I68+I79+I90+I101+I112+I123+I134+I145+I156</f>
        <v>10.563973011136252</v>
      </c>
      <c r="J167" s="1">
        <f t="shared" ref="J167:K167" ca="1" si="22">J13+J24+J35+J46+J57+J68+J79+J90+J101+J112+J123+J134+J145+J156</f>
        <v>10.94810310228687</v>
      </c>
      <c r="K167" s="1">
        <f t="shared" ca="1" si="22"/>
        <v>11.322959760186579</v>
      </c>
    </row>
    <row r="168" spans="1:20" x14ac:dyDescent="0.2">
      <c r="A168" t="str">
        <f ca="1">A14</f>
        <v>Other Household Travel</v>
      </c>
      <c r="B168" s="4">
        <f t="shared" ca="1" si="20"/>
        <v>10.3599389081</v>
      </c>
      <c r="C168" s="4">
        <f t="shared" ca="1" si="20"/>
        <v>11.317784098693044</v>
      </c>
      <c r="D168" s="4">
        <f t="shared" ca="1" si="20"/>
        <v>12.12953843893148</v>
      </c>
      <c r="E168" s="4">
        <f t="shared" ca="1" si="20"/>
        <v>12.921763924799384</v>
      </c>
      <c r="F168" s="4">
        <f t="shared" ca="1" si="20"/>
        <v>13.742634240116875</v>
      </c>
      <c r="G168" s="4">
        <f t="shared" ca="1" si="20"/>
        <v>14.584925315278587</v>
      </c>
      <c r="H168" s="4">
        <f t="shared" ca="1" si="20"/>
        <v>15.330499685722703</v>
      </c>
      <c r="I168" s="1">
        <f t="shared" ref="I168" ca="1" si="23">I14+I25+I36+I47+I58+I69+I80+I91+I102+I113+I124+I135+I146+I157</f>
        <v>15.630966786071617</v>
      </c>
      <c r="J168" s="1">
        <f t="shared" ref="J168:K168" ca="1" si="24">J14+J25+J36+J47+J58+J69+J80+J91+J102+J113+J124+J135+J146+J157</f>
        <v>15.891327074313295</v>
      </c>
      <c r="K168" s="1">
        <f t="shared" ca="1" si="24"/>
        <v>16.126089319957757</v>
      </c>
    </row>
    <row r="169" spans="1:20" x14ac:dyDescent="0.2">
      <c r="A169" s="59" t="s">
        <v>109</v>
      </c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 t="s">
        <v>110</v>
      </c>
      <c r="N169" s="59"/>
      <c r="O169" s="59"/>
      <c r="P169" s="59"/>
      <c r="Q169" s="59"/>
      <c r="R169" s="59"/>
      <c r="S169" s="59"/>
      <c r="T169" s="59"/>
    </row>
    <row r="170" spans="1:20" x14ac:dyDescent="0.2">
      <c r="A170" s="59" t="str">
        <f t="shared" ref="A170:A179" ca="1" si="25">A16</f>
        <v>Pedestrian</v>
      </c>
      <c r="B170" s="60">
        <f ca="1">B181*1000000/'Original Population'!B$158</f>
        <v>222.12034471584565</v>
      </c>
      <c r="C170" s="60">
        <f ca="1">(C181*1000000/'Original Population'!C$158)</f>
        <v>220.79695871210873</v>
      </c>
      <c r="D170" s="60">
        <f ca="1">(D181*1000000/'Original Population'!D$158)</f>
        <v>219.38403309753241</v>
      </c>
      <c r="E170" s="60">
        <f ca="1">(E181*1000000/'Original Population'!E$158)</f>
        <v>217.83916562955849</v>
      </c>
      <c r="F170" s="60">
        <f ca="1">(F181*1000000/'Original Population'!F$158)</f>
        <v>215.55408882140918</v>
      </c>
      <c r="G170" s="60">
        <f ca="1">(G181*1000000/'Original Population'!G$158)</f>
        <v>213.56288709507874</v>
      </c>
      <c r="H170" s="60">
        <f ca="1">(H181*1000000/'Original Population'!H$158)</f>
        <v>211.53327929213663</v>
      </c>
      <c r="I170" s="60">
        <f ca="1">H170</f>
        <v>211.53327929213663</v>
      </c>
      <c r="J170" s="60">
        <f t="shared" ref="J170:K170" ca="1" si="26">I170</f>
        <v>211.53327929213663</v>
      </c>
      <c r="K170" s="60">
        <f t="shared" ca="1" si="26"/>
        <v>211.53327929213663</v>
      </c>
      <c r="L170" s="60"/>
      <c r="M170" s="60">
        <f ca="1">B159*'Total Trip Tables Sup #2'!B159*1000000/'Updated Population'!B$158</f>
        <v>222.12034471584565</v>
      </c>
      <c r="N170" s="60">
        <f ca="1">C159*'Total Trip Tables Sup #2'!C159*1000000/'Updated Population'!C$158</f>
        <v>220.79695871210873</v>
      </c>
      <c r="O170" s="60">
        <f ca="1">D159*'Total Trip Tables Sup #2'!D159*1000000/'Updated Population'!D$158</f>
        <v>219.38403309753247</v>
      </c>
      <c r="P170" s="60">
        <f ca="1">E159*'Total Trip Tables Sup #2'!E159*1000000/'Updated Population'!E$158</f>
        <v>217.83916562955849</v>
      </c>
      <c r="Q170" s="60">
        <f ca="1">F159*'Total Trip Tables Sup #2'!F159*1000000/'Updated Population'!F$158</f>
        <v>215.55408882140912</v>
      </c>
      <c r="R170" s="60">
        <f ca="1">G159*'Total Trip Tables Sup #2'!G159*1000000/'Updated Population'!G$158</f>
        <v>213.56288709507871</v>
      </c>
      <c r="S170" s="60">
        <f ca="1">H159*'Total Trip Tables Sup #2'!H159*1000000/'Updated Population'!H$158</f>
        <v>211.53327929213663</v>
      </c>
      <c r="T170" s="59"/>
    </row>
    <row r="171" spans="1:20" x14ac:dyDescent="0.2">
      <c r="A171" s="59" t="str">
        <f t="shared" ca="1" si="25"/>
        <v>Cyclist</v>
      </c>
      <c r="B171" s="60">
        <f ca="1">B182*1000000/'Original Population'!B$158</f>
        <v>16.001962400576371</v>
      </c>
      <c r="C171" s="60">
        <f ca="1">(C182*1000000/'Original Population'!C$158)</f>
        <v>15.749187765803415</v>
      </c>
      <c r="D171" s="60">
        <f ca="1">(D182*1000000/'Original Population'!D$158)</f>
        <v>15.404560500677027</v>
      </c>
      <c r="E171" s="60">
        <f ca="1">(E182*1000000/'Original Population'!E$158)</f>
        <v>15.059683308471611</v>
      </c>
      <c r="F171" s="60">
        <f ca="1">(F182*1000000/'Original Population'!F$158)</f>
        <v>14.783535592929805</v>
      </c>
      <c r="G171" s="60">
        <f ca="1">(G182*1000000/'Original Population'!G$158)</f>
        <v>14.578889798166806</v>
      </c>
      <c r="H171" s="60">
        <f ca="1">(H182*1000000/'Original Population'!H$158)</f>
        <v>14.408362643168759</v>
      </c>
      <c r="I171" s="60">
        <f t="shared" ref="I171:K179" ca="1" si="27">H171</f>
        <v>14.408362643168759</v>
      </c>
      <c r="J171" s="60">
        <f t="shared" ca="1" si="27"/>
        <v>14.408362643168759</v>
      </c>
      <c r="K171" s="60">
        <f t="shared" ca="1" si="27"/>
        <v>14.408362643168759</v>
      </c>
      <c r="L171" s="60"/>
      <c r="M171" s="60">
        <f ca="1">B160*'Total Trip Tables Sup #2'!B160*1000000/'Updated Population'!B$158</f>
        <v>16.001962400576371</v>
      </c>
      <c r="N171" s="60">
        <f ca="1">C160*'Total Trip Tables Sup #2'!C160*1000000/'Updated Population'!C$158</f>
        <v>15.749187765803413</v>
      </c>
      <c r="O171" s="60">
        <f ca="1">D160*'Total Trip Tables Sup #2'!D160*1000000/'Updated Population'!D$158</f>
        <v>15.404560500677023</v>
      </c>
      <c r="P171" s="60">
        <f ca="1">E160*'Total Trip Tables Sup #2'!E160*1000000/'Updated Population'!E$158</f>
        <v>15.059683308471607</v>
      </c>
      <c r="Q171" s="60">
        <f ca="1">F160*'Total Trip Tables Sup #2'!F160*1000000/'Updated Population'!F$158</f>
        <v>14.783535592929805</v>
      </c>
      <c r="R171" s="60">
        <f ca="1">G160*'Total Trip Tables Sup #2'!G160*1000000/'Updated Population'!G$158</f>
        <v>14.578889798166806</v>
      </c>
      <c r="S171" s="60">
        <f ca="1">H160*'Total Trip Tables Sup #2'!H160*1000000/'Updated Population'!H$158</f>
        <v>14.408362643168759</v>
      </c>
      <c r="T171" s="59"/>
    </row>
    <row r="172" spans="1:20" x14ac:dyDescent="0.2">
      <c r="A172" s="59" t="str">
        <f t="shared" ca="1" si="25"/>
        <v>Light Vehicle Driver</v>
      </c>
      <c r="B172" s="60">
        <f ca="1">B183*1000000/'Original Population'!B$158</f>
        <v>696.45820401882213</v>
      </c>
      <c r="C172" s="60">
        <f ca="1">C183*1000000/'Original Population'!C$158</f>
        <v>710.83470379872927</v>
      </c>
      <c r="D172" s="60">
        <f ca="1">D183*1000000/'Original Population'!D$158</f>
        <v>717.70320702956678</v>
      </c>
      <c r="E172" s="60">
        <f ca="1">E183*1000000/'Original Population'!E$158</f>
        <v>717.65554323066476</v>
      </c>
      <c r="F172" s="60">
        <f ca="1">F183*1000000/'Original Population'!F$158</f>
        <v>718.20347804342509</v>
      </c>
      <c r="G172" s="60">
        <f ca="1">G183*1000000/'Original Population'!G$158</f>
        <v>715.94217329683931</v>
      </c>
      <c r="H172" s="60">
        <f ca="1">H183*1000000/'Original Population'!H$158</f>
        <v>713.61329940785276</v>
      </c>
      <c r="I172" s="60">
        <f t="shared" ca="1" si="27"/>
        <v>713.61329940785276</v>
      </c>
      <c r="J172" s="60">
        <f t="shared" ca="1" si="27"/>
        <v>713.61329940785276</v>
      </c>
      <c r="K172" s="60">
        <f t="shared" ca="1" si="27"/>
        <v>713.61329940785276</v>
      </c>
      <c r="L172" s="60"/>
      <c r="M172" s="60">
        <f ca="1">B161*'Total Trip Tables Sup #2'!B161*1000000/'Updated Population'!B$158</f>
        <v>696.45820401882213</v>
      </c>
      <c r="N172" s="60">
        <f ca="1">C161*'Total Trip Tables Sup #2'!C161*1000000/'Updated Population'!C$158</f>
        <v>710.83470379872927</v>
      </c>
      <c r="O172" s="60">
        <f ca="1">D161*'Total Trip Tables Sup #2'!D161*1000000/'Updated Population'!D$158</f>
        <v>717.70320702956678</v>
      </c>
      <c r="P172" s="60">
        <f ca="1">E161*'Total Trip Tables Sup #2'!E161*1000000/'Updated Population'!E$158</f>
        <v>717.65554323066476</v>
      </c>
      <c r="Q172" s="60">
        <f ca="1">F161*'Total Trip Tables Sup #2'!F161*1000000/'Updated Population'!F$158</f>
        <v>718.20347804342509</v>
      </c>
      <c r="R172" s="60">
        <f ca="1">G161*'Total Trip Tables Sup #2'!G161*1000000/'Updated Population'!G$158</f>
        <v>715.9421732968392</v>
      </c>
      <c r="S172" s="60">
        <f ca="1">H161*'Total Trip Tables Sup #2'!H161*1000000/'Updated Population'!H$158</f>
        <v>713.61329940785265</v>
      </c>
      <c r="T172" s="59"/>
    </row>
    <row r="173" spans="1:20" x14ac:dyDescent="0.2">
      <c r="A173" s="59" t="str">
        <f t="shared" ca="1" si="25"/>
        <v>Light Vehicle Passenger</v>
      </c>
      <c r="B173" s="60">
        <f ca="1">B184*1000000/'Original Population'!B$158</f>
        <v>340.62899958731089</v>
      </c>
      <c r="C173" s="60">
        <f ca="1">C184*1000000/'Original Population'!C$158</f>
        <v>330.644514226345</v>
      </c>
      <c r="D173" s="60">
        <f ca="1">D184*1000000/'Original Population'!D$158</f>
        <v>323.85355629849852</v>
      </c>
      <c r="E173" s="60">
        <f ca="1">E184*1000000/'Original Population'!E$158</f>
        <v>317.25499079953426</v>
      </c>
      <c r="F173" s="60">
        <f ca="1">F184*1000000/'Original Population'!F$158</f>
        <v>311.87812610406723</v>
      </c>
      <c r="G173" s="60">
        <f ca="1">G184*1000000/'Original Population'!G$158</f>
        <v>306.89882226985048</v>
      </c>
      <c r="H173" s="60">
        <f ca="1">H184*1000000/'Original Population'!H$158</f>
        <v>301.65925727872951</v>
      </c>
      <c r="I173" s="60">
        <f t="shared" ca="1" si="27"/>
        <v>301.65925727872951</v>
      </c>
      <c r="J173" s="60">
        <f t="shared" ca="1" si="27"/>
        <v>301.65925727872951</v>
      </c>
      <c r="K173" s="60">
        <f t="shared" ca="1" si="27"/>
        <v>301.65925727872951</v>
      </c>
      <c r="L173" s="60"/>
      <c r="M173" s="60">
        <f ca="1">B162*'Total Trip Tables Sup #2'!B162*1000000/'Updated Population'!B$158</f>
        <v>340.62899958731089</v>
      </c>
      <c r="N173" s="60">
        <f ca="1">C162*'Total Trip Tables Sup #2'!C162*1000000/'Updated Population'!C$158</f>
        <v>330.644514226345</v>
      </c>
      <c r="O173" s="60">
        <f ca="1">D162*'Total Trip Tables Sup #2'!D162*1000000/'Updated Population'!D$158</f>
        <v>323.85355629849846</v>
      </c>
      <c r="P173" s="60">
        <f ca="1">E162*'Total Trip Tables Sup #2'!E162*1000000/'Updated Population'!E$158</f>
        <v>317.25499079953426</v>
      </c>
      <c r="Q173" s="60">
        <f ca="1">F162*'Total Trip Tables Sup #2'!F162*1000000/'Updated Population'!F$158</f>
        <v>311.87812610406723</v>
      </c>
      <c r="R173" s="60">
        <f ca="1">G162*'Total Trip Tables Sup #2'!G162*1000000/'Updated Population'!G$158</f>
        <v>306.89882226985054</v>
      </c>
      <c r="S173" s="60">
        <f ca="1">H162*'Total Trip Tables Sup #2'!H162*1000000/'Updated Population'!H$158</f>
        <v>301.65925727872951</v>
      </c>
      <c r="T173" s="59"/>
    </row>
    <row r="174" spans="1:20" x14ac:dyDescent="0.2">
      <c r="A174" s="59" t="str">
        <f t="shared" ca="1" si="25"/>
        <v>Taxi/Vehicle Share</v>
      </c>
      <c r="B174" s="60">
        <f ca="1">B185*1000000/'Original Population'!B$158</f>
        <v>3.5122774966453529</v>
      </c>
      <c r="C174" s="60">
        <f ca="1">C185*1000000/'Original Population'!C$158</f>
        <v>3.7520589884970139</v>
      </c>
      <c r="D174" s="60">
        <f ca="1">D185*1000000/'Original Population'!D$158</f>
        <v>3.9410682892423345</v>
      </c>
      <c r="E174" s="60">
        <f ca="1">E185*1000000/'Original Population'!E$158</f>
        <v>4.1163933302668614</v>
      </c>
      <c r="F174" s="60">
        <f ca="1">F185*1000000/'Original Population'!F$158</f>
        <v>4.2664629828958951</v>
      </c>
      <c r="G174" s="60">
        <f ca="1">G185*1000000/'Original Population'!G$158</f>
        <v>4.3804784745753462</v>
      </c>
      <c r="H174" s="60">
        <f ca="1">H185*1000000/'Original Population'!H$158</f>
        <v>4.4979316890473147</v>
      </c>
      <c r="I174" s="60">
        <f t="shared" ca="1" si="27"/>
        <v>4.4979316890473147</v>
      </c>
      <c r="J174" s="60">
        <f t="shared" ca="1" si="27"/>
        <v>4.4979316890473147</v>
      </c>
      <c r="K174" s="60">
        <f t="shared" ca="1" si="27"/>
        <v>4.4979316890473147</v>
      </c>
      <c r="L174" s="60"/>
      <c r="M174" s="60">
        <f ca="1">B163*'Total Trip Tables Sup #2'!B163*1000000/'Updated Population'!B$158</f>
        <v>3.5122774966453529</v>
      </c>
      <c r="N174" s="60">
        <f ca="1">C163*'Total Trip Tables Sup #2'!C163*1000000/'Updated Population'!C$158</f>
        <v>3.7520589884970139</v>
      </c>
      <c r="O174" s="60">
        <f ca="1">D163*'Total Trip Tables Sup #2'!D163*1000000/'Updated Population'!D$158</f>
        <v>3.9410682892423345</v>
      </c>
      <c r="P174" s="60">
        <f ca="1">E163*'Total Trip Tables Sup #2'!E163*1000000/'Updated Population'!E$158</f>
        <v>4.1163933302668614</v>
      </c>
      <c r="Q174" s="60">
        <f ca="1">F163*'Total Trip Tables Sup #2'!F163*1000000/'Updated Population'!F$158</f>
        <v>4.2664629828958951</v>
      </c>
      <c r="R174" s="60">
        <f ca="1">G163*'Total Trip Tables Sup #2'!G163*1000000/'Updated Population'!G$158</f>
        <v>4.3804784745753453</v>
      </c>
      <c r="S174" s="60">
        <f ca="1">H163*'Total Trip Tables Sup #2'!H163*1000000/'Updated Population'!H$158</f>
        <v>4.4979316890473147</v>
      </c>
      <c r="T174" s="59"/>
    </row>
    <row r="175" spans="1:20" x14ac:dyDescent="0.2">
      <c r="A175" s="59" t="str">
        <f t="shared" ca="1" si="25"/>
        <v>Motorcyclist</v>
      </c>
      <c r="B175" s="60">
        <f ca="1">B186*1000000/'Original Population'!B$158</f>
        <v>4.3390408466543589</v>
      </c>
      <c r="C175" s="60">
        <f ca="1">C186*1000000/'Original Population'!C$158</f>
        <v>4.3090854777855174</v>
      </c>
      <c r="D175" s="60">
        <f ca="1">D186*1000000/'Original Population'!D$158</f>
        <v>4.2511583091893854</v>
      </c>
      <c r="E175" s="60">
        <f ca="1">E186*1000000/'Original Population'!E$158</f>
        <v>4.1612280107132467</v>
      </c>
      <c r="F175" s="60">
        <f ca="1">F186*1000000/'Original Population'!F$158</f>
        <v>4.0752567376683713</v>
      </c>
      <c r="G175" s="60">
        <f ca="1">G186*1000000/'Original Population'!G$158</f>
        <v>3.9463720281162473</v>
      </c>
      <c r="H175" s="60">
        <f ca="1">H186*1000000/'Original Population'!H$158</f>
        <v>3.8160063852238064</v>
      </c>
      <c r="I175" s="60">
        <f t="shared" ca="1" si="27"/>
        <v>3.8160063852238064</v>
      </c>
      <c r="J175" s="60">
        <f t="shared" ca="1" si="27"/>
        <v>3.8160063852238064</v>
      </c>
      <c r="K175" s="60">
        <f t="shared" ca="1" si="27"/>
        <v>3.8160063852238064</v>
      </c>
      <c r="L175" s="60"/>
      <c r="M175" s="60">
        <f ca="1">B164*'Total Trip Tables Sup #2'!B164*1000000/'Updated Population'!B$158</f>
        <v>4.3390408466543589</v>
      </c>
      <c r="N175" s="60">
        <f ca="1">C164*'Total Trip Tables Sup #2'!C164*1000000/'Updated Population'!C$158</f>
        <v>4.3090854777855174</v>
      </c>
      <c r="O175" s="60">
        <f ca="1">D164*'Total Trip Tables Sup #2'!D164*1000000/'Updated Population'!D$158</f>
        <v>4.2511583091893863</v>
      </c>
      <c r="P175" s="60">
        <f ca="1">E164*'Total Trip Tables Sup #2'!E164*1000000/'Updated Population'!E$158</f>
        <v>4.1612280107132467</v>
      </c>
      <c r="Q175" s="60">
        <f ca="1">F164*'Total Trip Tables Sup #2'!F164*1000000/'Updated Population'!F$158</f>
        <v>4.0752567376683722</v>
      </c>
      <c r="R175" s="60">
        <f ca="1">G164*'Total Trip Tables Sup #2'!G164*1000000/'Updated Population'!G$158</f>
        <v>3.9463720281162469</v>
      </c>
      <c r="S175" s="60">
        <f ca="1">H164*'Total Trip Tables Sup #2'!H164*1000000/'Updated Population'!H$158</f>
        <v>3.8160063852238064</v>
      </c>
      <c r="T175" s="59"/>
    </row>
    <row r="176" spans="1:20" x14ac:dyDescent="0.2">
      <c r="A176" s="59" t="str">
        <f t="shared" ca="1" si="25"/>
        <v>Local Train</v>
      </c>
      <c r="B176" s="60">
        <f ca="1">B187*1000000/'Original Population'!B$158</f>
        <v>4.6725750333213263</v>
      </c>
      <c r="C176" s="60">
        <f ca="1">C187*1000000/'Original Population'!C$158</f>
        <v>4.8283810173283515</v>
      </c>
      <c r="D176" s="60">
        <f ca="1">D187*1000000/'Original Population'!D$158</f>
        <v>4.9186123273579749</v>
      </c>
      <c r="E176" s="60">
        <f ca="1">E187*1000000/'Original Population'!E$158</f>
        <v>4.9890850983017954</v>
      </c>
      <c r="F176" s="60">
        <f ca="1">F187*1000000/'Original Population'!F$158</f>
        <v>5.0336059562749398</v>
      </c>
      <c r="G176" s="60">
        <f ca="1">G187*1000000/'Original Population'!G$158</f>
        <v>5.0656886311060996</v>
      </c>
      <c r="H176" s="60">
        <f ca="1">H187*1000000/'Original Population'!H$158</f>
        <v>5.0901082943179405</v>
      </c>
      <c r="I176" s="60">
        <f t="shared" ca="1" si="27"/>
        <v>5.0901082943179405</v>
      </c>
      <c r="J176" s="60">
        <f t="shared" ca="1" si="27"/>
        <v>5.0901082943179405</v>
      </c>
      <c r="K176" s="60">
        <f t="shared" ca="1" si="27"/>
        <v>5.0901082943179405</v>
      </c>
      <c r="L176" s="60"/>
      <c r="M176" s="60">
        <f ca="1">B165*'Total Trip Tables Sup #2'!B165*1000000/'Updated Population'!B$158</f>
        <v>4.6725750333213263</v>
      </c>
      <c r="N176" s="60">
        <f ca="1">C165*'Total Trip Tables Sup #2'!C165*1000000/'Updated Population'!C$158</f>
        <v>4.8283810173283515</v>
      </c>
      <c r="O176" s="60">
        <f ca="1">D165*'Total Trip Tables Sup #2'!D165*1000000/'Updated Population'!D$158</f>
        <v>4.9186123273579749</v>
      </c>
      <c r="P176" s="60">
        <f ca="1">E165*'Total Trip Tables Sup #2'!E165*1000000/'Updated Population'!E$158</f>
        <v>4.9890850983017954</v>
      </c>
      <c r="Q176" s="60">
        <f ca="1">F165*'Total Trip Tables Sup #2'!F165*1000000/'Updated Population'!F$158</f>
        <v>5.0336059562749398</v>
      </c>
      <c r="R176" s="60">
        <f ca="1">G165*'Total Trip Tables Sup #2'!G165*1000000/'Updated Population'!G$158</f>
        <v>5.0656886311061005</v>
      </c>
      <c r="S176" s="60">
        <f ca="1">H165*'Total Trip Tables Sup #2'!H165*1000000/'Updated Population'!H$158</f>
        <v>5.0901082943179405</v>
      </c>
      <c r="T176" s="59"/>
    </row>
    <row r="177" spans="1:20" x14ac:dyDescent="0.2">
      <c r="A177" s="59" t="s">
        <v>16</v>
      </c>
      <c r="B177" s="60">
        <f ca="1">B188*1000000/'Original Population'!B$169</f>
        <v>19.860419578628605</v>
      </c>
      <c r="C177" s="60">
        <f ca="1">C188*1000000/'Original Population'!C$169</f>
        <v>18.461112462785628</v>
      </c>
      <c r="D177" s="60">
        <f ca="1">D188*1000000/'Original Population'!D$169</f>
        <v>17.540902690289105</v>
      </c>
      <c r="E177" s="60">
        <f ca="1">E188*1000000/'Original Population'!E$169</f>
        <v>16.951011818151031</v>
      </c>
      <c r="F177" s="60">
        <f ca="1">F188*1000000/'Original Population'!F$169</f>
        <v>16.308403015048338</v>
      </c>
      <c r="G177" s="60">
        <f ca="1">G188*1000000/'Original Population'!G$169</f>
        <v>15.893248896538715</v>
      </c>
      <c r="H177" s="60">
        <f ca="1">H188*1000000/'Original Population'!H$169</f>
        <v>15.475307281204561</v>
      </c>
      <c r="I177" s="60">
        <f t="shared" ca="1" si="27"/>
        <v>15.475307281204561</v>
      </c>
      <c r="J177" s="60">
        <f t="shared" ca="1" si="27"/>
        <v>15.475307281204561</v>
      </c>
      <c r="K177" s="60">
        <f t="shared" ca="1" si="27"/>
        <v>15.475307281204561</v>
      </c>
      <c r="L177" s="60"/>
      <c r="M177" s="60">
        <f ca="1">B166*'Total Trip Tables Sup #2'!B166*1000000/'Updated Population'!B$169</f>
        <v>19.860419578628605</v>
      </c>
      <c r="N177" s="60">
        <f ca="1">C166*'Total Trip Tables Sup #2'!C166*1000000/'Updated Population'!C$169</f>
        <v>18.461112462785628</v>
      </c>
      <c r="O177" s="60">
        <f ca="1">D166*'Total Trip Tables Sup #2'!D166*1000000/'Updated Population'!D$169</f>
        <v>17.540902690289105</v>
      </c>
      <c r="P177" s="60">
        <f ca="1">E166*'Total Trip Tables Sup #2'!E166*1000000/'Updated Population'!E$169</f>
        <v>16.951011818151034</v>
      </c>
      <c r="Q177" s="60">
        <f ca="1">F166*'Total Trip Tables Sup #2'!F166*1000000/'Updated Population'!F$169</f>
        <v>16.308403015048334</v>
      </c>
      <c r="R177" s="60">
        <f ca="1">G166*'Total Trip Tables Sup #2'!G166*1000000/'Updated Population'!G$169</f>
        <v>15.89324889653871</v>
      </c>
      <c r="S177" s="60">
        <f ca="1">H166*'Total Trip Tables Sup #2'!H166*1000000/'Updated Population'!H$169</f>
        <v>15.475307281204559</v>
      </c>
      <c r="T177" s="59"/>
    </row>
    <row r="178" spans="1:20" x14ac:dyDescent="0.2">
      <c r="A178" s="59" t="str">
        <f t="shared" ca="1" si="25"/>
        <v>Local Ferry</v>
      </c>
      <c r="B178" s="60">
        <f ca="1">B189*1000000/'Original Population'!B$158</f>
        <v>1.1141991123694166</v>
      </c>
      <c r="C178" s="60">
        <f ca="1">C189*1000000/'Original Population'!C$158</f>
        <v>1.1976048883471582</v>
      </c>
      <c r="D178" s="60">
        <f ca="1">D189*1000000/'Original Population'!D$158</f>
        <v>1.2670484221620422</v>
      </c>
      <c r="E178" s="60">
        <f ca="1">E189*1000000/'Original Population'!E$158</f>
        <v>1.3163419635128577</v>
      </c>
      <c r="F178" s="60">
        <f ca="1">F189*1000000/'Original Population'!F$158</f>
        <v>1.3582285169261321</v>
      </c>
      <c r="G178" s="60">
        <f ca="1">G189*1000000/'Original Population'!G$158</f>
        <v>1.4362709532972029</v>
      </c>
      <c r="H178" s="60">
        <f ca="1">H189*1000000/'Original Population'!H$158</f>
        <v>1.5119465463751152</v>
      </c>
      <c r="I178" s="60">
        <f t="shared" ca="1" si="27"/>
        <v>1.5119465463751152</v>
      </c>
      <c r="J178" s="60">
        <f t="shared" ca="1" si="27"/>
        <v>1.5119465463751152</v>
      </c>
      <c r="K178" s="60">
        <f t="shared" ca="1" si="27"/>
        <v>1.5119465463751152</v>
      </c>
      <c r="L178" s="60"/>
      <c r="M178" s="60">
        <f ca="1">B167*'Total Trip Tables Sup #2'!B167*1000000/'Updated Population'!B$158</f>
        <v>1.1141991123694166</v>
      </c>
      <c r="N178" s="60">
        <f ca="1">C167*'Total Trip Tables Sup #2'!C167*1000000/'Updated Population'!C$158</f>
        <v>1.1976048883471584</v>
      </c>
      <c r="O178" s="60">
        <f ca="1">D167*'Total Trip Tables Sup #2'!D167*1000000/'Updated Population'!D$158</f>
        <v>1.2670484221620422</v>
      </c>
      <c r="P178" s="60">
        <f ca="1">E167*'Total Trip Tables Sup #2'!E167*1000000/'Updated Population'!E$158</f>
        <v>1.3163419635128577</v>
      </c>
      <c r="Q178" s="60">
        <f ca="1">F167*'Total Trip Tables Sup #2'!F167*1000000/'Updated Population'!F$158</f>
        <v>1.3582285169261323</v>
      </c>
      <c r="R178" s="60">
        <f ca="1">G167*'Total Trip Tables Sup #2'!G167*1000000/'Updated Population'!G$158</f>
        <v>1.4362709532972029</v>
      </c>
      <c r="S178" s="60">
        <f ca="1">H167*'Total Trip Tables Sup #2'!H167*1000000/'Updated Population'!H$158</f>
        <v>1.5119465463751152</v>
      </c>
      <c r="T178" s="59"/>
    </row>
    <row r="179" spans="1:20" x14ac:dyDescent="0.2">
      <c r="A179" s="59" t="str">
        <f t="shared" ca="1" si="25"/>
        <v>Other Household Travel</v>
      </c>
      <c r="B179" s="60">
        <f ca="1">B190*1000000/'Original Population'!B$158</f>
        <v>2.3324790409086815</v>
      </c>
      <c r="C179" s="60">
        <f ca="1">C190*1000000/'Original Population'!C$158</f>
        <v>2.3388326502881016</v>
      </c>
      <c r="D179" s="60">
        <f ca="1">D190*1000000/'Original Population'!D$158</f>
        <v>2.3752958272468216</v>
      </c>
      <c r="E179" s="60">
        <f ca="1">E190*1000000/'Original Population'!E$158</f>
        <v>2.431208079165454</v>
      </c>
      <c r="F179" s="60">
        <f ca="1">F190*1000000/'Original Population'!F$158</f>
        <v>2.5002642578354783</v>
      </c>
      <c r="G179" s="60">
        <f ca="1">G190*1000000/'Original Population'!G$158</f>
        <v>2.5825366337067619</v>
      </c>
      <c r="H179" s="60">
        <f ca="1">H190*1000000/'Original Population'!H$158</f>
        <v>2.6540362629637508</v>
      </c>
      <c r="I179" s="60">
        <f t="shared" ca="1" si="27"/>
        <v>2.6540362629637508</v>
      </c>
      <c r="J179" s="60">
        <f t="shared" ca="1" si="27"/>
        <v>2.6540362629637508</v>
      </c>
      <c r="K179" s="60">
        <f t="shared" ca="1" si="27"/>
        <v>2.6540362629637508</v>
      </c>
      <c r="L179" s="60"/>
      <c r="M179" s="60">
        <f ca="1">B168*'Total Trip Tables Sup #2'!B168*1000000/'Updated Population'!B$158</f>
        <v>2.3324790409086815</v>
      </c>
      <c r="N179" s="60">
        <f ca="1">C168*'Total Trip Tables Sup #2'!C168*1000000/'Updated Population'!C$158</f>
        <v>2.3388326502881016</v>
      </c>
      <c r="O179" s="60">
        <f ca="1">D168*'Total Trip Tables Sup #2'!D168*1000000/'Updated Population'!D$158</f>
        <v>2.3752958272468216</v>
      </c>
      <c r="P179" s="60">
        <f ca="1">E168*'Total Trip Tables Sup #2'!E168*1000000/'Updated Population'!E$158</f>
        <v>2.431208079165454</v>
      </c>
      <c r="Q179" s="60">
        <f ca="1">F168*'Total Trip Tables Sup #2'!F168*1000000/'Updated Population'!F$158</f>
        <v>2.5002642578354783</v>
      </c>
      <c r="R179" s="60">
        <f ca="1">G168*'Total Trip Tables Sup #2'!G168*1000000/'Updated Population'!G$158</f>
        <v>2.5825366337067619</v>
      </c>
      <c r="S179" s="60">
        <f ca="1">H168*'Total Trip Tables Sup #2'!H168*1000000/'Updated Population'!H$158</f>
        <v>2.6540362629637504</v>
      </c>
      <c r="T179" s="59"/>
    </row>
    <row r="180" spans="1:20" x14ac:dyDescent="0.2">
      <c r="A180" t="s">
        <v>21</v>
      </c>
    </row>
    <row r="181" spans="1:20" x14ac:dyDescent="0.2">
      <c r="A181" t="str">
        <f t="shared" ref="A181:A187" ca="1" si="28">A27</f>
        <v>Pedestrian</v>
      </c>
      <c r="B181" s="4">
        <f ca="1">'Total Trip Tables Original'!B159</f>
        <v>986.56972308989998</v>
      </c>
      <c r="C181" s="4">
        <f ca="1">'Total Trip Tables Original'!C159</f>
        <v>1046.1139106820999</v>
      </c>
      <c r="D181" s="4">
        <f ca="1">'Total Trip Tables Original'!D159</f>
        <v>1085.5341341699002</v>
      </c>
      <c r="E181" s="4">
        <f ca="1">'Total Trip Tables Original'!E159</f>
        <v>1122.4163009063</v>
      </c>
      <c r="F181" s="4">
        <f ca="1">'Total Trip Tables Original'!F159</f>
        <v>1150.6061707198</v>
      </c>
      <c r="G181" s="4">
        <f ca="1">'Total Trip Tables Original'!G159</f>
        <v>1174.2968909809999</v>
      </c>
      <c r="H181" s="4">
        <f ca="1">'Total Trip Tables Original'!H159</f>
        <v>1192.7938552725</v>
      </c>
      <c r="I181" s="4">
        <f ca="1">'Total Trip Tables Original'!I159</f>
        <v>1220.5193048294836</v>
      </c>
      <c r="J181" s="4">
        <f ca="1">'Total Trip Tables Original'!J159</f>
        <v>1245.302929830377</v>
      </c>
      <c r="K181" s="4">
        <f ca="1">'Total Trip Tables Original'!K159</f>
        <v>1268.253459856179</v>
      </c>
    </row>
    <row r="182" spans="1:20" x14ac:dyDescent="0.2">
      <c r="A182" t="str">
        <f t="shared" ca="1" si="28"/>
        <v>Cyclist</v>
      </c>
      <c r="B182" s="4">
        <f ca="1">'Total Trip Tables Original'!B160</f>
        <v>71.074316198400012</v>
      </c>
      <c r="C182" s="4">
        <f ca="1">'Total Trip Tables Original'!C160</f>
        <v>74.618076715599997</v>
      </c>
      <c r="D182" s="4">
        <f ca="1">'Total Trip Tables Original'!D160</f>
        <v>76.223305813400003</v>
      </c>
      <c r="E182" s="4">
        <f ca="1">'Total Trip Tables Original'!E160</f>
        <v>77.595018246899983</v>
      </c>
      <c r="F182" s="4">
        <f ca="1">'Total Trip Tables Original'!F160</f>
        <v>78.913034641500005</v>
      </c>
      <c r="G182" s="4">
        <f ca="1">'Total Trip Tables Original'!G160</f>
        <v>80.163483444199997</v>
      </c>
      <c r="H182" s="4">
        <f ca="1">'Total Trip Tables Original'!H160</f>
        <v>81.245875272299998</v>
      </c>
      <c r="I182" s="4">
        <f ca="1">'Total Trip Tables Original'!I160</f>
        <v>82.64929014491112</v>
      </c>
      <c r="J182" s="4">
        <f ca="1">'Total Trip Tables Original'!J160</f>
        <v>83.829258726215187</v>
      </c>
      <c r="K182" s="4">
        <f ca="1">'Total Trip Tables Original'!K160</f>
        <v>84.863449291769541</v>
      </c>
    </row>
    <row r="183" spans="1:20" x14ac:dyDescent="0.2">
      <c r="A183" t="str">
        <f t="shared" ca="1" si="28"/>
        <v>Light Vehicle Driver</v>
      </c>
      <c r="B183" s="4">
        <f ca="1">'Total Trip Tables Original'!B161</f>
        <v>3093.3887589700003</v>
      </c>
      <c r="C183" s="4">
        <f ca="1">'Total Trip Tables Original'!C161</f>
        <v>3367.8637431279994</v>
      </c>
      <c r="D183" s="4">
        <f ca="1">'Total Trip Tables Original'!D161</f>
        <v>3551.2672387029997</v>
      </c>
      <c r="E183" s="4">
        <f ca="1">'Total Trip Tables Original'!E161</f>
        <v>3697.7201864960002</v>
      </c>
      <c r="F183" s="4">
        <f ca="1">'Total Trip Tables Original'!F161</f>
        <v>3833.6983454479991</v>
      </c>
      <c r="G183" s="4">
        <f ca="1">'Total Trip Tables Original'!G161</f>
        <v>3936.6796340900005</v>
      </c>
      <c r="H183" s="4">
        <f ca="1">'Total Trip Tables Original'!H161</f>
        <v>4023.922672701</v>
      </c>
      <c r="I183" s="4">
        <f ca="1">'Total Trip Tables Original'!I161</f>
        <v>4114.919124420433</v>
      </c>
      <c r="J183" s="4">
        <f ca="1">'Total Trip Tables Original'!J161</f>
        <v>4195.9393198064881</v>
      </c>
      <c r="K183" s="4">
        <f ca="1">'Total Trip Tables Original'!K161</f>
        <v>4270.7355063358345</v>
      </c>
    </row>
    <row r="184" spans="1:20" x14ac:dyDescent="0.2">
      <c r="A184" t="str">
        <f t="shared" ca="1" si="28"/>
        <v>Light Vehicle Passenger</v>
      </c>
      <c r="B184" s="4">
        <f ca="1">'Total Trip Tables Original'!B162</f>
        <v>1512.9377645669999</v>
      </c>
      <c r="C184" s="4">
        <f ca="1">'Total Trip Tables Original'!C162</f>
        <v>1566.5606439529997</v>
      </c>
      <c r="D184" s="4">
        <f ca="1">'Total Trip Tables Original'!D162</f>
        <v>1602.4597819206003</v>
      </c>
      <c r="E184" s="4">
        <f ca="1">'Total Trip Tables Original'!E162</f>
        <v>1634.6563400946002</v>
      </c>
      <c r="F184" s="4">
        <f ca="1">'Total Trip Tables Original'!F162</f>
        <v>1664.7742493309004</v>
      </c>
      <c r="G184" s="4">
        <f ca="1">'Total Trip Tables Original'!G162</f>
        <v>1687.513864133</v>
      </c>
      <c r="H184" s="4">
        <f ca="1">'Total Trip Tables Original'!H162</f>
        <v>1700.9962199433</v>
      </c>
      <c r="I184" s="4">
        <f ca="1">'Total Trip Tables Original'!I162</f>
        <v>1740.5550496820958</v>
      </c>
      <c r="J184" s="4">
        <f ca="1">'Total Trip Tables Original'!J162</f>
        <v>1775.9443681412699</v>
      </c>
      <c r="K184" s="4">
        <f ca="1">'Total Trip Tables Original'!K162</f>
        <v>1808.7453043976541</v>
      </c>
    </row>
    <row r="185" spans="1:20" x14ac:dyDescent="0.2">
      <c r="A185" t="str">
        <f t="shared" ca="1" si="28"/>
        <v>Taxi/Vehicle Share</v>
      </c>
      <c r="B185" s="4">
        <f ca="1">'Total Trip Tables Original'!B163</f>
        <v>15.600131729099999</v>
      </c>
      <c r="C185" s="4">
        <f ca="1">'Total Trip Tables Original'!C163</f>
        <v>17.776880281600004</v>
      </c>
      <c r="D185" s="4">
        <f ca="1">'Total Trip Tables Original'!D163</f>
        <v>19.500800001999998</v>
      </c>
      <c r="E185" s="4">
        <f ca="1">'Total Trip Tables Original'!E163</f>
        <v>21.209716634200003</v>
      </c>
      <c r="F185" s="4">
        <f ca="1">'Total Trip Tables Original'!F163</f>
        <v>22.7739527564</v>
      </c>
      <c r="G185" s="4">
        <f ca="1">'Total Trip Tables Original'!G163</f>
        <v>24.0864989403</v>
      </c>
      <c r="H185" s="4">
        <f ca="1">'Total Trip Tables Original'!H163</f>
        <v>25.362937208199998</v>
      </c>
      <c r="I185" s="4">
        <f ca="1">'Total Trip Tables Original'!I163</f>
        <v>26.019880587351345</v>
      </c>
      <c r="J185" s="4">
        <f ca="1">'Total Trip Tables Original'!J163</f>
        <v>26.618774340541382</v>
      </c>
      <c r="K185" s="4">
        <f ca="1">'Total Trip Tables Original'!K163</f>
        <v>27.182896818881993</v>
      </c>
    </row>
    <row r="186" spans="1:20" x14ac:dyDescent="0.2">
      <c r="A186" t="str">
        <f t="shared" ca="1" si="28"/>
        <v>Motorcyclist</v>
      </c>
      <c r="B186" s="4">
        <f ca="1">'Total Trip Tables Original'!B164</f>
        <v>19.272283824500001</v>
      </c>
      <c r="C186" s="4">
        <f ca="1">'Total Trip Tables Original'!C164</f>
        <v>20.416016085200003</v>
      </c>
      <c r="D186" s="4">
        <f ca="1">'Total Trip Tables Original'!D164</f>
        <v>21.035156429699999</v>
      </c>
      <c r="E186" s="4">
        <f ca="1">'Total Trip Tables Original'!E164</f>
        <v>21.440727325200001</v>
      </c>
      <c r="F186" s="4">
        <f ca="1">'Total Trip Tables Original'!F164</f>
        <v>21.753312939999997</v>
      </c>
      <c r="G186" s="4">
        <f ca="1">'Total Trip Tables Original'!G164</f>
        <v>21.699521233799999</v>
      </c>
      <c r="H186" s="4">
        <f ca="1">'Total Trip Tables Original'!H164</f>
        <v>21.517696805</v>
      </c>
      <c r="I186" s="4">
        <f ca="1">'Total Trip Tables Original'!I164</f>
        <v>21.934907831710394</v>
      </c>
      <c r="J186" s="4">
        <f ca="1">'Total Trip Tables Original'!J164</f>
        <v>22.296642126116875</v>
      </c>
      <c r="K186" s="4">
        <f ca="1">'Total Trip Tables Original'!K164</f>
        <v>22.623351464116887</v>
      </c>
    </row>
    <row r="187" spans="1:20" x14ac:dyDescent="0.2">
      <c r="A187" t="str">
        <f t="shared" ca="1" si="28"/>
        <v>Local Train</v>
      </c>
      <c r="B187" s="4">
        <f ca="1">'Total Trip Tables Original'!B22+'Total Trip Tables Original'!B99</f>
        <v>20.753709268000001</v>
      </c>
      <c r="C187" s="4">
        <f ca="1">'Total Trip Tables Original'!C22+'Total Trip Tables Original'!C99</f>
        <v>22.876386421999999</v>
      </c>
      <c r="D187" s="4">
        <f ca="1">'Total Trip Tables Original'!D22+'Total Trip Tables Original'!D99</f>
        <v>24.337785656999998</v>
      </c>
      <c r="E187" s="4">
        <f ca="1">'Total Trip Tables Original'!E22+'Total Trip Tables Original'!E99</f>
        <v>25.706260968999999</v>
      </c>
      <c r="F187" s="4">
        <f ca="1">'Total Trip Tables Original'!F22+'Total Trip Tables Original'!F99</f>
        <v>26.868885234</v>
      </c>
      <c r="G187" s="4">
        <f ca="1">'Total Trip Tables Original'!G22+'Total Trip Tables Original'!G99</f>
        <v>27.854195507</v>
      </c>
      <c r="H187" s="4">
        <f ca="1">'Total Trip Tables Original'!H22+'Total Trip Tables Original'!H99</f>
        <v>28.70210265</v>
      </c>
      <c r="I187" s="4">
        <f ca="1">'Total Trip Tables Original'!I22+'Total Trip Tables Original'!I99</f>
        <v>29.469055918721743</v>
      </c>
      <c r="J187" s="4">
        <f ca="1">'Total Trip Tables Original'!J22+'Total Trip Tables Original'!J99</f>
        <v>30.169542450352324</v>
      </c>
      <c r="K187" s="4">
        <f ca="1">'Total Trip Tables Original'!K22+'Total Trip Tables Original'!K99</f>
        <v>30.829813233468865</v>
      </c>
    </row>
    <row r="188" spans="1:20" x14ac:dyDescent="0.2">
      <c r="A188" t="s">
        <v>16</v>
      </c>
      <c r="B188" s="4">
        <f ca="1">'Total Trip Tables Original'!B12+'Total Trip Tables Original'!B34+'Total Trip Tables Original'!B45+'Total Trip Tables Original'!B56+'Total Trip Tables Original'!B67+'Total Trip Tables Original'!B78+'Total Trip Tables Original'!B89+'Total Trip Tables Original'!B111+'Total Trip Tables Original'!B122+'Total Trip Tables Original'!B144+'Total Trip Tables Original'!B155</f>
        <v>37.710964695899996</v>
      </c>
      <c r="C188" s="4">
        <f ca="1">'Total Trip Tables Original'!C12+'Total Trip Tables Original'!C34+'Total Trip Tables Original'!C45+'Total Trip Tables Original'!C56+'Total Trip Tables Original'!C67+'Total Trip Tables Original'!C78+'Total Trip Tables Original'!C89+'Total Trip Tables Original'!C111+'Total Trip Tables Original'!C122+'Total Trip Tables Original'!C144+'Total Trip Tables Original'!C155</f>
        <v>36.436697667799997</v>
      </c>
      <c r="D188" s="4">
        <f ca="1">'Total Trip Tables Original'!D12+'Total Trip Tables Original'!D34+'Total Trip Tables Original'!D45+'Total Trip Tables Original'!D56+'Total Trip Tables Original'!D67+'Total Trip Tables Original'!D78+'Total Trip Tables Original'!D89+'Total Trip Tables Original'!D111+'Total Trip Tables Original'!D122+'Total Trip Tables Original'!D144+'Total Trip Tables Original'!D155</f>
        <v>35.494016593799998</v>
      </c>
      <c r="E188" s="4">
        <f ca="1">'Total Trip Tables Original'!E12+'Total Trip Tables Original'!E34+'Total Trip Tables Original'!E45+'Total Trip Tables Original'!E56+'Total Trip Tables Original'!E67+'Total Trip Tables Original'!E78+'Total Trip Tables Original'!E89+'Total Trip Tables Original'!E111+'Total Trip Tables Original'!E122+'Total Trip Tables Original'!E144+'Total Trip Tables Original'!E155</f>
        <v>35.039436529299998</v>
      </c>
      <c r="F188" s="4">
        <f ca="1">'Total Trip Tables Original'!F12+'Total Trip Tables Original'!F34+'Total Trip Tables Original'!F45+'Total Trip Tables Original'!F56+'Total Trip Tables Original'!F67+'Total Trip Tables Original'!F78+'Total Trip Tables Original'!F89+'Total Trip Tables Original'!F111+'Total Trip Tables Original'!F122+'Total Trip Tables Original'!F144+'Total Trip Tables Original'!F155</f>
        <v>34.2460154913</v>
      </c>
      <c r="G188" s="4">
        <f ca="1">'Total Trip Tables Original'!G12+'Total Trip Tables Original'!G34+'Total Trip Tables Original'!G45+'Total Trip Tables Original'!G56+'Total Trip Tables Original'!G67+'Total Trip Tables Original'!G78+'Total Trip Tables Original'!G89+'Total Trip Tables Original'!G111+'Total Trip Tables Original'!G122+'Total Trip Tables Original'!G144+'Total Trip Tables Original'!G155</f>
        <v>33.703223610000002</v>
      </c>
      <c r="H188" s="4">
        <f ca="1">'Total Trip Tables Original'!H12+'Total Trip Tables Original'!H34+'Total Trip Tables Original'!H45+'Total Trip Tables Original'!H56+'Total Trip Tables Original'!H67+'Total Trip Tables Original'!H78+'Total Trip Tables Original'!H89+'Total Trip Tables Original'!H111+'Total Trip Tables Original'!H122+'Total Trip Tables Original'!H144+'Total Trip Tables Original'!H155</f>
        <v>32.991807592800001</v>
      </c>
      <c r="I188" s="4">
        <f ca="1">'Total Trip Tables Original'!I12+'Total Trip Tables Original'!I34+'Total Trip Tables Original'!I45+'Total Trip Tables Original'!I56+'Total Trip Tables Original'!I67+'Total Trip Tables Original'!I78+'Total Trip Tables Original'!I89+'Total Trip Tables Original'!I111+'Total Trip Tables Original'!I122+'Total Trip Tables Original'!I144+'Total Trip Tables Original'!I155</f>
        <v>33.163976652325211</v>
      </c>
      <c r="J188" s="4">
        <f ca="1">'Total Trip Tables Original'!J12+'Total Trip Tables Original'!J34+'Total Trip Tables Original'!J45+'Total Trip Tables Original'!J56+'Total Trip Tables Original'!J67+'Total Trip Tables Original'!J78+'Total Trip Tables Original'!J89+'Total Trip Tables Original'!J111+'Total Trip Tables Original'!J122+'Total Trip Tables Original'!J144+'Total Trip Tables Original'!J155</f>
        <v>33.235870937413083</v>
      </c>
      <c r="K188" s="4">
        <f ca="1">'Total Trip Tables Original'!K12+'Total Trip Tables Original'!K34+'Total Trip Tables Original'!K45+'Total Trip Tables Original'!K56+'Total Trip Tables Original'!K67+'Total Trip Tables Original'!K78+'Total Trip Tables Original'!K89+'Total Trip Tables Original'!K111+'Total Trip Tables Original'!K122+'Total Trip Tables Original'!K144+'Total Trip Tables Original'!K155</f>
        <v>33.24126844925722</v>
      </c>
    </row>
    <row r="189" spans="1:20" x14ac:dyDescent="0.2">
      <c r="A189" t="str">
        <f ca="1">A35</f>
        <v>Local Ferry</v>
      </c>
      <c r="B189" s="4">
        <f ca="1">'Total Trip Tables Original'!B167</f>
        <v>4.9488267775000008</v>
      </c>
      <c r="C189" s="4">
        <f ca="1">'Total Trip Tables Original'!C167</f>
        <v>5.6741322004999999</v>
      </c>
      <c r="D189" s="4">
        <f ca="1">'Total Trip Tables Original'!D167</f>
        <v>6.2694822977000007</v>
      </c>
      <c r="E189" s="4">
        <f ca="1">'Total Trip Tables Original'!E167</f>
        <v>6.7824519669999992</v>
      </c>
      <c r="F189" s="4">
        <f ca="1">'Total Trip Tables Original'!F167</f>
        <v>7.2500880004999999</v>
      </c>
      <c r="G189" s="4">
        <f ca="1">'Total Trip Tables Original'!G167</f>
        <v>7.8974794637999999</v>
      </c>
      <c r="H189" s="4">
        <f ca="1">'Total Trip Tables Original'!H167</f>
        <v>8.5255641856999986</v>
      </c>
      <c r="I189" s="4">
        <f ca="1">'Total Trip Tables Original'!I167</f>
        <v>8.8645226122250769</v>
      </c>
      <c r="J189" s="4">
        <f ca="1">'Total Trip Tables Original'!J167</f>
        <v>9.188545813713775</v>
      </c>
      <c r="K189" s="4">
        <f ca="1">'Total Trip Tables Original'!K167</f>
        <v>9.5048725381589634</v>
      </c>
    </row>
    <row r="190" spans="1:20" x14ac:dyDescent="0.2">
      <c r="A190" t="str">
        <f ca="1">A36</f>
        <v>Other Household Travel</v>
      </c>
      <c r="B190" s="4">
        <f ca="1">'Total Trip Tables Original'!B168</f>
        <v>10.3599389081</v>
      </c>
      <c r="C190" s="4">
        <f ca="1">'Total Trip Tables Original'!C168</f>
        <v>11.081155213799997</v>
      </c>
      <c r="D190" s="4">
        <f ca="1">'Total Trip Tables Original'!D168</f>
        <v>11.753201282799999</v>
      </c>
      <c r="E190" s="4">
        <f ca="1">'Total Trip Tables Original'!E168</f>
        <v>12.526799627900001</v>
      </c>
      <c r="F190" s="4">
        <f ca="1">'Total Trip Tables Original'!F168</f>
        <v>13.3461605819</v>
      </c>
      <c r="G190" s="4">
        <f ca="1">'Total Trip Tables Original'!G168</f>
        <v>14.2003359341</v>
      </c>
      <c r="H190" s="4">
        <f ca="1">'Total Trip Tables Original'!H168</f>
        <v>14.965579679599999</v>
      </c>
      <c r="I190" s="4">
        <f ca="1">'Total Trip Tables Original'!I168</f>
        <v>15.258498817447993</v>
      </c>
      <c r="J190" s="4">
        <f ca="1">'Total Trip Tables Original'!J168</f>
        <v>15.512056017036764</v>
      </c>
      <c r="K190" s="4">
        <f ca="1">'Total Trip Tables Original'!K168</f>
        <v>15.740402560192495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K190"/>
  <sheetViews>
    <sheetView workbookViewId="0">
      <selection activeCell="H24" sqref="H24"/>
    </sheetView>
  </sheetViews>
  <sheetFormatPr defaultRowHeight="12.75" x14ac:dyDescent="0.2"/>
  <cols>
    <col min="1" max="1" width="26.140625" customWidth="1"/>
  </cols>
  <sheetData>
    <row r="2" spans="1:11" x14ac:dyDescent="0.2">
      <c r="A2" s="3" t="s">
        <v>11</v>
      </c>
    </row>
    <row r="3" spans="1:11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">
      <c r="A4" t="str">
        <f ca="1">OFFSET(Northland_Reference,0,0)</f>
        <v>01 NORTHLAND</v>
      </c>
    </row>
    <row r="5" spans="1:11" x14ac:dyDescent="0.2">
      <c r="A5" t="str">
        <f ca="1">OFFSET(Northland_Reference,0,2)</f>
        <v>Pedestrian</v>
      </c>
      <c r="B5" s="4">
        <f ca="1">OFFSET(Northland_Reference,0,5)</f>
        <v>23.706864376999999</v>
      </c>
      <c r="C5" s="4">
        <f ca="1">OFFSET(Northland_Reference,1,5)</f>
        <v>23.970887657999999</v>
      </c>
      <c r="D5" s="4">
        <f ca="1">OFFSET(Northland_Reference,2,5)</f>
        <v>24.10029003</v>
      </c>
      <c r="E5" s="4">
        <f ca="1">OFFSET(Northland_Reference,3,5)</f>
        <v>24.172939677999999</v>
      </c>
      <c r="F5" s="4">
        <f ca="1">OFFSET(Northland_Reference,4,5)</f>
        <v>24.020419538999999</v>
      </c>
      <c r="G5" s="4">
        <f ca="1">OFFSET(Northland_Reference,5,5)</f>
        <v>23.672144577000001</v>
      </c>
      <c r="H5" s="4">
        <f ca="1">OFFSET(Northland_Reference,6,5)</f>
        <v>23.241684080999999</v>
      </c>
      <c r="I5" s="1">
        <f ca="1">H5*('Updated Population'!I$4/'Updated Population'!H$4)</f>
        <v>23.351916960136688</v>
      </c>
      <c r="J5" s="1">
        <f ca="1">I5*('Updated Population'!J$4/'Updated Population'!I$4)</f>
        <v>23.387986932496265</v>
      </c>
      <c r="K5" s="1">
        <f ca="1">J5*('Updated Population'!K$4/'Updated Population'!J$4)</f>
        <v>23.373772688627056</v>
      </c>
    </row>
    <row r="6" spans="1:11" x14ac:dyDescent="0.2">
      <c r="A6" t="str">
        <f ca="1">OFFSET(Northland_Reference,7,2)</f>
        <v>Cyclist</v>
      </c>
      <c r="B6" s="4">
        <f ca="1">OFFSET(Northland_Reference,7,5)</f>
        <v>0.66592947719999995</v>
      </c>
      <c r="C6" s="4">
        <f ca="1">OFFSET(Northland_Reference,8,5)</f>
        <v>0.62782629590000005</v>
      </c>
      <c r="D6" s="4">
        <f ca="1">OFFSET(Northland_Reference,9,5)</f>
        <v>0.63954054370000002</v>
      </c>
      <c r="E6" s="4">
        <f ca="1">OFFSET(Northland_Reference,10,5)</f>
        <v>0.69712976969999996</v>
      </c>
      <c r="F6" s="4">
        <f ca="1">OFFSET(Northland_Reference,11,5)</f>
        <v>0.73747974510000003</v>
      </c>
      <c r="G6" s="4">
        <f ca="1">OFFSET(Northland_Reference,12,5)</f>
        <v>0.70571996059999997</v>
      </c>
      <c r="H6" s="4">
        <f ca="1">OFFSET(Northland_Reference,13,5)</f>
        <v>0.67545288780000001</v>
      </c>
      <c r="I6" s="1">
        <f ca="1">H6*('Updated Population'!I$4/'Updated Population'!H$4)</f>
        <v>0.67865649027062525</v>
      </c>
      <c r="J6" s="1">
        <f ca="1">I6*('Updated Population'!J$4/'Updated Population'!I$4)</f>
        <v>0.67970476056413032</v>
      </c>
      <c r="K6" s="1">
        <f ca="1">J6*('Updated Population'!K$4/'Updated Population'!J$4)</f>
        <v>0.6792916643342749</v>
      </c>
    </row>
    <row r="7" spans="1:11" x14ac:dyDescent="0.2">
      <c r="A7" t="str">
        <f ca="1">OFFSET(Northland_Reference,14,2)</f>
        <v>Light Vehicle Driver</v>
      </c>
      <c r="B7" s="4">
        <f ca="1">OFFSET(Northland_Reference,14,5)</f>
        <v>86.333691700000003</v>
      </c>
      <c r="C7" s="4">
        <f ca="1">OFFSET(Northland_Reference,15,5)</f>
        <v>90.221737192000006</v>
      </c>
      <c r="D7" s="4">
        <f ca="1">OFFSET(Northland_Reference,16,5)</f>
        <v>92.692112644000005</v>
      </c>
      <c r="E7" s="4">
        <f ca="1">OFFSET(Northland_Reference,17,5)</f>
        <v>94.96122767</v>
      </c>
      <c r="F7" s="4">
        <f ca="1">OFFSET(Northland_Reference,18,5)</f>
        <v>96.822437593000004</v>
      </c>
      <c r="G7" s="4">
        <f ca="1">OFFSET(Northland_Reference,19,5)</f>
        <v>96.901019869999999</v>
      </c>
      <c r="H7" s="4">
        <f ca="1">OFFSET(Northland_Reference,20,5)</f>
        <v>96.743108832999994</v>
      </c>
      <c r="I7" s="1">
        <f ca="1">H7*('Updated Population'!I$4/'Updated Population'!H$4)</f>
        <v>97.201951289774172</v>
      </c>
      <c r="J7" s="1">
        <f ca="1">I7*('Updated Population'!J$4/'Updated Population'!I$4)</f>
        <v>97.352091927149004</v>
      </c>
      <c r="K7" s="1">
        <f ca="1">J7*('Updated Population'!K$4/'Updated Population'!J$4)</f>
        <v>97.292925382382919</v>
      </c>
    </row>
    <row r="8" spans="1:11" x14ac:dyDescent="0.2">
      <c r="A8" t="str">
        <f ca="1">OFFSET(Northland_Reference,21,2)</f>
        <v>Light Vehicle Passenger</v>
      </c>
      <c r="B8" s="4">
        <f ca="1">OFFSET(Northland_Reference,21,5)</f>
        <v>50.299563868</v>
      </c>
      <c r="C8" s="4">
        <f ca="1">OFFSET(Northland_Reference,22,5)</f>
        <v>49.499323594000003</v>
      </c>
      <c r="D8" s="4">
        <f ca="1">OFFSET(Northland_Reference,23,5)</f>
        <v>48.743917867999997</v>
      </c>
      <c r="E8" s="4">
        <f ca="1">OFFSET(Northland_Reference,24,5)</f>
        <v>48.34817357</v>
      </c>
      <c r="F8" s="4">
        <f ca="1">OFFSET(Northland_Reference,25,5)</f>
        <v>48.029109013000003</v>
      </c>
      <c r="G8" s="4">
        <f ca="1">OFFSET(Northland_Reference,26,5)</f>
        <v>47.143100957999998</v>
      </c>
      <c r="H8" s="4">
        <f ca="1">OFFSET(Northland_Reference,27,5)</f>
        <v>46.091611946</v>
      </c>
      <c r="I8" s="1">
        <f ca="1">H8*('Updated Population'!I$4/'Updated Population'!H$4)</f>
        <v>46.310219645474412</v>
      </c>
      <c r="J8" s="1">
        <f ca="1">I8*('Updated Population'!J$4/'Updated Population'!I$4)</f>
        <v>46.38175160344727</v>
      </c>
      <c r="K8" s="1">
        <f ca="1">J8*('Updated Population'!K$4/'Updated Population'!J$4)</f>
        <v>46.353562707571996</v>
      </c>
    </row>
    <row r="9" spans="1:11" x14ac:dyDescent="0.2">
      <c r="A9" t="str">
        <f ca="1">OFFSET(Northland_Reference,28,2)</f>
        <v>Taxi/Vehicle Share</v>
      </c>
      <c r="B9" s="4">
        <f ca="1">OFFSET(Northland_Reference,28,5)</f>
        <v>0.18126348840000001</v>
      </c>
      <c r="C9" s="4">
        <f ca="1">OFFSET(Northland_Reference,29,5)</f>
        <v>0.18167838180000001</v>
      </c>
      <c r="D9" s="4">
        <f ca="1">OFFSET(Northland_Reference,30,5)</f>
        <v>0.18490322789999999</v>
      </c>
      <c r="E9" s="4">
        <f ca="1">OFFSET(Northland_Reference,31,5)</f>
        <v>0.20308486889999999</v>
      </c>
      <c r="F9" s="4">
        <f ca="1">OFFSET(Northland_Reference,32,5)</f>
        <v>0.20340569989999999</v>
      </c>
      <c r="G9" s="4">
        <f ca="1">OFFSET(Northland_Reference,33,5)</f>
        <v>0.19971165630000001</v>
      </c>
      <c r="H9" s="4">
        <f ca="1">OFFSET(Northland_Reference,34,5)</f>
        <v>0.1948885715</v>
      </c>
      <c r="I9" s="1">
        <f ca="1">H9*('Updated Population'!I$4/'Updated Population'!H$4)</f>
        <v>0.19581290763125495</v>
      </c>
      <c r="J9" s="1">
        <f ca="1">I9*('Updated Population'!J$4/'Updated Population'!I$4)</f>
        <v>0.19611536529149606</v>
      </c>
      <c r="K9" s="1">
        <f ca="1">J9*('Updated Population'!K$4/'Updated Population'!J$4)</f>
        <v>0.19599617454469095</v>
      </c>
    </row>
    <row r="10" spans="1:11" x14ac:dyDescent="0.2">
      <c r="A10" t="str">
        <f ca="1">OFFSET(Northland_Reference,35,2)</f>
        <v>Motorcyclist</v>
      </c>
      <c r="B10" s="4">
        <f ca="1">OFFSET(Northland_Reference,35,5)</f>
        <v>1.4141085707000001</v>
      </c>
      <c r="C10" s="4">
        <f ca="1">OFFSET(Northland_Reference,36,5)</f>
        <v>1.4383229858</v>
      </c>
      <c r="D10" s="4">
        <f ca="1">OFFSET(Northland_Reference,37,5)</f>
        <v>1.4003028153999999</v>
      </c>
      <c r="E10" s="4">
        <f ca="1">OFFSET(Northland_Reference,38,5)</f>
        <v>1.2950117792</v>
      </c>
      <c r="F10" s="4">
        <f ca="1">OFFSET(Northland_Reference,39,5)</f>
        <v>1.2525024091000001</v>
      </c>
      <c r="G10" s="4">
        <f ca="1">OFFSET(Northland_Reference,40,5)</f>
        <v>1.2572819580000001</v>
      </c>
      <c r="H10" s="4">
        <f ca="1">OFFSET(Northland_Reference,41,5)</f>
        <v>1.2509747849999999</v>
      </c>
      <c r="I10" s="1">
        <f ca="1">H10*('Updated Population'!I$4/'Updated Population'!H$4)</f>
        <v>1.2569080276943485</v>
      </c>
      <c r="J10" s="1">
        <f ca="1">I10*('Updated Population'!J$4/'Updated Population'!I$4)</f>
        <v>1.2588494802052861</v>
      </c>
      <c r="K10" s="1">
        <f ca="1">J10*('Updated Population'!K$4/'Updated Population'!J$4)</f>
        <v>1.2580844039480643</v>
      </c>
    </row>
    <row r="11" spans="1:11" x14ac:dyDescent="0.2">
      <c r="A11" t="str">
        <f ca="1">OFFSET(Auckland_Reference,42,2)</f>
        <v>Local Train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">
        <f>H11*('Updated Population'!I$4/'Updated Population'!H$4)</f>
        <v>0</v>
      </c>
      <c r="J11" s="1">
        <f>I11*('Updated Population'!J$4/'Updated Population'!I$4)</f>
        <v>0</v>
      </c>
      <c r="K11" s="1">
        <f>J11*('Updated Population'!K$4/'Updated Population'!J$4)</f>
        <v>0</v>
      </c>
    </row>
    <row r="12" spans="1:11" x14ac:dyDescent="0.2">
      <c r="A12" t="str">
        <f ca="1">OFFSET(Northland_Reference,42,2)</f>
        <v>Local Bus</v>
      </c>
      <c r="B12" s="4">
        <f ca="1">OFFSET(Northland_Reference,42,5)</f>
        <v>3.6339219343</v>
      </c>
      <c r="C12" s="4">
        <f ca="1">OFFSET(Northland_Reference,43,5)</f>
        <v>3.2480371667000001</v>
      </c>
      <c r="D12" s="4">
        <f ca="1">OFFSET(Northland_Reference,44,5)</f>
        <v>3.0069382206999999</v>
      </c>
      <c r="E12" s="4">
        <f ca="1">OFFSET(Northland_Reference,45,5)</f>
        <v>2.7905412789000001</v>
      </c>
      <c r="F12" s="4">
        <f ca="1">OFFSET(Northland_Reference,46,5)</f>
        <v>2.5990738271999998</v>
      </c>
      <c r="G12" s="4">
        <f ca="1">OFFSET(Northland_Reference,47,5)</f>
        <v>2.4333550844</v>
      </c>
      <c r="H12" s="4">
        <f ca="1">OFFSET(Northland_Reference,48,5)</f>
        <v>2.2633927653999999</v>
      </c>
      <c r="I12" s="1">
        <f ca="1">H12*('Updated Population'!I$4/'Updated Population'!H$4)</f>
        <v>2.2741278007906218</v>
      </c>
      <c r="J12" s="1">
        <f ca="1">I12*('Updated Population'!J$4/'Updated Population'!I$4)</f>
        <v>2.2776404771613321</v>
      </c>
      <c r="K12" s="1">
        <f ca="1">J12*('Updated Population'!K$4/'Updated Population'!J$4)</f>
        <v>2.2762562221896583</v>
      </c>
    </row>
    <row r="13" spans="1:11" x14ac:dyDescent="0.2">
      <c r="A13" t="str">
        <f ca="1">OFFSET(Northland_Reference,49,2)</f>
        <v>Local Ferry</v>
      </c>
      <c r="B13" s="4">
        <f ca="1">OFFSET(Northland_Reference,49,5)</f>
        <v>4.69171767E-2</v>
      </c>
      <c r="C13" s="4">
        <f ca="1">OFFSET(Northland_Reference,50,5)</f>
        <v>5.2167282199999998E-2</v>
      </c>
      <c r="D13" s="4">
        <f ca="1">OFFSET(Northland_Reference,51,5)</f>
        <v>5.4211099700000001E-2</v>
      </c>
      <c r="E13" s="4">
        <f ca="1">OFFSET(Northland_Reference,52,5)</f>
        <v>5.5581152199999997E-2</v>
      </c>
      <c r="F13" s="4">
        <f ca="1">OFFSET(Northland_Reference,53,5)</f>
        <v>5.3851019899999998E-2</v>
      </c>
      <c r="G13" s="4">
        <f ca="1">OFFSET(Northland_Reference,54,5)</f>
        <v>4.9571540499999997E-2</v>
      </c>
      <c r="H13" s="4">
        <f ca="1">OFFSET(Northland_Reference,55,5)</f>
        <v>4.5255192299999997E-2</v>
      </c>
      <c r="I13" s="1">
        <f ca="1">H13*('Updated Population'!I$4/'Updated Population'!H$4)</f>
        <v>4.5469832948488616E-2</v>
      </c>
      <c r="J13" s="1">
        <f ca="1">I13*('Updated Population'!J$4/'Updated Population'!I$4)</f>
        <v>4.5540066823525356E-2</v>
      </c>
      <c r="K13" s="1">
        <f ca="1">J13*('Updated Population'!K$4/'Updated Population'!J$4)</f>
        <v>4.5512389468585913E-2</v>
      </c>
    </row>
    <row r="14" spans="1:11" x14ac:dyDescent="0.2">
      <c r="A14" t="str">
        <f ca="1">OFFSET(Northland_Reference,56,2)</f>
        <v>Other Household Travel</v>
      </c>
      <c r="B14" s="4">
        <f ca="1">OFFSET(Northland_Reference,56,5)</f>
        <v>0.1184310407</v>
      </c>
      <c r="C14" s="4">
        <f ca="1">OFFSET(Northland_Reference,57,5)</f>
        <v>0.12676431960000001</v>
      </c>
      <c r="D14" s="4">
        <f ca="1">OFFSET(Northland_Reference,58,5)</f>
        <v>0.12671845970000001</v>
      </c>
      <c r="E14" s="4">
        <f ca="1">OFFSET(Northland_Reference,59,5)</f>
        <v>0.12079150919999999</v>
      </c>
      <c r="F14" s="4">
        <f ca="1">OFFSET(Northland_Reference,60,5)</f>
        <v>0.1141387426</v>
      </c>
      <c r="G14" s="4">
        <f ca="1">OFFSET(Northland_Reference,61,5)</f>
        <v>0.10731171370000001</v>
      </c>
      <c r="H14" s="4">
        <f ca="1">OFFSET(Northland_Reference,62,5)</f>
        <v>0.1000499191</v>
      </c>
      <c r="I14" s="1">
        <f ca="1">H14*('Updated Population'!I$4/'Updated Population'!H$4)</f>
        <v>0.10052444541235107</v>
      </c>
      <c r="J14" s="1">
        <f ca="1">I14*('Updated Population'!J$4/'Updated Population'!I$4)</f>
        <v>0.10067971805971766</v>
      </c>
      <c r="K14" s="1">
        <f ca="1">J14*('Updated Population'!K$4/'Updated Population'!J$4)</f>
        <v>0.10061852912245194</v>
      </c>
    </row>
    <row r="15" spans="1:11" x14ac:dyDescent="0.2">
      <c r="A15" t="str">
        <f ca="1">OFFSET(Auckland_Reference,0,0)</f>
        <v>02 AUCKLAND</v>
      </c>
      <c r="I15" s="1"/>
      <c r="J15" s="1"/>
      <c r="K15" s="1"/>
    </row>
    <row r="16" spans="1:11" x14ac:dyDescent="0.2">
      <c r="A16" t="str">
        <f ca="1">OFFSET(Auckland_Reference,0,2)</f>
        <v>Pedestrian</v>
      </c>
      <c r="B16" s="4">
        <f ca="1">OFFSET(Auckland_Reference,0,5)</f>
        <v>324.81096006000001</v>
      </c>
      <c r="C16" s="4">
        <f ca="1">OFFSET(Auckland_Reference,1,5)</f>
        <v>358.42497777</v>
      </c>
      <c r="D16" s="4">
        <f ca="1">OFFSET(Auckland_Reference,2,5)</f>
        <v>383.53305699999999</v>
      </c>
      <c r="E16" s="4">
        <f ca="1">OFFSET(Auckland_Reference,3,5)</f>
        <v>407.54572961000002</v>
      </c>
      <c r="F16" s="4">
        <f ca="1">OFFSET(Auckland_Reference,4,5)</f>
        <v>429.05263172999997</v>
      </c>
      <c r="G16" s="4">
        <f ca="1">OFFSET(Auckland_Reference,5,5)</f>
        <v>449.41072042000002</v>
      </c>
      <c r="H16" s="4">
        <f ca="1">OFFSET(Auckland_Reference,6,5)</f>
        <v>467.14882174000002</v>
      </c>
      <c r="I16" s="1">
        <f ca="1">H16*('Updated Population'!I$15/'Updated Population'!H$15)</f>
        <v>487.22471827056995</v>
      </c>
      <c r="J16" s="1">
        <f ca="1">I16*('Updated Population'!J$15/'Updated Population'!I$15)</f>
        <v>506.5458124045245</v>
      </c>
      <c r="K16" s="1">
        <f ca="1">J16*('Updated Population'!K$15/'Updated Population'!J$15)</f>
        <v>525.50132384791971</v>
      </c>
    </row>
    <row r="17" spans="1:11" x14ac:dyDescent="0.2">
      <c r="A17" t="str">
        <f ca="1">OFFSET(Auckland_Reference,7,2)</f>
        <v>Cyclist</v>
      </c>
      <c r="B17" s="4">
        <f ca="1">OFFSET(Auckland_Reference,7,5)</f>
        <v>7.0506319707999996</v>
      </c>
      <c r="C17" s="4">
        <f ca="1">OFFSET(Auckland_Reference,8,5)</f>
        <v>7.8887271396000003</v>
      </c>
      <c r="D17" s="4">
        <f ca="1">OFFSET(Auckland_Reference,9,5)</f>
        <v>8.5543722765000005</v>
      </c>
      <c r="E17" s="4">
        <f ca="1">OFFSET(Auckland_Reference,10,5)</f>
        <v>9.0987588139</v>
      </c>
      <c r="F17" s="4">
        <f ca="1">OFFSET(Auckland_Reference,11,5)</f>
        <v>9.5405365872000001</v>
      </c>
      <c r="G17" s="4">
        <f ca="1">OFFSET(Auckland_Reference,12,5)</f>
        <v>10.205359499</v>
      </c>
      <c r="H17" s="4">
        <f ca="1">OFFSET(Auckland_Reference,13,5)</f>
        <v>10.847880203000001</v>
      </c>
      <c r="I17" s="1">
        <f ca="1">H17*('Updated Population'!I$15/'Updated Population'!H$15)</f>
        <v>11.314071939758048</v>
      </c>
      <c r="J17" s="1">
        <f ca="1">I17*('Updated Population'!J$15/'Updated Population'!I$15)</f>
        <v>11.762736058775515</v>
      </c>
      <c r="K17" s="1">
        <f ca="1">J17*('Updated Population'!K$15/'Updated Population'!J$15)</f>
        <v>12.20291081199151</v>
      </c>
    </row>
    <row r="18" spans="1:11" x14ac:dyDescent="0.2">
      <c r="A18" t="str">
        <f ca="1">OFFSET(Auckland_Reference,14,2)</f>
        <v>Light Vehicle Driver</v>
      </c>
      <c r="B18" s="4">
        <f ca="1">OFFSET(Auckland_Reference,14,5)</f>
        <v>981.24355252999999</v>
      </c>
      <c r="C18" s="4">
        <f ca="1">OFFSET(Auckland_Reference,15,5)</f>
        <v>1113.3408606999999</v>
      </c>
      <c r="D18" s="4">
        <f ca="1">OFFSET(Auckland_Reference,16,5)</f>
        <v>1204.6281524000001</v>
      </c>
      <c r="E18" s="4">
        <f ca="1">OFFSET(Auckland_Reference,17,5)</f>
        <v>1277.3423567</v>
      </c>
      <c r="F18" s="4">
        <f ca="1">OFFSET(Auckland_Reference,18,5)</f>
        <v>1352.4343154999999</v>
      </c>
      <c r="G18" s="4">
        <f ca="1">OFFSET(Auckland_Reference,19,5)</f>
        <v>1422.0853603</v>
      </c>
      <c r="H18" s="4">
        <f ca="1">OFFSET(Auckland_Reference,20,5)</f>
        <v>1484.9577385</v>
      </c>
      <c r="I18" s="1">
        <f ca="1">H18*('Updated Population'!I$15/'Updated Population'!H$15)</f>
        <v>1548.7743565091264</v>
      </c>
      <c r="J18" s="1">
        <f ca="1">I18*('Updated Population'!J$15/'Updated Population'!I$15)</f>
        <v>1610.1916327930239</v>
      </c>
      <c r="K18" s="1">
        <f ca="1">J18*('Updated Population'!K$15/'Updated Population'!J$15)</f>
        <v>1670.446806508867</v>
      </c>
    </row>
    <row r="19" spans="1:11" x14ac:dyDescent="0.2">
      <c r="A19" t="str">
        <f ca="1">OFFSET(Auckland_Reference,21,2)</f>
        <v>Light Vehicle Passenger</v>
      </c>
      <c r="B19" s="4">
        <f ca="1">OFFSET(Auckland_Reference,21,5)</f>
        <v>488.06073574999999</v>
      </c>
      <c r="C19" s="4">
        <f ca="1">OFFSET(Auckland_Reference,22,5)</f>
        <v>529.50577677000001</v>
      </c>
      <c r="D19" s="4">
        <f ca="1">OFFSET(Auckland_Reference,23,5)</f>
        <v>562.85545287000002</v>
      </c>
      <c r="E19" s="4">
        <f ca="1">OFFSET(Auckland_Reference,24,5)</f>
        <v>593.70059818000004</v>
      </c>
      <c r="F19" s="4">
        <f ca="1">OFFSET(Auckland_Reference,25,5)</f>
        <v>623.08895070000005</v>
      </c>
      <c r="G19" s="4">
        <f ca="1">OFFSET(Auckland_Reference,26,5)</f>
        <v>648.87826954000002</v>
      </c>
      <c r="H19" s="4">
        <f ca="1">OFFSET(Auckland_Reference,27,5)</f>
        <v>670.07934587</v>
      </c>
      <c r="I19" s="1">
        <f ca="1">H19*('Updated Population'!I$15/'Updated Population'!H$15)</f>
        <v>698.8762580934997</v>
      </c>
      <c r="J19" s="1">
        <f ca="1">I19*('Updated Population'!J$15/'Updated Population'!I$15)</f>
        <v>726.59048002078669</v>
      </c>
      <c r="K19" s="1">
        <f ca="1">J19*('Updated Population'!K$15/'Updated Population'!J$15)</f>
        <v>753.78030929470265</v>
      </c>
    </row>
    <row r="20" spans="1:11" x14ac:dyDescent="0.2">
      <c r="A20" t="str">
        <f ca="1">OFFSET(Auckland_Reference,28,2)</f>
        <v>Taxi/Vehicle Share</v>
      </c>
      <c r="B20" s="4">
        <f ca="1">OFFSET(Auckland_Reference,28,5)</f>
        <v>6.0232688673999997</v>
      </c>
      <c r="C20" s="4">
        <f ca="1">OFFSET(Auckland_Reference,29,5)</f>
        <v>7.2352833911000003</v>
      </c>
      <c r="D20" s="4">
        <f ca="1">OFFSET(Auckland_Reference,30,5)</f>
        <v>8.3698866730999999</v>
      </c>
      <c r="E20" s="4">
        <f ca="1">OFFSET(Auckland_Reference,31,5)</f>
        <v>9.5788252895999992</v>
      </c>
      <c r="F20" s="4">
        <f ca="1">OFFSET(Auckland_Reference,32,5)</f>
        <v>10.759396396</v>
      </c>
      <c r="G20" s="4">
        <f ca="1">OFFSET(Auckland_Reference,33,5)</f>
        <v>11.808522829999999</v>
      </c>
      <c r="H20" s="4">
        <f ca="1">OFFSET(Auckland_Reference,34,5)</f>
        <v>12.865843633000001</v>
      </c>
      <c r="I20" s="1">
        <f ca="1">H20*('Updated Population'!I$15/'Updated Population'!H$15)</f>
        <v>13.418758108075693</v>
      </c>
      <c r="J20" s="1">
        <f ca="1">I20*('Updated Population'!J$15/'Updated Population'!I$15)</f>
        <v>13.950884412108813</v>
      </c>
      <c r="K20" s="1">
        <f ca="1">J20*('Updated Population'!K$15/'Updated Population'!J$15)</f>
        <v>14.472942126620186</v>
      </c>
    </row>
    <row r="21" spans="1:11" x14ac:dyDescent="0.2">
      <c r="A21" t="str">
        <f ca="1">OFFSET(Auckland_Reference,35,2)</f>
        <v>Motorcyclist</v>
      </c>
      <c r="B21" s="4">
        <f ca="1">OFFSET(Auckland_Reference,35,5)</f>
        <v>4.1170216905999997</v>
      </c>
      <c r="C21" s="4">
        <f ca="1">OFFSET(Auckland_Reference,36,5)</f>
        <v>4.7313973600999999</v>
      </c>
      <c r="D21" s="4">
        <f ca="1">OFFSET(Auckland_Reference,37,5)</f>
        <v>5.2998143878999997</v>
      </c>
      <c r="E21" s="4">
        <f ca="1">OFFSET(Auckland_Reference,38,5)</f>
        <v>5.9718867377000002</v>
      </c>
      <c r="F21" s="4">
        <f ca="1">OFFSET(Auckland_Reference,39,5)</f>
        <v>6.5645294598000001</v>
      </c>
      <c r="G21" s="4">
        <f ca="1">OFFSET(Auckland_Reference,40,5)</f>
        <v>6.8239964105000004</v>
      </c>
      <c r="H21" s="4">
        <f ca="1">OFFSET(Auckland_Reference,41,5)</f>
        <v>7.0434695846000004</v>
      </c>
      <c r="I21" s="1">
        <f ca="1">H21*('Updated Population'!I$15/'Updated Population'!H$15)</f>
        <v>7.3461653423886109</v>
      </c>
      <c r="J21" s="1">
        <f ca="1">I21*('Updated Population'!J$15/'Updated Population'!I$15)</f>
        <v>7.6374805133587831</v>
      </c>
      <c r="K21" s="1">
        <f ca="1">J21*('Updated Population'!K$15/'Updated Population'!J$15)</f>
        <v>7.9232835853108741</v>
      </c>
    </row>
    <row r="22" spans="1:11" x14ac:dyDescent="0.2">
      <c r="A22" t="str">
        <f ca="1">OFFSET(Auckland_Reference,42,2)</f>
        <v>Local Train</v>
      </c>
      <c r="B22" s="4">
        <f ca="1">OFFSET(Auckland_Reference,42,5)</f>
        <v>10.588451037</v>
      </c>
      <c r="C22" s="4">
        <f ca="1">OFFSET(Auckland_Reference,43,5)</f>
        <v>11.937472622</v>
      </c>
      <c r="D22" s="4">
        <f ca="1">OFFSET(Auckland_Reference,44,5)</f>
        <v>12.872055543</v>
      </c>
      <c r="E22" s="4">
        <f ca="1">OFFSET(Auckland_Reference,45,5)</f>
        <v>13.837702297</v>
      </c>
      <c r="F22" s="4">
        <f ca="1">OFFSET(Auckland_Reference,46,5)</f>
        <v>14.702700576</v>
      </c>
      <c r="G22" s="4">
        <f ca="1">OFFSET(Auckland_Reference,47,5)</f>
        <v>15.334267584999999</v>
      </c>
      <c r="H22" s="4">
        <f ca="1">OFFSET(Auckland_Reference,48,5)</f>
        <v>15.871956074</v>
      </c>
      <c r="I22" s="1">
        <f ca="1">H22*('Updated Population'!I$15/'Updated Population'!H$15)</f>
        <v>16.554059363252694</v>
      </c>
      <c r="J22" s="1">
        <f ca="1">I22*('Updated Population'!J$15/'Updated Population'!I$15)</f>
        <v>17.210517312249568</v>
      </c>
      <c r="K22" s="1">
        <f ca="1">J22*('Updated Population'!K$15/'Updated Population'!J$15)</f>
        <v>17.854554139462682</v>
      </c>
    </row>
    <row r="23" spans="1:11" x14ac:dyDescent="0.2">
      <c r="A23" t="str">
        <f ca="1">OFFSET(Auckland_Reference,49,2)</f>
        <v>Local Bus</v>
      </c>
      <c r="B23" s="4">
        <f ca="1">OFFSET(Auckland_Reference,49,5)</f>
        <v>54.403429504999998</v>
      </c>
      <c r="C23" s="4">
        <f ca="1">OFFSET(Auckland_Reference,50,5)</f>
        <v>59.340296318</v>
      </c>
      <c r="D23" s="4">
        <f ca="1">OFFSET(Auckland_Reference,51,5)</f>
        <v>62.246093332000001</v>
      </c>
      <c r="E23" s="4">
        <f ca="1">OFFSET(Auckland_Reference,52,5)</f>
        <v>65.910707149000004</v>
      </c>
      <c r="F23" s="4">
        <f ca="1">OFFSET(Auckland_Reference,53,5)</f>
        <v>68.606486290000007</v>
      </c>
      <c r="G23" s="4">
        <f ca="1">OFFSET(Auckland_Reference,54,5)</f>
        <v>71.191453946999999</v>
      </c>
      <c r="H23" s="4">
        <f ca="1">OFFSET(Auckland_Reference,55,5)</f>
        <v>73.334295260999994</v>
      </c>
      <c r="I23" s="1">
        <f ca="1">H23*('Updated Population'!I$15/'Updated Population'!H$15)</f>
        <v>76.485864215660669</v>
      </c>
      <c r="J23" s="1">
        <f ca="1">I23*('Updated Population'!J$15/'Updated Population'!I$15)</f>
        <v>79.518942232870359</v>
      </c>
      <c r="K23" s="1">
        <f ca="1">J23*('Updated Population'!K$15/'Updated Population'!J$15)</f>
        <v>82.494630082912479</v>
      </c>
    </row>
    <row r="24" spans="1:11" x14ac:dyDescent="0.2">
      <c r="A24" t="str">
        <f ca="1">OFFSET(Auckland_Reference,56,2)</f>
        <v>Local Ferry</v>
      </c>
      <c r="B24" s="4">
        <f ca="1">OFFSET(Auckland_Reference,56,5)</f>
        <v>4.3086283299000003</v>
      </c>
      <c r="C24" s="4">
        <f ca="1">OFFSET(Auckland_Reference,57,5)</f>
        <v>4.9520708047999999</v>
      </c>
      <c r="D24" s="4">
        <f ca="1">OFFSET(Auckland_Reference,58,5)</f>
        <v>5.4945987857</v>
      </c>
      <c r="E24" s="4">
        <f ca="1">OFFSET(Auckland_Reference,59,5)</f>
        <v>5.9739649892999998</v>
      </c>
      <c r="F24" s="4">
        <f ca="1">OFFSET(Auckland_Reference,60,5)</f>
        <v>6.4318981770999999</v>
      </c>
      <c r="G24" s="4">
        <f ca="1">OFFSET(Auckland_Reference,61,5)</f>
        <v>7.0840019435999997</v>
      </c>
      <c r="H24" s="4">
        <f ca="1">OFFSET(Auckland_Reference,62,5)</f>
        <v>7.7191371460999996</v>
      </c>
      <c r="I24" s="1">
        <f ca="1">H24*('Updated Population'!I$15/'Updated Population'!H$15)</f>
        <v>8.0508699717831878</v>
      </c>
      <c r="J24" s="1">
        <f ca="1">I24*('Updated Population'!J$15/'Updated Population'!I$15)</f>
        <v>8.3701304911123167</v>
      </c>
      <c r="K24" s="1">
        <f ca="1">J24*('Updated Population'!K$15/'Updated Population'!J$15)</f>
        <v>8.6833501455278697</v>
      </c>
    </row>
    <row r="25" spans="1:11" x14ac:dyDescent="0.2">
      <c r="A25" t="str">
        <f ca="1">OFFSET(Auckland_Reference,63,2)</f>
        <v>Other Household Travel</v>
      </c>
      <c r="B25" s="4">
        <f ca="1">OFFSET(Auckland_Reference,63,5)</f>
        <v>2.2145179384000002</v>
      </c>
      <c r="C25" s="4">
        <f ca="1">OFFSET(Auckland_Reference,64,5)</f>
        <v>2.5076537030999999</v>
      </c>
      <c r="D25" s="4">
        <f ca="1">OFFSET(Auckland_Reference,65,5)</f>
        <v>2.7404091551</v>
      </c>
      <c r="E25" s="4">
        <f ca="1">OFFSET(Auckland_Reference,66,5)</f>
        <v>2.9105085325000002</v>
      </c>
      <c r="F25" s="4">
        <f ca="1">OFFSET(Auckland_Reference,67,5)</f>
        <v>3.0701075441999999</v>
      </c>
      <c r="G25" s="4">
        <f ca="1">OFFSET(Auckland_Reference,68,5)</f>
        <v>3.2573736228999999</v>
      </c>
      <c r="H25" s="4">
        <f ca="1">OFFSET(Auckland_Reference,69,5)</f>
        <v>3.4430802545999999</v>
      </c>
      <c r="I25" s="1">
        <f ca="1">H25*('Updated Population'!I$15/'Updated Population'!H$15)</f>
        <v>3.5910479251173615</v>
      </c>
      <c r="J25" s="1">
        <f ca="1">I25*('Updated Population'!J$15/'Updated Population'!I$15)</f>
        <v>3.733452389420842</v>
      </c>
      <c r="K25" s="1">
        <f ca="1">J25*('Updated Population'!K$15/'Updated Population'!J$15)</f>
        <v>3.8731623579133307</v>
      </c>
    </row>
    <row r="26" spans="1:11" x14ac:dyDescent="0.2">
      <c r="A26" t="str">
        <f ca="1">OFFSET(Waikato_Reference,0,0)</f>
        <v>03 WAIKATO</v>
      </c>
      <c r="I26" s="1"/>
      <c r="J26" s="1"/>
      <c r="K26" s="1"/>
    </row>
    <row r="27" spans="1:11" x14ac:dyDescent="0.2">
      <c r="A27" t="str">
        <f ca="1">OFFSET(Waikato_Reference,0,2)</f>
        <v>Pedestrian</v>
      </c>
      <c r="B27" s="4">
        <f ca="1">OFFSET(Waikato_Reference,0,5)</f>
        <v>68.689195601999998</v>
      </c>
      <c r="C27" s="4">
        <f ca="1">OFFSET(Waikato_Reference,1,5)</f>
        <v>73.188301964999994</v>
      </c>
      <c r="D27" s="4">
        <f ca="1">OFFSET(Waikato_Reference,2,5)</f>
        <v>76.230794062000001</v>
      </c>
      <c r="E27" s="4">
        <f ca="1">OFFSET(Waikato_Reference,3,5)</f>
        <v>78.502548884999996</v>
      </c>
      <c r="F27" s="4">
        <f ca="1">OFFSET(Waikato_Reference,4,5)</f>
        <v>80.082227672000002</v>
      </c>
      <c r="G27" s="4">
        <f ca="1">OFFSET(Waikato_Reference,5,5)</f>
        <v>80.904936926999994</v>
      </c>
      <c r="H27" s="4">
        <f ca="1">OFFSET(Waikato_Reference,6,5)</f>
        <v>81.408834811000006</v>
      </c>
      <c r="I27" s="1">
        <f ca="1">H27*('Updated Population'!I$26/'Updated Population'!H$26)</f>
        <v>83.141210943301104</v>
      </c>
      <c r="J27" s="1">
        <f ca="1">I27*('Updated Population'!J$26/'Updated Population'!I$26)</f>
        <v>84.64016735827019</v>
      </c>
      <c r="K27" s="1">
        <f ca="1">J27*('Updated Population'!K$26/'Updated Population'!J$26)</f>
        <v>85.980971903849124</v>
      </c>
    </row>
    <row r="28" spans="1:11" x14ac:dyDescent="0.2">
      <c r="A28" t="str">
        <f ca="1">OFFSET(Waikato_Reference,7,2)</f>
        <v>Cyclist</v>
      </c>
      <c r="B28" s="4">
        <f ca="1">OFFSET(Waikato_Reference,7,5)</f>
        <v>5.8956498267999997</v>
      </c>
      <c r="C28" s="4">
        <f ca="1">OFFSET(Waikato_Reference,8,5)</f>
        <v>6.2723498164000002</v>
      </c>
      <c r="D28" s="4">
        <f ca="1">OFFSET(Waikato_Reference,9,5)</f>
        <v>6.6648311250000001</v>
      </c>
      <c r="E28" s="4">
        <f ca="1">OFFSET(Waikato_Reference,10,5)</f>
        <v>6.9586134670000002</v>
      </c>
      <c r="F28" s="4">
        <f ca="1">OFFSET(Waikato_Reference,11,5)</f>
        <v>7.2918281698999996</v>
      </c>
      <c r="G28" s="4">
        <f ca="1">OFFSET(Waikato_Reference,12,5)</f>
        <v>7.7223942429000001</v>
      </c>
      <c r="H28" s="4">
        <f ca="1">OFFSET(Waikato_Reference,13,5)</f>
        <v>8.1720793817999997</v>
      </c>
      <c r="I28" s="1">
        <f ca="1">H28*('Updated Population'!I$26/'Updated Population'!H$26)</f>
        <v>8.3459808423130699</v>
      </c>
      <c r="J28" s="1">
        <f ca="1">I28*('Updated Population'!J$26/'Updated Population'!I$26)</f>
        <v>8.4964508845563298</v>
      </c>
      <c r="K28" s="1">
        <f ca="1">J28*('Updated Population'!K$26/'Updated Population'!J$26)</f>
        <v>8.6310451359958407</v>
      </c>
    </row>
    <row r="29" spans="1:11" x14ac:dyDescent="0.2">
      <c r="A29" t="str">
        <f ca="1">OFFSET(Waikato_Reference,14,2)</f>
        <v>Light Vehicle Driver</v>
      </c>
      <c r="B29" s="4">
        <f ca="1">OFFSET(Waikato_Reference,14,5)</f>
        <v>305.41478153000003</v>
      </c>
      <c r="C29" s="4">
        <f ca="1">OFFSET(Waikato_Reference,15,5)</f>
        <v>334.75251218</v>
      </c>
      <c r="D29" s="4">
        <f ca="1">OFFSET(Waikato_Reference,16,5)</f>
        <v>353.93680162999999</v>
      </c>
      <c r="E29" s="4">
        <f ca="1">OFFSET(Waikato_Reference,17,5)</f>
        <v>369.74557141000003</v>
      </c>
      <c r="F29" s="4">
        <f ca="1">OFFSET(Waikato_Reference,18,5)</f>
        <v>384.10905219</v>
      </c>
      <c r="G29" s="4">
        <f ca="1">OFFSET(Waikato_Reference,19,5)</f>
        <v>394.09080809</v>
      </c>
      <c r="H29" s="4">
        <f ca="1">OFFSET(Waikato_Reference,20,5)</f>
        <v>402.71126878000001</v>
      </c>
      <c r="I29" s="1">
        <f ca="1">H29*('Updated Population'!I$26/'Updated Population'!H$26)</f>
        <v>411.28094542336225</v>
      </c>
      <c r="J29" s="1">
        <f ca="1">I29*('Updated Population'!J$26/'Updated Population'!I$26)</f>
        <v>418.69594701526017</v>
      </c>
      <c r="K29" s="1">
        <f ca="1">J29*('Updated Population'!K$26/'Updated Population'!J$26)</f>
        <v>425.32860673812263</v>
      </c>
    </row>
    <row r="30" spans="1:11" x14ac:dyDescent="0.2">
      <c r="A30" t="str">
        <f ca="1">OFFSET(Waikato_Reference,21,2)</f>
        <v>Light Vehicle Passenger</v>
      </c>
      <c r="B30" s="4">
        <f ca="1">OFFSET(Waikato_Reference,21,5)</f>
        <v>139.07206360000001</v>
      </c>
      <c r="C30" s="4">
        <f ca="1">OFFSET(Waikato_Reference,22,5)</f>
        <v>143.95780173</v>
      </c>
      <c r="D30" s="4">
        <f ca="1">OFFSET(Waikato_Reference,23,5)</f>
        <v>147.20294440000001</v>
      </c>
      <c r="E30" s="4">
        <f ca="1">OFFSET(Waikato_Reference,24,5)</f>
        <v>148.99466699000001</v>
      </c>
      <c r="F30" s="4">
        <f ca="1">OFFSET(Waikato_Reference,25,5)</f>
        <v>151.34993456000001</v>
      </c>
      <c r="G30" s="4">
        <f ca="1">OFFSET(Waikato_Reference,26,5)</f>
        <v>152.66977908000001</v>
      </c>
      <c r="H30" s="4">
        <f ca="1">OFFSET(Waikato_Reference,27,5)</f>
        <v>153.16863303</v>
      </c>
      <c r="I30" s="1">
        <f ca="1">H30*('Updated Population'!I$26/'Updated Population'!H$26)</f>
        <v>156.42805425491235</v>
      </c>
      <c r="J30" s="1">
        <f ca="1">I30*('Updated Population'!J$26/'Updated Population'!I$26)</f>
        <v>159.248302273268</v>
      </c>
      <c r="K30" s="1">
        <f ca="1">J30*('Updated Population'!K$26/'Updated Population'!J$26)</f>
        <v>161.77099160893437</v>
      </c>
    </row>
    <row r="31" spans="1:11" x14ac:dyDescent="0.2">
      <c r="A31" t="str">
        <f ca="1">OFFSET(Waikato_Reference,28,2)</f>
        <v>Taxi/Vehicle Share</v>
      </c>
      <c r="B31" s="4">
        <f ca="1">OFFSET(Waikato_Reference,28,5)</f>
        <v>0.69122996950000004</v>
      </c>
      <c r="C31" s="4">
        <f ca="1">OFFSET(Waikato_Reference,29,5)</f>
        <v>0.82240011349999997</v>
      </c>
      <c r="D31" s="4">
        <f ca="1">OFFSET(Waikato_Reference,30,5)</f>
        <v>0.9056253273</v>
      </c>
      <c r="E31" s="4">
        <f ca="1">OFFSET(Waikato_Reference,31,5)</f>
        <v>0.98274026410000004</v>
      </c>
      <c r="F31" s="4">
        <f ca="1">OFFSET(Waikato_Reference,32,5)</f>
        <v>1.0487720523999999</v>
      </c>
      <c r="G31" s="4">
        <f ca="1">OFFSET(Waikato_Reference,33,5)</f>
        <v>1.0922688433000001</v>
      </c>
      <c r="H31" s="4">
        <f ca="1">OFFSET(Waikato_Reference,34,5)</f>
        <v>1.1357266706</v>
      </c>
      <c r="I31" s="1">
        <f ca="1">H31*('Updated Population'!I$26/'Updated Population'!H$26)</f>
        <v>1.1598948801258213</v>
      </c>
      <c r="J31" s="1">
        <f ca="1">I31*('Updated Population'!J$26/'Updated Population'!I$26)</f>
        <v>1.1808066740668559</v>
      </c>
      <c r="K31" s="1">
        <f ca="1">J31*('Updated Population'!K$26/'Updated Population'!J$26)</f>
        <v>1.1995121067881451</v>
      </c>
    </row>
    <row r="32" spans="1:11" x14ac:dyDescent="0.2">
      <c r="A32" t="str">
        <f ca="1">OFFSET(Waikato_Reference,35,2)</f>
        <v>Motorcyclist</v>
      </c>
      <c r="B32" s="4">
        <f ca="1">OFFSET(Waikato_Reference,35,5)</f>
        <v>1.8680965575999999</v>
      </c>
      <c r="C32" s="4">
        <f ca="1">OFFSET(Waikato_Reference,36,5)</f>
        <v>1.8367144203000001</v>
      </c>
      <c r="D32" s="4">
        <f ca="1">OFFSET(Waikato_Reference,37,5)</f>
        <v>1.8059413273</v>
      </c>
      <c r="E32" s="4">
        <f ca="1">OFFSET(Waikato_Reference,38,5)</f>
        <v>1.7600682994000001</v>
      </c>
      <c r="F32" s="4">
        <f ca="1">OFFSET(Waikato_Reference,39,5)</f>
        <v>1.7104633249000001</v>
      </c>
      <c r="G32" s="4">
        <f ca="1">OFFSET(Waikato_Reference,40,5)</f>
        <v>1.6037273466999999</v>
      </c>
      <c r="H32" s="4">
        <f ca="1">OFFSET(Waikato_Reference,41,5)</f>
        <v>1.4956305754000001</v>
      </c>
      <c r="I32" s="1">
        <f ca="1">H32*('Updated Population'!I$26/'Updated Population'!H$26)</f>
        <v>1.5274575228999614</v>
      </c>
      <c r="J32" s="1">
        <f ca="1">I32*('Updated Population'!J$26/'Updated Population'!I$26)</f>
        <v>1.5549961193019923</v>
      </c>
      <c r="K32" s="1">
        <f ca="1">J32*('Updated Population'!K$26/'Updated Population'!J$26)</f>
        <v>1.5796291739165043</v>
      </c>
    </row>
    <row r="33" spans="1:11" x14ac:dyDescent="0.2">
      <c r="A33" t="str">
        <f ca="1">OFFSET(Waikato_Reference,42,2)</f>
        <v>Local Train</v>
      </c>
      <c r="B33" s="4">
        <f ca="1">OFFSET(Waikato_Reference,42,5)</f>
        <v>0.12019006359999999</v>
      </c>
      <c r="C33" s="4">
        <f ca="1">OFFSET(Waikato_Reference,43,5)</f>
        <v>0.12728721579999999</v>
      </c>
      <c r="D33" s="4">
        <f ca="1">OFFSET(Waikato_Reference,44,5)</f>
        <v>0.14162232129999999</v>
      </c>
      <c r="E33" s="4">
        <f ca="1">OFFSET(Waikato_Reference,45,5)</f>
        <v>0.15532858599999999</v>
      </c>
      <c r="F33" s="4">
        <f ca="1">OFFSET(Waikato_Reference,46,5)</f>
        <v>0.16528467299999999</v>
      </c>
      <c r="G33" s="4">
        <f ca="1">OFFSET(Waikato_Reference,47,5)</f>
        <v>0.17199228499999999</v>
      </c>
      <c r="H33" s="4">
        <f ca="1">OFFSET(Waikato_Reference,48,5)</f>
        <v>0.17736737250000001</v>
      </c>
      <c r="I33" s="1">
        <f ca="1">H33*('Updated Population'!I$26/'Updated Population'!H$26)</f>
        <v>0.18114174174974193</v>
      </c>
      <c r="J33" s="1">
        <f ca="1">I33*('Updated Population'!J$26/'Updated Population'!I$26)</f>
        <v>0.18440755388711405</v>
      </c>
      <c r="K33" s="1">
        <f ca="1">J33*('Updated Population'!K$26/'Updated Population'!J$26)</f>
        <v>0.18732879676987371</v>
      </c>
    </row>
    <row r="34" spans="1:11" x14ac:dyDescent="0.2">
      <c r="A34" t="str">
        <f ca="1">OFFSET(Waikato_Reference,49,2)</f>
        <v>Local Bus</v>
      </c>
      <c r="B34" s="4">
        <f ca="1">OFFSET(Waikato_Reference,49,5)</f>
        <v>5.7199103379</v>
      </c>
      <c r="C34" s="4">
        <f ca="1">OFFSET(Waikato_Reference,50,5)</f>
        <v>5.7974363710999999</v>
      </c>
      <c r="D34" s="4">
        <f ca="1">OFFSET(Waikato_Reference,51,5)</f>
        <v>5.7929793319999998</v>
      </c>
      <c r="E34" s="4">
        <f ca="1">OFFSET(Waikato_Reference,52,5)</f>
        <v>5.8884810045</v>
      </c>
      <c r="F34" s="4">
        <f ca="1">OFFSET(Waikato_Reference,53,5)</f>
        <v>5.9743234849000002</v>
      </c>
      <c r="G34" s="4">
        <f ca="1">OFFSET(Waikato_Reference,54,5)</f>
        <v>6.0444060360999998</v>
      </c>
      <c r="H34" s="4">
        <f ca="1">OFFSET(Waikato_Reference,55,5)</f>
        <v>6.0718038504000003</v>
      </c>
      <c r="I34" s="1">
        <f ca="1">H34*('Updated Population'!I$26/'Updated Population'!H$26)</f>
        <v>6.2010115475113405</v>
      </c>
      <c r="J34" s="1">
        <f ca="1">I34*('Updated Population'!J$26/'Updated Population'!I$26)</f>
        <v>6.3128098474516472</v>
      </c>
      <c r="K34" s="1">
        <f ca="1">J34*('Updated Population'!K$26/'Updated Population'!J$26)</f>
        <v>6.4128125341548836</v>
      </c>
    </row>
    <row r="35" spans="1:11" x14ac:dyDescent="0.2">
      <c r="A35" t="str">
        <f ca="1">OFFSET(Waikato_Reference,56,2)</f>
        <v>Local Ferry</v>
      </c>
      <c r="B35" s="4">
        <f ca="1">OFFSET(Waikato_Reference,56,5)</f>
        <v>0.2446181519</v>
      </c>
      <c r="C35" s="4">
        <f ca="1">OFFSET(Waikato_Reference,57,5)</f>
        <v>0.2694678204</v>
      </c>
      <c r="D35" s="4">
        <f ca="1">OFFSET(Waikato_Reference,58,5)</f>
        <v>0.28550085359999999</v>
      </c>
      <c r="E35" s="4">
        <f ca="1">OFFSET(Waikato_Reference,59,5)</f>
        <v>0.30034907329999999</v>
      </c>
      <c r="F35" s="4">
        <f ca="1">OFFSET(Waikato_Reference,60,5)</f>
        <v>0.30200889079999998</v>
      </c>
      <c r="G35" s="4">
        <f ca="1">OFFSET(Waikato_Reference,61,5)</f>
        <v>0.28973344210000002</v>
      </c>
      <c r="H35" s="4">
        <f ca="1">OFFSET(Waikato_Reference,62,5)</f>
        <v>0.27524112169999998</v>
      </c>
      <c r="I35" s="1">
        <f ca="1">H35*('Updated Population'!I$26/'Updated Population'!H$26)</f>
        <v>0.28109823967703351</v>
      </c>
      <c r="J35" s="1">
        <f ca="1">I35*('Updated Population'!J$26/'Updated Population'!I$26)</f>
        <v>0.28616617175090903</v>
      </c>
      <c r="K35" s="1">
        <f ca="1">J35*('Updated Population'!K$26/'Updated Population'!J$26)</f>
        <v>0.29069939652881405</v>
      </c>
    </row>
    <row r="36" spans="1:11" x14ac:dyDescent="0.2">
      <c r="A36" t="str">
        <f ca="1">OFFSET(Waikato_Reference,63,2)</f>
        <v>Other Household Travel</v>
      </c>
      <c r="B36" s="4">
        <f ca="1">OFFSET(Waikato_Reference,63,5)</f>
        <v>1.8854250596</v>
      </c>
      <c r="C36" s="4">
        <f ca="1">OFFSET(Waikato_Reference,64,5)</f>
        <v>2.0297609899000002</v>
      </c>
      <c r="D36" s="4">
        <f ca="1">OFFSET(Waikato_Reference,65,5)</f>
        <v>2.1615781809999999</v>
      </c>
      <c r="E36" s="4">
        <f ca="1">OFFSET(Waikato_Reference,66,5)</f>
        <v>2.3988338467000001</v>
      </c>
      <c r="F36" s="4">
        <f ca="1">OFFSET(Waikato_Reference,67,5)</f>
        <v>2.749688871</v>
      </c>
      <c r="G36" s="4">
        <f ca="1">OFFSET(Waikato_Reference,68,5)</f>
        <v>3.1031150538999999</v>
      </c>
      <c r="H36" s="4">
        <f ca="1">OFFSET(Waikato_Reference,69,5)</f>
        <v>3.4168576693000001</v>
      </c>
      <c r="I36" s="1">
        <f ca="1">H36*('Updated Population'!I$26/'Updated Population'!H$26)</f>
        <v>3.4895682379687147</v>
      </c>
      <c r="J36" s="1">
        <f ca="1">I36*('Updated Population'!J$26/'Updated Population'!I$26)</f>
        <v>3.5524818115915804</v>
      </c>
      <c r="K36" s="1">
        <f ca="1">J36*('Updated Population'!K$26/'Updated Population'!J$26)</f>
        <v>3.6087575008976582</v>
      </c>
    </row>
    <row r="37" spans="1:11" x14ac:dyDescent="0.2">
      <c r="A37" t="str">
        <f ca="1">OFFSET(BOP_Reference,0,0)</f>
        <v>04 BAY OF PLENTY</v>
      </c>
      <c r="I37" s="1"/>
      <c r="J37" s="1"/>
      <c r="K37" s="1"/>
    </row>
    <row r="38" spans="1:11" x14ac:dyDescent="0.2">
      <c r="A38" t="str">
        <f ca="1">OFFSET(BOP_Reference,0,2)</f>
        <v>Pedestrian</v>
      </c>
      <c r="B38" s="4">
        <f ca="1">OFFSET(BOP_Reference,0,5)</f>
        <v>43.402809341999998</v>
      </c>
      <c r="C38" s="4">
        <f ca="1">OFFSET(BOP_Reference,1,5)</f>
        <v>43.749727192999998</v>
      </c>
      <c r="D38" s="4">
        <f ca="1">OFFSET(BOP_Reference,2,5)</f>
        <v>44.805260165</v>
      </c>
      <c r="E38" s="4">
        <f ca="1">OFFSET(BOP_Reference,3,5)</f>
        <v>45.999180668999998</v>
      </c>
      <c r="F38" s="4">
        <f ca="1">OFFSET(BOP_Reference,4,5)</f>
        <v>46.737283198999997</v>
      </c>
      <c r="G38" s="4">
        <f ca="1">OFFSET(BOP_Reference,5,5)</f>
        <v>47.332336519000002</v>
      </c>
      <c r="H38" s="4">
        <f ca="1">OFFSET(BOP_Reference,6,5)</f>
        <v>47.693538171999997</v>
      </c>
      <c r="I38" s="1">
        <f ca="1">H38*('Updated Population'!I$37/'Updated Population'!H$37)</f>
        <v>48.379437346674848</v>
      </c>
      <c r="J38" s="1">
        <f ca="1">I38*('Updated Population'!J$37/'Updated Population'!I$37)</f>
        <v>48.918985882324506</v>
      </c>
      <c r="K38" s="1">
        <f ca="1">J38*('Updated Population'!K$37/'Updated Population'!J$37)</f>
        <v>49.358249181799536</v>
      </c>
    </row>
    <row r="39" spans="1:11" x14ac:dyDescent="0.2">
      <c r="A39" t="str">
        <f ca="1">OFFSET(BOP_Reference,7,2)</f>
        <v>Cyclist</v>
      </c>
      <c r="B39" s="4">
        <f ca="1">OFFSET(BOP_Reference,7,5)</f>
        <v>5.1579391552000002</v>
      </c>
      <c r="C39" s="4">
        <f ca="1">OFFSET(BOP_Reference,8,5)</f>
        <v>4.9874518855999996</v>
      </c>
      <c r="D39" s="4">
        <f ca="1">OFFSET(BOP_Reference,9,5)</f>
        <v>4.9397313671000003</v>
      </c>
      <c r="E39" s="4">
        <f ca="1">OFFSET(BOP_Reference,10,5)</f>
        <v>4.9346495213999999</v>
      </c>
      <c r="F39" s="4">
        <f ca="1">OFFSET(BOP_Reference,11,5)</f>
        <v>4.8710989542999998</v>
      </c>
      <c r="G39" s="4">
        <f ca="1">OFFSET(BOP_Reference,12,5)</f>
        <v>4.7833141906999996</v>
      </c>
      <c r="H39" s="4">
        <f ca="1">OFFSET(BOP_Reference,13,5)</f>
        <v>4.6777534090000001</v>
      </c>
      <c r="I39" s="1">
        <f ca="1">H39*('Updated Population'!I$37/'Updated Population'!H$37)</f>
        <v>4.7450259856537746</v>
      </c>
      <c r="J39" s="1">
        <f ca="1">I39*('Updated Population'!J$37/'Updated Population'!I$37)</f>
        <v>4.7979445800523317</v>
      </c>
      <c r="K39" s="1">
        <f ca="1">J39*('Updated Population'!K$37/'Updated Population'!J$37)</f>
        <v>4.8410272590760117</v>
      </c>
    </row>
    <row r="40" spans="1:11" x14ac:dyDescent="0.2">
      <c r="A40" t="str">
        <f ca="1">OFFSET(BOP_Reference,14,2)</f>
        <v>Light Vehicle Driver</v>
      </c>
      <c r="B40" s="4">
        <f ca="1">OFFSET(BOP_Reference,14,5)</f>
        <v>178.59124365</v>
      </c>
      <c r="C40" s="4">
        <f ca="1">OFFSET(BOP_Reference,15,5)</f>
        <v>184.10868529999999</v>
      </c>
      <c r="D40" s="4">
        <f ca="1">OFFSET(BOP_Reference,16,5)</f>
        <v>192.94495903000001</v>
      </c>
      <c r="E40" s="4">
        <f ca="1">OFFSET(BOP_Reference,17,5)</f>
        <v>201.15535392999999</v>
      </c>
      <c r="F40" s="4">
        <f ca="1">OFFSET(BOP_Reference,18,5)</f>
        <v>206.57793831999999</v>
      </c>
      <c r="G40" s="4">
        <f ca="1">OFFSET(BOP_Reference,19,5)</f>
        <v>208.58600691000001</v>
      </c>
      <c r="H40" s="4">
        <f ca="1">OFFSET(BOP_Reference,20,5)</f>
        <v>209.80091168000001</v>
      </c>
      <c r="I40" s="1">
        <f ca="1">H40*('Updated Population'!I$37/'Updated Population'!H$37)</f>
        <v>212.81813954110734</v>
      </c>
      <c r="J40" s="1">
        <f ca="1">I40*('Updated Population'!J$37/'Updated Population'!I$37)</f>
        <v>215.19158003249373</v>
      </c>
      <c r="K40" s="1">
        <f ca="1">J40*('Updated Population'!K$37/'Updated Population'!J$37)</f>
        <v>217.12387199970053</v>
      </c>
    </row>
    <row r="41" spans="1:11" x14ac:dyDescent="0.2">
      <c r="A41" t="str">
        <f ca="1">OFFSET(BOP_Reference,21,2)</f>
        <v>Light Vehicle Passenger</v>
      </c>
      <c r="B41" s="4">
        <f ca="1">OFFSET(BOP_Reference,21,5)</f>
        <v>98.719582360000004</v>
      </c>
      <c r="C41" s="4">
        <f ca="1">OFFSET(BOP_Reference,22,5)</f>
        <v>97.673571191999997</v>
      </c>
      <c r="D41" s="4">
        <f ca="1">OFFSET(BOP_Reference,23,5)</f>
        <v>98.044013820999993</v>
      </c>
      <c r="E41" s="4">
        <f ca="1">OFFSET(BOP_Reference,24,5)</f>
        <v>98.776055561000007</v>
      </c>
      <c r="F41" s="4">
        <f ca="1">OFFSET(BOP_Reference,25,5)</f>
        <v>98.957881990999994</v>
      </c>
      <c r="G41" s="4">
        <f ca="1">OFFSET(BOP_Reference,26,5)</f>
        <v>98.689899077999996</v>
      </c>
      <c r="H41" s="4">
        <f ca="1">OFFSET(BOP_Reference,27,5)</f>
        <v>98.005694833000007</v>
      </c>
      <c r="I41" s="1">
        <f ca="1">H41*('Updated Population'!I$37/'Updated Population'!H$37)</f>
        <v>99.415152545215946</v>
      </c>
      <c r="J41" s="1">
        <f ca="1">I41*('Updated Population'!J$37/'Updated Population'!I$37)</f>
        <v>100.52387358289138</v>
      </c>
      <c r="K41" s="1">
        <f ca="1">J41*('Updated Population'!K$37/'Updated Population'!J$37)</f>
        <v>101.42651797728359</v>
      </c>
    </row>
    <row r="42" spans="1:11" x14ac:dyDescent="0.2">
      <c r="A42" t="str">
        <f ca="1">OFFSET(BOP_Reference,28,2)</f>
        <v>Taxi/Vehicle Share</v>
      </c>
      <c r="B42" s="4">
        <f ca="1">OFFSET(BOP_Reference,28,5)</f>
        <v>0.15552198610000001</v>
      </c>
      <c r="C42" s="4">
        <f ca="1">OFFSET(BOP_Reference,29,5)</f>
        <v>0.1422718728</v>
      </c>
      <c r="D42" s="4">
        <f ca="1">OFFSET(BOP_Reference,30,5)</f>
        <v>0.13341823720000001</v>
      </c>
      <c r="E42" s="4">
        <f ca="1">OFFSET(BOP_Reference,31,5)</f>
        <v>0.12898925689999999</v>
      </c>
      <c r="F42" s="4">
        <f ca="1">OFFSET(BOP_Reference,32,5)</f>
        <v>0.1245980701</v>
      </c>
      <c r="G42" s="4">
        <f ca="1">OFFSET(BOP_Reference,33,5)</f>
        <v>0.1213411397</v>
      </c>
      <c r="H42" s="4">
        <f ca="1">OFFSET(BOP_Reference,34,5)</f>
        <v>0.1168292259</v>
      </c>
      <c r="I42" s="1">
        <f ca="1">H42*('Updated Population'!I$37/'Updated Population'!H$37)</f>
        <v>0.11850939207542031</v>
      </c>
      <c r="J42" s="1">
        <f ca="1">I42*('Updated Population'!J$37/'Updated Population'!I$37)</f>
        <v>0.11983106038042426</v>
      </c>
      <c r="K42" s="1">
        <f ca="1">J42*('Updated Population'!K$37/'Updated Population'!J$37)</f>
        <v>0.12090707179016438</v>
      </c>
    </row>
    <row r="43" spans="1:11" x14ac:dyDescent="0.2">
      <c r="A43" t="str">
        <f ca="1">OFFSET(BOP_Reference,35,2)</f>
        <v>Motorcyclist</v>
      </c>
      <c r="B43" s="4">
        <f ca="1">OFFSET(BOP_Reference,35,5)</f>
        <v>0.90641599910000004</v>
      </c>
      <c r="C43" s="4">
        <f ca="1">OFFSET(BOP_Reference,36,5)</f>
        <v>0.95954942519999997</v>
      </c>
      <c r="D43" s="4">
        <f ca="1">OFFSET(BOP_Reference,37,5)</f>
        <v>1.0068221891</v>
      </c>
      <c r="E43" s="4">
        <f ca="1">OFFSET(BOP_Reference,38,5)</f>
        <v>1.0022062250999999</v>
      </c>
      <c r="F43" s="4">
        <f ca="1">OFFSET(BOP_Reference,39,5)</f>
        <v>0.97484416640000005</v>
      </c>
      <c r="G43" s="4">
        <f ca="1">OFFSET(BOP_Reference,40,5)</f>
        <v>0.92808413460000005</v>
      </c>
      <c r="H43" s="4">
        <f ca="1">OFFSET(BOP_Reference,41,5)</f>
        <v>0.88015213839999995</v>
      </c>
      <c r="I43" s="1">
        <f ca="1">H43*('Updated Population'!I$37/'Updated Population'!H$37)</f>
        <v>0.89280994590297291</v>
      </c>
      <c r="J43" s="1">
        <f ca="1">I43*('Updated Population'!J$37/'Updated Population'!I$37)</f>
        <v>0.90276695088989656</v>
      </c>
      <c r="K43" s="1">
        <f ca="1">J43*('Updated Population'!K$37/'Updated Population'!J$37)</f>
        <v>0.91087325935791796</v>
      </c>
    </row>
    <row r="44" spans="1:11" x14ac:dyDescent="0.2">
      <c r="A44" t="str">
        <f ca="1">OFFSET(Auckland_Reference,42,2)</f>
        <v>Local Train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1">
        <f>H44*('Updated Population'!I$37/'Updated Population'!H$37)</f>
        <v>0</v>
      </c>
      <c r="J44" s="1">
        <f>I44*('Updated Population'!J$37/'Updated Population'!I$37)</f>
        <v>0</v>
      </c>
      <c r="K44" s="1">
        <f>J44*('Updated Population'!K$37/'Updated Population'!J$37)</f>
        <v>0</v>
      </c>
    </row>
    <row r="45" spans="1:11" x14ac:dyDescent="0.2">
      <c r="A45" t="str">
        <f ca="1">OFFSET(BOP_Reference,42,2)</f>
        <v>Local Bus</v>
      </c>
      <c r="B45" s="4">
        <f ca="1">OFFSET(BOP_Reference,42,5)</f>
        <v>7.4672006229000001</v>
      </c>
      <c r="C45" s="4">
        <f ca="1">OFFSET(BOP_Reference,43,5)</f>
        <v>7.2229718001999998</v>
      </c>
      <c r="D45" s="4">
        <f ca="1">OFFSET(BOP_Reference,44,5)</f>
        <v>7.0999095605999996</v>
      </c>
      <c r="E45" s="4">
        <f ca="1">OFFSET(BOP_Reference,45,5)</f>
        <v>7.0467231054999999</v>
      </c>
      <c r="F45" s="4">
        <f ca="1">OFFSET(BOP_Reference,46,5)</f>
        <v>6.9735147179999997</v>
      </c>
      <c r="G45" s="4">
        <f ca="1">OFFSET(BOP_Reference,47,5)</f>
        <v>6.9433184341</v>
      </c>
      <c r="H45" s="4">
        <f ca="1">OFFSET(BOP_Reference,48,5)</f>
        <v>6.8728409157000003</v>
      </c>
      <c r="I45" s="1">
        <f ca="1">H45*('Updated Population'!I$37/'Updated Population'!H$37)</f>
        <v>6.9716818927470285</v>
      </c>
      <c r="J45" s="1">
        <f ca="1">I45*('Updated Population'!J$37/'Updated Population'!I$37)</f>
        <v>7.0494331226609379</v>
      </c>
      <c r="K45" s="1">
        <f ca="1">J45*('Updated Population'!K$37/'Updated Population'!J$37)</f>
        <v>7.1127328251596245</v>
      </c>
    </row>
    <row r="46" spans="1:11" x14ac:dyDescent="0.2">
      <c r="A46" t="str">
        <f ca="1">OFFSET(Waikato_Reference,56,2)</f>
        <v>Local Ferry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1">
        <f>H46*('Updated Population'!I$37/'Updated Population'!H$37)</f>
        <v>0</v>
      </c>
      <c r="J46" s="1">
        <f>I46*('Updated Population'!J$37/'Updated Population'!I$37)</f>
        <v>0</v>
      </c>
      <c r="K46" s="1">
        <f>J46*('Updated Population'!K$37/'Updated Population'!J$37)</f>
        <v>0</v>
      </c>
    </row>
    <row r="47" spans="1:11" x14ac:dyDescent="0.2">
      <c r="A47" t="str">
        <f ca="1">OFFSET(BOP_Reference,49,2)</f>
        <v>Other Household Travel</v>
      </c>
      <c r="B47" s="4">
        <f ca="1">OFFSET(BOP_Reference,49,5)</f>
        <v>0.59853678389999998</v>
      </c>
      <c r="C47" s="4">
        <f ca="1">OFFSET(BOP_Reference,50,5)</f>
        <v>0.5853577042</v>
      </c>
      <c r="D47" s="4">
        <f ca="1">OFFSET(BOP_Reference,51,5)</f>
        <v>0.55593040299999996</v>
      </c>
      <c r="E47" s="4">
        <f ca="1">OFFSET(BOP_Reference,52,5)</f>
        <v>0.52618256389999996</v>
      </c>
      <c r="F47" s="4">
        <f ca="1">OFFSET(BOP_Reference,53,5)</f>
        <v>0.50189748899999997</v>
      </c>
      <c r="G47" s="4">
        <f ca="1">OFFSET(BOP_Reference,54,5)</f>
        <v>0.48390236079999999</v>
      </c>
      <c r="H47" s="4">
        <f ca="1">OFFSET(BOP_Reference,55,5)</f>
        <v>0.4643393394</v>
      </c>
      <c r="I47" s="1">
        <f ca="1">H47*('Updated Population'!I$37/'Updated Population'!H$37)</f>
        <v>0.47101718260204845</v>
      </c>
      <c r="J47" s="1">
        <f ca="1">I47*('Updated Population'!J$37/'Updated Population'!I$37)</f>
        <v>0.47627017116654302</v>
      </c>
      <c r="K47" s="1">
        <f ca="1">J47*('Updated Population'!K$37/'Updated Population'!J$37)</f>
        <v>0.48054679307631454</v>
      </c>
    </row>
    <row r="48" spans="1:11" x14ac:dyDescent="0.2">
      <c r="A48" t="str">
        <f ca="1">OFFSET(Gisborne_Reference,0,0)</f>
        <v>05 GISBORNE</v>
      </c>
      <c r="I48" s="1"/>
      <c r="J48" s="1"/>
      <c r="K48" s="1"/>
    </row>
    <row r="49" spans="1:11" x14ac:dyDescent="0.2">
      <c r="A49" t="str">
        <f ca="1">OFFSET(Gisborne_Reference,0,2)</f>
        <v>Pedestrian</v>
      </c>
      <c r="B49" s="4">
        <f ca="1">OFFSET(Gisborne_Reference,0,5)</f>
        <v>12.564280467</v>
      </c>
      <c r="C49" s="4">
        <f ca="1">OFFSET(Gisborne_Reference,1,5)</f>
        <v>12.142408828000001</v>
      </c>
      <c r="D49" s="4">
        <f ca="1">OFFSET(Gisborne_Reference,2,5)</f>
        <v>11.767292482</v>
      </c>
      <c r="E49" s="4">
        <f ca="1">OFFSET(Gisborne_Reference,3,5)</f>
        <v>11.476670889999999</v>
      </c>
      <c r="F49" s="4">
        <f ca="1">OFFSET(Gisborne_Reference,4,5)</f>
        <v>11.121824289999999</v>
      </c>
      <c r="G49" s="4">
        <f ca="1">OFFSET(Gisborne_Reference,5,5)</f>
        <v>10.745820267999999</v>
      </c>
      <c r="H49" s="4">
        <f ca="1">OFFSET(Gisborne_Reference,6,5)</f>
        <v>10.370735619</v>
      </c>
      <c r="I49" s="1">
        <f ca="1">H49*('Updated Population'!I$48/'Updated Population'!H$48)</f>
        <v>10.273401111256751</v>
      </c>
      <c r="J49" s="1">
        <f ca="1">I49*('Updated Population'!J$48/'Updated Population'!I$48)</f>
        <v>10.144585054929424</v>
      </c>
      <c r="K49" s="1">
        <f ca="1">J49*('Updated Population'!K$48/'Updated Population'!J$48)</f>
        <v>9.9958561909485883</v>
      </c>
    </row>
    <row r="50" spans="1:11" x14ac:dyDescent="0.2">
      <c r="A50" t="str">
        <f ca="1">OFFSET(Gisborne_Reference,7,2)</f>
        <v>Cyclist</v>
      </c>
      <c r="B50" s="4">
        <f ca="1">OFFSET(Gisborne_Reference,7,5)</f>
        <v>1.1119455742</v>
      </c>
      <c r="C50" s="4">
        <f ca="1">OFFSET(Gisborne_Reference,8,5)</f>
        <v>1.0683317897</v>
      </c>
      <c r="D50" s="4">
        <f ca="1">OFFSET(Gisborne_Reference,9,5)</f>
        <v>1.0468345075000001</v>
      </c>
      <c r="E50" s="4">
        <f ca="1">OFFSET(Gisborne_Reference,10,5)</f>
        <v>1.0269517094</v>
      </c>
      <c r="F50" s="4">
        <f ca="1">OFFSET(Gisborne_Reference,11,5)</f>
        <v>0.98680121229999995</v>
      </c>
      <c r="G50" s="4">
        <f ca="1">OFFSET(Gisborne_Reference,12,5)</f>
        <v>0.94008986439999997</v>
      </c>
      <c r="H50" s="4">
        <f ca="1">OFFSET(Gisborne_Reference,13,5)</f>
        <v>0.89187500519999996</v>
      </c>
      <c r="I50" s="1">
        <f ca="1">H50*('Updated Population'!I$48/'Updated Population'!H$48)</f>
        <v>0.88350431503983362</v>
      </c>
      <c r="J50" s="1">
        <f ca="1">I50*('Updated Population'!J$48/'Updated Population'!I$48)</f>
        <v>0.87242623676963893</v>
      </c>
      <c r="K50" s="1">
        <f ca="1">J50*('Updated Population'!K$48/'Updated Population'!J$48)</f>
        <v>0.85963567289746023</v>
      </c>
    </row>
    <row r="51" spans="1:11" x14ac:dyDescent="0.2">
      <c r="A51" t="str">
        <f ca="1">OFFSET(Gisborne_Reference,14,2)</f>
        <v>Light Vehicle Driver</v>
      </c>
      <c r="B51" s="4">
        <f ca="1">OFFSET(Gisborne_Reference,14,5)</f>
        <v>28.776347379000001</v>
      </c>
      <c r="C51" s="4">
        <f ca="1">OFFSET(Gisborne_Reference,15,5)</f>
        <v>29.443132583000001</v>
      </c>
      <c r="D51" s="4">
        <f ca="1">OFFSET(Gisborne_Reference,16,5)</f>
        <v>29.525948649</v>
      </c>
      <c r="E51" s="4">
        <f ca="1">OFFSET(Gisborne_Reference,17,5)</f>
        <v>29.310806385999999</v>
      </c>
      <c r="F51" s="4">
        <f ca="1">OFFSET(Gisborne_Reference,18,5)</f>
        <v>28.926517855</v>
      </c>
      <c r="G51" s="4">
        <f ca="1">OFFSET(Gisborne_Reference,19,5)</f>
        <v>28.561166501999999</v>
      </c>
      <c r="H51" s="4">
        <f ca="1">OFFSET(Gisborne_Reference,20,5)</f>
        <v>28.121779471</v>
      </c>
      <c r="I51" s="1">
        <f ca="1">H51*('Updated Population'!I$48/'Updated Population'!H$48)</f>
        <v>27.857842594944728</v>
      </c>
      <c r="J51" s="1">
        <f ca="1">I51*('Updated Population'!J$48/'Updated Population'!I$48)</f>
        <v>27.508538855900003</v>
      </c>
      <c r="K51" s="1">
        <f ca="1">J51*('Updated Population'!K$48/'Updated Population'!J$48)</f>
        <v>27.105238601463018</v>
      </c>
    </row>
    <row r="52" spans="1:11" x14ac:dyDescent="0.2">
      <c r="A52" t="str">
        <f ca="1">OFFSET(Gisborne_Reference,21,2)</f>
        <v>Light Vehicle Passenger</v>
      </c>
      <c r="B52" s="4">
        <f ca="1">OFFSET(Gisborne_Reference,21,5)</f>
        <v>18.791024854</v>
      </c>
      <c r="C52" s="4">
        <f ca="1">OFFSET(Gisborne_Reference,22,5)</f>
        <v>17.671432620000001</v>
      </c>
      <c r="D52" s="4">
        <f ca="1">OFFSET(Gisborne_Reference,23,5)</f>
        <v>16.709269882000001</v>
      </c>
      <c r="E52" s="4">
        <f ca="1">OFFSET(Gisborne_Reference,24,5)</f>
        <v>16.001085391</v>
      </c>
      <c r="F52" s="4">
        <f ca="1">OFFSET(Gisborne_Reference,25,5)</f>
        <v>15.359200202</v>
      </c>
      <c r="G52" s="4">
        <f ca="1">OFFSET(Gisborne_Reference,26,5)</f>
        <v>14.893223539999999</v>
      </c>
      <c r="H52" s="4">
        <f ca="1">OFFSET(Gisborne_Reference,27,5)</f>
        <v>14.392162568</v>
      </c>
      <c r="I52" s="1">
        <f ca="1">H52*('Updated Population'!I$48/'Updated Population'!H$48)</f>
        <v>14.257084969806231</v>
      </c>
      <c r="J52" s="1">
        <f ca="1">I52*('Updated Population'!J$48/'Updated Population'!I$48)</f>
        <v>14.078318323722325</v>
      </c>
      <c r="K52" s="1">
        <f ca="1">J52*('Updated Population'!K$48/'Updated Population'!J$48)</f>
        <v>13.871917344312095</v>
      </c>
    </row>
    <row r="53" spans="1:11" x14ac:dyDescent="0.2">
      <c r="A53" t="str">
        <f ca="1">OFFSET(Gisborne_Reference,28,2)</f>
        <v>Taxi/Vehicle Share</v>
      </c>
      <c r="B53" s="4">
        <f ca="1">OFFSET(Gisborne_Reference,28,5)</f>
        <v>2.27015811E-2</v>
      </c>
      <c r="C53" s="4">
        <f ca="1">OFFSET(Gisborne_Reference,29,5)</f>
        <v>2.4811977400000001E-2</v>
      </c>
      <c r="D53" s="4">
        <f ca="1">OFFSET(Gisborne_Reference,30,5)</f>
        <v>2.9629036300000001E-2</v>
      </c>
      <c r="E53" s="4">
        <f ca="1">OFFSET(Gisborne_Reference,31,5)</f>
        <v>3.7503022300000001E-2</v>
      </c>
      <c r="F53" s="4">
        <f ca="1">OFFSET(Gisborne_Reference,32,5)</f>
        <v>4.5445870399999998E-2</v>
      </c>
      <c r="G53" s="4">
        <f ca="1">OFFSET(Gisborne_Reference,33,5)</f>
        <v>5.17664787E-2</v>
      </c>
      <c r="H53" s="4">
        <f ca="1">OFFSET(Gisborne_Reference,34,5)</f>
        <v>5.9023290700000001E-2</v>
      </c>
      <c r="I53" s="1">
        <f ca="1">H53*('Updated Population'!I$48/'Updated Population'!H$48)</f>
        <v>5.8469327783893466E-2</v>
      </c>
      <c r="J53" s="1">
        <f ca="1">I53*('Updated Population'!J$48/'Updated Population'!I$48)</f>
        <v>5.7736192949609792E-2</v>
      </c>
      <c r="K53" s="1">
        <f ca="1">J53*('Updated Population'!K$48/'Updated Population'!J$48)</f>
        <v>5.6889727732799253E-2</v>
      </c>
    </row>
    <row r="54" spans="1:11" x14ac:dyDescent="0.2">
      <c r="A54" t="str">
        <f ca="1">OFFSET(Gisborne_Reference,35,2)</f>
        <v>Motorcyclist</v>
      </c>
      <c r="B54" s="4">
        <f ca="1">OFFSET(Gisborne_Reference,35,5)</f>
        <v>0.20072163900000001</v>
      </c>
      <c r="C54" s="4">
        <f ca="1">OFFSET(Gisborne_Reference,36,5)</f>
        <v>0.2021256957</v>
      </c>
      <c r="D54" s="4">
        <f ca="1">OFFSET(Gisborne_Reference,37,5)</f>
        <v>0.19350012259999999</v>
      </c>
      <c r="E54" s="4">
        <f ca="1">OFFSET(Gisborne_Reference,38,5)</f>
        <v>0.17843270510000001</v>
      </c>
      <c r="F54" s="4">
        <f ca="1">OFFSET(Gisborne_Reference,39,5)</f>
        <v>0.16463461169999999</v>
      </c>
      <c r="G54" s="4">
        <f ca="1">OFFSET(Gisborne_Reference,40,5)</f>
        <v>0.1536602088</v>
      </c>
      <c r="H54" s="4">
        <f ca="1">OFFSET(Gisborne_Reference,41,5)</f>
        <v>0.14195436249999999</v>
      </c>
      <c r="I54" s="1">
        <f ca="1">H54*('Updated Population'!I$48/'Updated Population'!H$48)</f>
        <v>0.14062205026068011</v>
      </c>
      <c r="J54" s="1">
        <f ca="1">I54*('Updated Population'!J$48/'Updated Population'!I$48)</f>
        <v>0.13885881939379655</v>
      </c>
      <c r="K54" s="1">
        <f ca="1">J54*('Updated Population'!K$48/'Updated Population'!J$48)</f>
        <v>0.13682302252775083</v>
      </c>
    </row>
    <row r="55" spans="1:11" x14ac:dyDescent="0.2">
      <c r="A55" t="str">
        <f ca="1">OFFSET(Gisborne_Reference,42,2)</f>
        <v>Local Train</v>
      </c>
      <c r="B55" s="4">
        <f ca="1">OFFSET(Gisborne_Reference,42,5)</f>
        <v>2.2764127700000001E-2</v>
      </c>
      <c r="C55" s="4">
        <f ca="1">OFFSET(Gisborne_Reference,43,5)</f>
        <v>3.4434643500000001E-2</v>
      </c>
      <c r="D55" s="4">
        <f ca="1">OFFSET(Gisborne_Reference,44,5)</f>
        <v>5.2264401500000002E-2</v>
      </c>
      <c r="E55" s="4">
        <f ca="1">OFFSET(Gisborne_Reference,45,5)</f>
        <v>7.8122237299999994E-2</v>
      </c>
      <c r="F55" s="4">
        <f ca="1">OFFSET(Gisborne_Reference,46,5)</f>
        <v>0.106930819</v>
      </c>
      <c r="G55" s="4">
        <f ca="1">OFFSET(Gisborne_Reference,47,5)</f>
        <v>0.12756954540000001</v>
      </c>
      <c r="H55" s="4">
        <f ca="1">OFFSET(Gisborne_Reference,48,5)</f>
        <v>0.15149648299999999</v>
      </c>
      <c r="I55" s="1">
        <f ca="1">H55*('Updated Population'!I$48/'Updated Population'!H$48)</f>
        <v>0.15007461321762669</v>
      </c>
      <c r="J55" s="1">
        <f ca="1">I55*('Updated Population'!J$48/'Updated Population'!I$48)</f>
        <v>0.14819285861462952</v>
      </c>
      <c r="K55" s="1">
        <f ca="1">J55*('Updated Population'!K$48/'Updated Population'!J$48)</f>
        <v>0.14602021622536623</v>
      </c>
    </row>
    <row r="56" spans="1:11" x14ac:dyDescent="0.2">
      <c r="A56" t="str">
        <f ca="1">OFFSET(Gisborne_Reference,49,2)</f>
        <v>Local Bus</v>
      </c>
      <c r="B56" s="4">
        <f ca="1">OFFSET(Gisborne_Reference,49,5)</f>
        <v>0.39415976190000002</v>
      </c>
      <c r="C56" s="4">
        <f ca="1">OFFSET(Gisborne_Reference,50,5)</f>
        <v>0.35686035490000001</v>
      </c>
      <c r="D56" s="4">
        <f ca="1">OFFSET(Gisborne_Reference,51,5)</f>
        <v>0.33600546850000002</v>
      </c>
      <c r="E56" s="4">
        <f ca="1">OFFSET(Gisborne_Reference,52,5)</f>
        <v>0.33883576570000001</v>
      </c>
      <c r="F56" s="4">
        <f ca="1">OFFSET(Gisborne_Reference,53,5)</f>
        <v>0.34490867069999998</v>
      </c>
      <c r="G56" s="4">
        <f ca="1">OFFSET(Gisborne_Reference,54,5)</f>
        <v>0.34785918659999998</v>
      </c>
      <c r="H56" s="4">
        <f ca="1">OFFSET(Gisborne_Reference,55,5)</f>
        <v>0.35373411329999999</v>
      </c>
      <c r="I56" s="1">
        <f ca="1">H56*('Updated Population'!I$48/'Updated Population'!H$48)</f>
        <v>0.35041414285094419</v>
      </c>
      <c r="J56" s="1">
        <f ca="1">I56*('Updated Population'!J$48/'Updated Population'!I$48)</f>
        <v>0.34602037223159987</v>
      </c>
      <c r="K56" s="1">
        <f ca="1">J56*('Updated Population'!K$48/'Updated Population'!J$48)</f>
        <v>0.3409473981673502</v>
      </c>
    </row>
    <row r="57" spans="1:11" x14ac:dyDescent="0.2">
      <c r="A57" t="str">
        <f ca="1">OFFSET(Gisborne_Reference,56,2)</f>
        <v>Local Ferry</v>
      </c>
      <c r="B57" s="4">
        <f ca="1">OFFSET(Gisborne_Reference,56,5)</f>
        <v>1.5651153399999999E-2</v>
      </c>
      <c r="C57" s="4">
        <f ca="1">OFFSET(Gisborne_Reference,57,5)</f>
        <v>1.5020386300000001E-2</v>
      </c>
      <c r="D57" s="4">
        <f ca="1">OFFSET(Gisborne_Reference,58,5)</f>
        <v>1.4228919499999999E-2</v>
      </c>
      <c r="E57" s="4">
        <f ca="1">OFFSET(Gisborne_Reference,59,5)</f>
        <v>1.2986311400000001E-2</v>
      </c>
      <c r="F57" s="4">
        <f ca="1">OFFSET(Gisborne_Reference,60,5)</f>
        <v>1.34539477E-2</v>
      </c>
      <c r="G57" s="4">
        <f ca="1">OFFSET(Gisborne_Reference,61,5)</f>
        <v>1.50244121E-2</v>
      </c>
      <c r="H57" s="4">
        <f ca="1">OFFSET(Gisborne_Reference,62,5)</f>
        <v>1.6544597099999999E-2</v>
      </c>
      <c r="I57" s="1">
        <f ca="1">H57*('Updated Population'!I$48/'Updated Population'!H$48)</f>
        <v>1.638931783402502E-2</v>
      </c>
      <c r="J57" s="1">
        <f ca="1">I57*('Updated Population'!J$48/'Updated Population'!I$48)</f>
        <v>1.6183815560103197E-2</v>
      </c>
      <c r="K57" s="1">
        <f ca="1">J57*('Updated Population'!K$48/'Updated Population'!J$48)</f>
        <v>1.5946546071987474E-2</v>
      </c>
    </row>
    <row r="58" spans="1:11" x14ac:dyDescent="0.2">
      <c r="A58" t="str">
        <f ca="1">OFFSET(Gisborne_Reference,63,2)</f>
        <v>Other Household Travel</v>
      </c>
      <c r="B58" s="4">
        <f ca="1">OFFSET(Gisborne_Reference,63,5)</f>
        <v>3.13358953E-2</v>
      </c>
      <c r="C58" s="4">
        <f ca="1">OFFSET(Gisborne_Reference,64,5)</f>
        <v>2.6646337400000001E-2</v>
      </c>
      <c r="D58" s="4">
        <f ca="1">OFFSET(Gisborne_Reference,65,5)</f>
        <v>2.0238863700000002E-2</v>
      </c>
      <c r="E58" s="4">
        <f ca="1">OFFSET(Gisborne_Reference,66,5)</f>
        <v>2.0581495299999999E-2</v>
      </c>
      <c r="F58" s="4">
        <f ca="1">OFFSET(Gisborne_Reference,67,5)</f>
        <v>1.9836614499999999E-2</v>
      </c>
      <c r="G58" s="4">
        <f ca="1">OFFSET(Gisborne_Reference,68,5)</f>
        <v>1.73395015E-2</v>
      </c>
      <c r="H58" s="4">
        <f ca="1">OFFSET(Gisborne_Reference,69,5)</f>
        <v>1.48788966E-2</v>
      </c>
      <c r="I58" s="1">
        <f ca="1">H58*('Updated Population'!I$48/'Updated Population'!H$48)</f>
        <v>1.4739250761023021E-2</v>
      </c>
      <c r="J58" s="1">
        <f ca="1">I58*('Updated Population'!J$48/'Updated Population'!I$48)</f>
        <v>1.4554438337591588E-2</v>
      </c>
      <c r="K58" s="1">
        <f ca="1">J58*('Updated Population'!K$48/'Updated Population'!J$48)</f>
        <v>1.4341057004781206E-2</v>
      </c>
    </row>
    <row r="59" spans="1:11" x14ac:dyDescent="0.2">
      <c r="A59" t="str">
        <f ca="1">OFFSET(Hawkes_Bay_Reference,0,0)</f>
        <v>06 HAWKE`S BAY</v>
      </c>
      <c r="I59" s="1"/>
      <c r="J59" s="1"/>
      <c r="K59" s="1"/>
    </row>
    <row r="60" spans="1:11" x14ac:dyDescent="0.2">
      <c r="A60" t="str">
        <f ca="1">OFFSET(Hawkes_Bay_Reference,0,2)</f>
        <v>Pedestrian</v>
      </c>
      <c r="B60" s="4">
        <f ca="1">OFFSET(Hawkes_Bay_Reference,0,5)</f>
        <v>26.538300281000001</v>
      </c>
      <c r="C60" s="4">
        <f ca="1">OFFSET(Hawkes_Bay_Reference,1,5)</f>
        <v>27.679859898</v>
      </c>
      <c r="D60" s="4">
        <f ca="1">OFFSET(Hawkes_Bay_Reference,2,5)</f>
        <v>28.610759256000001</v>
      </c>
      <c r="E60" s="4">
        <f ca="1">OFFSET(Hawkes_Bay_Reference,3,5)</f>
        <v>29.104459340999998</v>
      </c>
      <c r="F60" s="4">
        <f ca="1">OFFSET(Hawkes_Bay_Reference,4,5)</f>
        <v>29.067048437</v>
      </c>
      <c r="G60" s="4">
        <f ca="1">OFFSET(Hawkes_Bay_Reference,5,5)</f>
        <v>28.995177586000001</v>
      </c>
      <c r="H60" s="4">
        <f ca="1">OFFSET(Hawkes_Bay_Reference,6,5)</f>
        <v>28.758693649000001</v>
      </c>
      <c r="I60" s="1">
        <f ca="1">H60*('Updated Population'!I$59/'Updated Population'!H$59)</f>
        <v>28.559727330409558</v>
      </c>
      <c r="J60" s="1">
        <f ca="1">I60*('Updated Population'!J$59/'Updated Population'!I$59)</f>
        <v>28.271855984668765</v>
      </c>
      <c r="K60" s="1">
        <f ca="1">J60*('Updated Population'!K$59/'Updated Population'!J$59)</f>
        <v>27.926740648080855</v>
      </c>
    </row>
    <row r="61" spans="1:11" x14ac:dyDescent="0.2">
      <c r="A61" t="str">
        <f ca="1">OFFSET(Hawkes_Bay_Reference,7,2)</f>
        <v>Cyclist</v>
      </c>
      <c r="B61" s="4">
        <f ca="1">OFFSET(Hawkes_Bay_Reference,7,5)</f>
        <v>3.1819840940000002</v>
      </c>
      <c r="C61" s="4">
        <f ca="1">OFFSET(Hawkes_Bay_Reference,8,5)</f>
        <v>3.2781754430999999</v>
      </c>
      <c r="D61" s="4">
        <f ca="1">OFFSET(Hawkes_Bay_Reference,9,5)</f>
        <v>3.3921256815</v>
      </c>
      <c r="E61" s="4">
        <f ca="1">OFFSET(Hawkes_Bay_Reference,10,5)</f>
        <v>3.5141834976999999</v>
      </c>
      <c r="F61" s="4">
        <f ca="1">OFFSET(Hawkes_Bay_Reference,11,5)</f>
        <v>3.5387594181000002</v>
      </c>
      <c r="G61" s="4">
        <f ca="1">OFFSET(Hawkes_Bay_Reference,12,5)</f>
        <v>3.5701556992999999</v>
      </c>
      <c r="H61" s="4">
        <f ca="1">OFFSET(Hawkes_Bay_Reference,13,5)</f>
        <v>3.5823975057999999</v>
      </c>
      <c r="I61" s="1">
        <f ca="1">H61*('Updated Population'!I$59/'Updated Population'!H$59)</f>
        <v>3.5576127762793877</v>
      </c>
      <c r="J61" s="1">
        <f ca="1">I61*('Updated Population'!J$59/'Updated Population'!I$59)</f>
        <v>3.521753373082575</v>
      </c>
      <c r="K61" s="1">
        <f ca="1">J61*('Updated Population'!K$59/'Updated Population'!J$59)</f>
        <v>3.4787632311764303</v>
      </c>
    </row>
    <row r="62" spans="1:11" x14ac:dyDescent="0.2">
      <c r="A62" t="str">
        <f ca="1">OFFSET(Hawkes_Bay_Reference,14,2)</f>
        <v>Light Vehicle Driver</v>
      </c>
      <c r="B62" s="4">
        <f ca="1">OFFSET(Hawkes_Bay_Reference,14,5)</f>
        <v>111.16933473</v>
      </c>
      <c r="C62" s="4">
        <f ca="1">OFFSET(Hawkes_Bay_Reference,15,5)</f>
        <v>118.48084473</v>
      </c>
      <c r="D62" s="4">
        <f ca="1">OFFSET(Hawkes_Bay_Reference,16,5)</f>
        <v>123.72067284000001</v>
      </c>
      <c r="E62" s="4">
        <f ca="1">OFFSET(Hawkes_Bay_Reference,17,5)</f>
        <v>126.95338227000001</v>
      </c>
      <c r="F62" s="4">
        <f ca="1">OFFSET(Hawkes_Bay_Reference,18,5)</f>
        <v>128.90328147</v>
      </c>
      <c r="G62" s="4">
        <f ca="1">OFFSET(Hawkes_Bay_Reference,19,5)</f>
        <v>128.92571924999999</v>
      </c>
      <c r="H62" s="4">
        <f ca="1">OFFSET(Hawkes_Bay_Reference,20,5)</f>
        <v>128.36119982</v>
      </c>
      <c r="I62" s="1">
        <f ca="1">H62*('Updated Population'!I$59/'Updated Population'!H$59)</f>
        <v>127.47313599868224</v>
      </c>
      <c r="J62" s="1">
        <f ca="1">I62*('Updated Population'!J$59/'Updated Population'!I$59)</f>
        <v>126.18825457172733</v>
      </c>
      <c r="K62" s="1">
        <f ca="1">J62*('Updated Population'!K$59/'Updated Population'!J$59)</f>
        <v>124.64787101949156</v>
      </c>
    </row>
    <row r="63" spans="1:11" x14ac:dyDescent="0.2">
      <c r="A63" t="str">
        <f ca="1">OFFSET(Hawkes_Bay_Reference,21,2)</f>
        <v>Light Vehicle Passenger</v>
      </c>
      <c r="B63" s="4">
        <f ca="1">OFFSET(Hawkes_Bay_Reference,21,5)</f>
        <v>58.497679761999997</v>
      </c>
      <c r="C63" s="4">
        <f ca="1">OFFSET(Hawkes_Bay_Reference,22,5)</f>
        <v>59.436725383999999</v>
      </c>
      <c r="D63" s="4">
        <f ca="1">OFFSET(Hawkes_Bay_Reference,23,5)</f>
        <v>59.730429733000001</v>
      </c>
      <c r="E63" s="4">
        <f ca="1">OFFSET(Hawkes_Bay_Reference,24,5)</f>
        <v>59.462578329999999</v>
      </c>
      <c r="F63" s="4">
        <f ca="1">OFFSET(Hawkes_Bay_Reference,25,5)</f>
        <v>58.437571093000003</v>
      </c>
      <c r="G63" s="4">
        <f ca="1">OFFSET(Hawkes_Bay_Reference,26,5)</f>
        <v>57.541627235</v>
      </c>
      <c r="H63" s="4">
        <f ca="1">OFFSET(Hawkes_Bay_Reference,27,5)</f>
        <v>56.343318451000002</v>
      </c>
      <c r="I63" s="1">
        <f ca="1">H63*('Updated Population'!I$59/'Updated Population'!H$59)</f>
        <v>55.95350858042007</v>
      </c>
      <c r="J63" s="1">
        <f ca="1">I63*('Updated Population'!J$59/'Updated Population'!I$59)</f>
        <v>55.38951818836847</v>
      </c>
      <c r="K63" s="1">
        <f ca="1">J63*('Updated Population'!K$59/'Updated Population'!J$59)</f>
        <v>54.713376790952367</v>
      </c>
    </row>
    <row r="64" spans="1:11" x14ac:dyDescent="0.2">
      <c r="A64" t="str">
        <f ca="1">OFFSET(Hawkes_Bay_Reference,28,2)</f>
        <v>Taxi/Vehicle Share</v>
      </c>
      <c r="B64" s="4">
        <f ca="1">OFFSET(Hawkes_Bay_Reference,28,5)</f>
        <v>0.32519619989999998</v>
      </c>
      <c r="C64" s="4">
        <f ca="1">OFFSET(Hawkes_Bay_Reference,29,5)</f>
        <v>0.33335792860000002</v>
      </c>
      <c r="D64" s="4">
        <f ca="1">OFFSET(Hawkes_Bay_Reference,30,5)</f>
        <v>0.34725274080000001</v>
      </c>
      <c r="E64" s="4">
        <f ca="1">OFFSET(Hawkes_Bay_Reference,31,5)</f>
        <v>0.37936030970000001</v>
      </c>
      <c r="F64" s="4">
        <f ca="1">OFFSET(Hawkes_Bay_Reference,32,5)</f>
        <v>0.42477284279999999</v>
      </c>
      <c r="G64" s="4">
        <f ca="1">OFFSET(Hawkes_Bay_Reference,33,5)</f>
        <v>0.45356712719999998</v>
      </c>
      <c r="H64" s="4">
        <f ca="1">OFFSET(Hawkes_Bay_Reference,34,5)</f>
        <v>0.48085714280000003</v>
      </c>
      <c r="I64" s="1">
        <f ca="1">H64*('Updated Population'!I$59/'Updated Population'!H$59)</f>
        <v>0.4775303444190116</v>
      </c>
      <c r="J64" s="1">
        <f ca="1">I64*('Updated Population'!J$59/'Updated Population'!I$59)</f>
        <v>0.47271701755179063</v>
      </c>
      <c r="K64" s="1">
        <f ca="1">J64*('Updated Population'!K$59/'Updated Population'!J$59)</f>
        <v>0.46694654769966326</v>
      </c>
    </row>
    <row r="65" spans="1:11" x14ac:dyDescent="0.2">
      <c r="A65" t="str">
        <f ca="1">OFFSET(Hawkes_Bay_Reference,35,2)</f>
        <v>Motorcyclist</v>
      </c>
      <c r="B65" s="4">
        <f ca="1">OFFSET(Hawkes_Bay_Reference,35,5)</f>
        <v>0.65061969099999994</v>
      </c>
      <c r="C65" s="4">
        <f ca="1">OFFSET(Hawkes_Bay_Reference,36,5)</f>
        <v>0.62378405049999996</v>
      </c>
      <c r="D65" s="4">
        <f ca="1">OFFSET(Hawkes_Bay_Reference,37,5)</f>
        <v>0.59207820440000003</v>
      </c>
      <c r="E65" s="4">
        <f ca="1">OFFSET(Hawkes_Bay_Reference,38,5)</f>
        <v>0.5681072103</v>
      </c>
      <c r="F65" s="4">
        <f ca="1">OFFSET(Hawkes_Bay_Reference,39,5)</f>
        <v>0.53126534400000003</v>
      </c>
      <c r="G65" s="4">
        <f ca="1">OFFSET(Hawkes_Bay_Reference,40,5)</f>
        <v>0.49177647120000001</v>
      </c>
      <c r="H65" s="4">
        <f ca="1">OFFSET(Hawkes_Bay_Reference,41,5)</f>
        <v>0.452160809</v>
      </c>
      <c r="I65" s="1">
        <f ca="1">H65*('Updated Population'!I$59/'Updated Population'!H$59)</f>
        <v>0.44903254550251198</v>
      </c>
      <c r="J65" s="1">
        <f ca="1">I65*('Updated Population'!J$59/'Updated Population'!I$59)</f>
        <v>0.44450646576583375</v>
      </c>
      <c r="K65" s="1">
        <f ca="1">J65*('Updated Population'!K$59/'Updated Population'!J$59)</f>
        <v>0.43908036290822633</v>
      </c>
    </row>
    <row r="66" spans="1:11" x14ac:dyDescent="0.2">
      <c r="A66" t="str">
        <f ca="1">OFFSET(Auckland_Reference,42,2)</f>
        <v>Local Train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1">
        <f>H66*('Updated Population'!I$59/'Updated Population'!H$59)</f>
        <v>0</v>
      </c>
      <c r="J66" s="1">
        <f>I66*('Updated Population'!J$59/'Updated Population'!I$59)</f>
        <v>0</v>
      </c>
      <c r="K66" s="1">
        <f>J66*('Updated Population'!K$59/'Updated Population'!J$59)</f>
        <v>0</v>
      </c>
    </row>
    <row r="67" spans="1:11" x14ac:dyDescent="0.2">
      <c r="A67" t="str">
        <f ca="1">OFFSET(Hawkes_Bay_Reference,42,2)</f>
        <v>Local Bus</v>
      </c>
      <c r="B67" s="4">
        <f ca="1">OFFSET(Hawkes_Bay_Reference,42,5)</f>
        <v>4.5218645043999999</v>
      </c>
      <c r="C67" s="4">
        <f ca="1">OFFSET(Hawkes_Bay_Reference,43,5)</f>
        <v>4.4994219165000002</v>
      </c>
      <c r="D67" s="4">
        <f ca="1">OFFSET(Hawkes_Bay_Reference,44,5)</f>
        <v>4.4918476599000003</v>
      </c>
      <c r="E67" s="4">
        <f ca="1">OFFSET(Hawkes_Bay_Reference,45,5)</f>
        <v>4.4988621173999999</v>
      </c>
      <c r="F67" s="4">
        <f ca="1">OFFSET(Hawkes_Bay_Reference,46,5)</f>
        <v>4.3612924271000004</v>
      </c>
      <c r="G67" s="4">
        <f ca="1">OFFSET(Hawkes_Bay_Reference,47,5)</f>
        <v>4.3277477956999997</v>
      </c>
      <c r="H67" s="4">
        <f ca="1">OFFSET(Hawkes_Bay_Reference,48,5)</f>
        <v>4.2737948616999999</v>
      </c>
      <c r="I67" s="1">
        <f ca="1">H67*('Updated Population'!I$59/'Updated Population'!H$59)</f>
        <v>4.2442267164837526</v>
      </c>
      <c r="J67" s="1">
        <f ca="1">I67*('Updated Population'!J$59/'Updated Population'!I$59)</f>
        <v>4.2014465021501834</v>
      </c>
      <c r="K67" s="1">
        <f ca="1">J67*('Updated Population'!K$59/'Updated Population'!J$59)</f>
        <v>4.1501593272108392</v>
      </c>
    </row>
    <row r="68" spans="1:11" x14ac:dyDescent="0.2">
      <c r="A68" t="str">
        <f ca="1">OFFSET(Waikato_Reference,56,2)</f>
        <v>Local Ferry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1">
        <f>H68*('Updated Population'!I$59/'Updated Population'!H$59)</f>
        <v>0</v>
      </c>
      <c r="J68" s="1">
        <f>I68*('Updated Population'!J$59/'Updated Population'!I$59)</f>
        <v>0</v>
      </c>
      <c r="K68" s="1">
        <f>J68*('Updated Population'!K$59/'Updated Population'!J$59)</f>
        <v>0</v>
      </c>
    </row>
    <row r="69" spans="1:11" x14ac:dyDescent="0.2">
      <c r="A69" t="str">
        <f ca="1">OFFSET(Hawkes_Bay_Reference,49,2)</f>
        <v>Other Household Travel</v>
      </c>
      <c r="B69" s="4">
        <f ca="1">OFFSET(Hawkes_Bay_Reference,49,5)</f>
        <v>0.49138149730000003</v>
      </c>
      <c r="C69" s="4">
        <f ca="1">OFFSET(Hawkes_Bay_Reference,50,5)</f>
        <v>0.53110834730000001</v>
      </c>
      <c r="D69" s="4">
        <f ca="1">OFFSET(Hawkes_Bay_Reference,51,5)</f>
        <v>0.61975372139999996</v>
      </c>
      <c r="E69" s="4">
        <f ca="1">OFFSET(Hawkes_Bay_Reference,52,5)</f>
        <v>0.70721419919999995</v>
      </c>
      <c r="F69" s="4">
        <f ca="1">OFFSET(Hawkes_Bay_Reference,53,5)</f>
        <v>0.76754483949999996</v>
      </c>
      <c r="G69" s="4">
        <f ca="1">OFFSET(Hawkes_Bay_Reference,54,5)</f>
        <v>0.83529125140000005</v>
      </c>
      <c r="H69" s="4">
        <f ca="1">OFFSET(Hawkes_Bay_Reference,55,5)</f>
        <v>0.89961476399999996</v>
      </c>
      <c r="I69" s="1">
        <f ca="1">H69*('Updated Population'!I$59/'Updated Population'!H$59)</f>
        <v>0.89339080125929615</v>
      </c>
      <c r="J69" s="1">
        <f ca="1">I69*('Updated Population'!J$59/'Updated Population'!I$59)</f>
        <v>0.88438575687439691</v>
      </c>
      <c r="K69" s="1">
        <f ca="1">J69*('Updated Population'!K$59/'Updated Population'!J$59)</f>
        <v>0.87359003520961587</v>
      </c>
    </row>
    <row r="70" spans="1:11" x14ac:dyDescent="0.2">
      <c r="A70" t="str">
        <f ca="1">OFFSET(Taranaki_Reference,0,0)</f>
        <v>07 TARANAKI</v>
      </c>
      <c r="I70" s="1"/>
      <c r="J70" s="1"/>
      <c r="K70" s="1"/>
    </row>
    <row r="71" spans="1:11" x14ac:dyDescent="0.2">
      <c r="A71" t="str">
        <f ca="1">OFFSET(Taranaki_Reference,0,2)</f>
        <v>Pedestrian</v>
      </c>
      <c r="B71" s="4">
        <f ca="1">OFFSET(Taranaki_Reference,0,5)</f>
        <v>23.308571313000002</v>
      </c>
      <c r="C71" s="4">
        <f ca="1">OFFSET(Taranaki_Reference,1,5)</f>
        <v>24.428552687</v>
      </c>
      <c r="D71" s="4">
        <f ca="1">OFFSET(Taranaki_Reference,2,5)</f>
        <v>24.96163851</v>
      </c>
      <c r="E71" s="4">
        <f ca="1">OFFSET(Taranaki_Reference,3,5)</f>
        <v>25.145805365000001</v>
      </c>
      <c r="F71" s="4">
        <f ca="1">OFFSET(Taranaki_Reference,4,5)</f>
        <v>25.137351346999999</v>
      </c>
      <c r="G71" s="4">
        <f ca="1">OFFSET(Taranaki_Reference,5,5)</f>
        <v>25.024126322000001</v>
      </c>
      <c r="H71" s="4">
        <f ca="1">OFFSET(Taranaki_Reference,6,5)</f>
        <v>24.805968183000001</v>
      </c>
      <c r="I71" s="1">
        <f ca="1">H71*('Updated Population'!I$70/'Updated Population'!H$70)</f>
        <v>24.969049560175339</v>
      </c>
      <c r="J71" s="1">
        <f ca="1">I71*('Updated Population'!J$70/'Updated Population'!I$70)</f>
        <v>25.053199764001082</v>
      </c>
      <c r="K71" s="1">
        <f ca="1">J71*('Updated Population'!K$70/'Updated Population'!J$70)</f>
        <v>25.083611171178756</v>
      </c>
    </row>
    <row r="72" spans="1:11" x14ac:dyDescent="0.2">
      <c r="A72" t="str">
        <f ca="1">OFFSET(Taranaki_Reference,7,2)</f>
        <v>Cyclist</v>
      </c>
      <c r="B72" s="4">
        <f ca="1">OFFSET(Taranaki_Reference,7,5)</f>
        <v>2.1611397319000001</v>
      </c>
      <c r="C72" s="4">
        <f ca="1">OFFSET(Taranaki_Reference,8,5)</f>
        <v>2.1913231084999998</v>
      </c>
      <c r="D72" s="4">
        <f ca="1">OFFSET(Taranaki_Reference,9,5)</f>
        <v>2.1918669836000002</v>
      </c>
      <c r="E72" s="4">
        <f ca="1">OFFSET(Taranaki_Reference,10,5)</f>
        <v>2.1811750935999998</v>
      </c>
      <c r="F72" s="4">
        <f ca="1">OFFSET(Taranaki_Reference,11,5)</f>
        <v>2.1765782403</v>
      </c>
      <c r="G72" s="4">
        <f ca="1">OFFSET(Taranaki_Reference,12,5)</f>
        <v>2.1376069092000001</v>
      </c>
      <c r="H72" s="4">
        <f ca="1">OFFSET(Taranaki_Reference,13,5)</f>
        <v>2.0943327346</v>
      </c>
      <c r="I72" s="1">
        <f ca="1">H72*('Updated Population'!I$70/'Updated Population'!H$70)</f>
        <v>2.1081014641292115</v>
      </c>
      <c r="J72" s="1">
        <f ca="1">I72*('Updated Population'!J$70/'Updated Population'!I$70)</f>
        <v>2.1152061465667349</v>
      </c>
      <c r="K72" s="1">
        <f ca="1">J72*('Updated Population'!K$70/'Updated Population'!J$70)</f>
        <v>2.1177737385707069</v>
      </c>
    </row>
    <row r="73" spans="1:11" x14ac:dyDescent="0.2">
      <c r="A73" t="str">
        <f ca="1">OFFSET(Taranaki_Reference,14,2)</f>
        <v>Light Vehicle Driver</v>
      </c>
      <c r="B73" s="4">
        <f ca="1">OFFSET(Taranaki_Reference,14,5)</f>
        <v>90.801950900999998</v>
      </c>
      <c r="C73" s="4">
        <f ca="1">OFFSET(Taranaki_Reference,15,5)</f>
        <v>97.579419178999999</v>
      </c>
      <c r="D73" s="4">
        <f ca="1">OFFSET(Taranaki_Reference,16,5)</f>
        <v>102.58171752</v>
      </c>
      <c r="E73" s="4">
        <f ca="1">OFFSET(Taranaki_Reference,17,5)</f>
        <v>105.43772668</v>
      </c>
      <c r="F73" s="4">
        <f ca="1">OFFSET(Taranaki_Reference,18,5)</f>
        <v>106.48039591</v>
      </c>
      <c r="G73" s="4">
        <f ca="1">OFFSET(Taranaki_Reference,19,5)</f>
        <v>107.54551639</v>
      </c>
      <c r="H73" s="4">
        <f ca="1">OFFSET(Taranaki_Reference,20,5)</f>
        <v>108.179361</v>
      </c>
      <c r="I73" s="1">
        <f ca="1">H73*('Updated Population'!I$70/'Updated Population'!H$70)</f>
        <v>108.89056239490941</v>
      </c>
      <c r="J73" s="1">
        <f ca="1">I73*('Updated Population'!J$70/'Updated Population'!I$70)</f>
        <v>109.25754324446672</v>
      </c>
      <c r="K73" s="1">
        <f ca="1">J73*('Updated Population'!K$70/'Updated Population'!J$70)</f>
        <v>109.3901680455356</v>
      </c>
    </row>
    <row r="74" spans="1:11" x14ac:dyDescent="0.2">
      <c r="A74" t="str">
        <f ca="1">OFFSET(Taranaki_Reference,21,2)</f>
        <v>Light Vehicle Passenger</v>
      </c>
      <c r="B74" s="4">
        <f ca="1">OFFSET(Taranaki_Reference,21,5)</f>
        <v>45.48406773</v>
      </c>
      <c r="C74" s="4">
        <f ca="1">OFFSET(Taranaki_Reference,22,5)</f>
        <v>46.032677818000003</v>
      </c>
      <c r="D74" s="4">
        <f ca="1">OFFSET(Taranaki_Reference,23,5)</f>
        <v>45.911958089000002</v>
      </c>
      <c r="E74" s="4">
        <f ca="1">OFFSET(Taranaki_Reference,24,5)</f>
        <v>45.614941270999999</v>
      </c>
      <c r="F74" s="4">
        <f ca="1">OFFSET(Taranaki_Reference,25,5)</f>
        <v>45.424986099000002</v>
      </c>
      <c r="G74" s="4">
        <f ca="1">OFFSET(Taranaki_Reference,26,5)</f>
        <v>45.101060617999998</v>
      </c>
      <c r="H74" s="4">
        <f ca="1">OFFSET(Taranaki_Reference,27,5)</f>
        <v>44.563696704000002</v>
      </c>
      <c r="I74" s="1">
        <f ca="1">H74*('Updated Population'!I$70/'Updated Population'!H$70)</f>
        <v>44.856670917983429</v>
      </c>
      <c r="J74" s="1">
        <f ca="1">I74*('Updated Population'!J$70/'Updated Population'!I$70)</f>
        <v>45.007845995416616</v>
      </c>
      <c r="K74" s="1">
        <f ca="1">J74*('Updated Population'!K$70/'Updated Population'!J$70)</f>
        <v>45.062479812400085</v>
      </c>
    </row>
    <row r="75" spans="1:11" x14ac:dyDescent="0.2">
      <c r="A75" t="str">
        <f ca="1">OFFSET(Taranaki_Reference,28,2)</f>
        <v>Taxi/Vehicle Share</v>
      </c>
      <c r="B75" s="4">
        <f ca="1">OFFSET(Taranaki_Reference,28,5)</f>
        <v>0.56194422089999996</v>
      </c>
      <c r="C75" s="4">
        <f ca="1">OFFSET(Taranaki_Reference,29,5)</f>
        <v>0.68077201769999995</v>
      </c>
      <c r="D75" s="4">
        <f ca="1">OFFSET(Taranaki_Reference,30,5)</f>
        <v>0.74640816600000004</v>
      </c>
      <c r="E75" s="4">
        <f ca="1">OFFSET(Taranaki_Reference,31,5)</f>
        <v>0.80749891750000002</v>
      </c>
      <c r="F75" s="4">
        <f ca="1">OFFSET(Taranaki_Reference,32,5)</f>
        <v>0.82242841519999998</v>
      </c>
      <c r="G75" s="4">
        <f ca="1">OFFSET(Taranaki_Reference,33,5)</f>
        <v>0.82829720579999999</v>
      </c>
      <c r="H75" s="4">
        <f ca="1">OFFSET(Taranaki_Reference,34,5)</f>
        <v>0.82641757390000004</v>
      </c>
      <c r="I75" s="1">
        <f ca="1">H75*('Updated Population'!I$70/'Updated Population'!H$70)</f>
        <v>0.83185067431677295</v>
      </c>
      <c r="J75" s="1">
        <f ca="1">I75*('Updated Population'!J$70/'Updated Population'!I$70)</f>
        <v>0.83465416123475267</v>
      </c>
      <c r="K75" s="1">
        <f ca="1">J75*('Updated Population'!K$70/'Updated Population'!J$70)</f>
        <v>0.83566732553268486</v>
      </c>
    </row>
    <row r="76" spans="1:11" x14ac:dyDescent="0.2">
      <c r="A76" t="str">
        <f ca="1">OFFSET(Taranaki_Reference,35,2)</f>
        <v>Motorcyclist</v>
      </c>
      <c r="B76" s="4">
        <f ca="1">OFFSET(Taranaki_Reference,35,5)</f>
        <v>1.091812341</v>
      </c>
      <c r="C76" s="4">
        <f ca="1">OFFSET(Taranaki_Reference,36,5)</f>
        <v>1.1613104882</v>
      </c>
      <c r="D76" s="4">
        <f ca="1">OFFSET(Taranaki_Reference,37,5)</f>
        <v>1.1650970164000001</v>
      </c>
      <c r="E76" s="4">
        <f ca="1">OFFSET(Taranaki_Reference,38,5)</f>
        <v>1.0978777792000001</v>
      </c>
      <c r="F76" s="4">
        <f ca="1">OFFSET(Taranaki_Reference,39,5)</f>
        <v>1.0427687430999999</v>
      </c>
      <c r="G76" s="4">
        <f ca="1">OFFSET(Taranaki_Reference,40,5)</f>
        <v>1.0278800849</v>
      </c>
      <c r="H76" s="4">
        <f ca="1">OFFSET(Taranaki_Reference,41,5)</f>
        <v>1.0076347406999999</v>
      </c>
      <c r="I76" s="1">
        <f ca="1">H76*('Updated Population'!I$70/'Updated Population'!H$70)</f>
        <v>1.0142592134877899</v>
      </c>
      <c r="J76" s="1">
        <f ca="1">I76*('Updated Population'!J$70/'Updated Population'!I$70)</f>
        <v>1.0176774501067467</v>
      </c>
      <c r="K76" s="1">
        <f ca="1">J76*('Updated Population'!K$70/'Updated Population'!J$70)</f>
        <v>1.0189127814657057</v>
      </c>
    </row>
    <row r="77" spans="1:11" x14ac:dyDescent="0.2">
      <c r="A77" t="str">
        <f ca="1">OFFSET(Taranaki_Reference,42,2)</f>
        <v>Local Train</v>
      </c>
      <c r="B77" s="4">
        <f ca="1">OFFSET(Taranaki_Reference,42,5)</f>
        <v>5.3266318100000001E-2</v>
      </c>
      <c r="C77" s="4">
        <f ca="1">OFFSET(Taranaki_Reference,43,5)</f>
        <v>5.1742098600000001E-2</v>
      </c>
      <c r="D77" s="4">
        <f ca="1">OFFSET(Taranaki_Reference,44,5)</f>
        <v>4.6649097700000003E-2</v>
      </c>
      <c r="E77" s="4">
        <f ca="1">OFFSET(Taranaki_Reference,45,5)</f>
        <v>4.3200567699999998E-2</v>
      </c>
      <c r="F77" s="4">
        <f ca="1">OFFSET(Taranaki_Reference,46,5)</f>
        <v>4.5008697E-2</v>
      </c>
      <c r="G77" s="4">
        <f ca="1">OFFSET(Taranaki_Reference,47,5)</f>
        <v>5.0112339499999999E-2</v>
      </c>
      <c r="H77" s="4">
        <f ca="1">OFFSET(Taranaki_Reference,48,5)</f>
        <v>5.4499178799999999E-2</v>
      </c>
      <c r="I77" s="1">
        <f ca="1">H77*('Updated Population'!I$70/'Updated Population'!H$70)</f>
        <v>5.4857471653883438E-2</v>
      </c>
      <c r="J77" s="1">
        <f ca="1">I77*('Updated Population'!J$70/'Updated Population'!I$70)</f>
        <v>5.5042351234898888E-2</v>
      </c>
      <c r="K77" s="1">
        <f ca="1">J77*('Updated Population'!K$70/'Updated Population'!J$70)</f>
        <v>5.5109165668631471E-2</v>
      </c>
    </row>
    <row r="78" spans="1:11" x14ac:dyDescent="0.2">
      <c r="A78" t="str">
        <f ca="1">OFFSET(Taranaki_Reference,49,2)</f>
        <v>Local Bus</v>
      </c>
      <c r="B78" s="4">
        <f ca="1">OFFSET(Taranaki_Reference,49,5)</f>
        <v>1.2787514622</v>
      </c>
      <c r="C78" s="4">
        <f ca="1">OFFSET(Taranaki_Reference,50,5)</f>
        <v>1.3193405162</v>
      </c>
      <c r="D78" s="4">
        <f ca="1">OFFSET(Taranaki_Reference,51,5)</f>
        <v>1.3350223726999999</v>
      </c>
      <c r="E78" s="4">
        <f ca="1">OFFSET(Taranaki_Reference,52,5)</f>
        <v>1.30795017</v>
      </c>
      <c r="F78" s="4">
        <f ca="1">OFFSET(Taranaki_Reference,53,5)</f>
        <v>1.2622677299</v>
      </c>
      <c r="G78" s="4">
        <f ca="1">OFFSET(Taranaki_Reference,54,5)</f>
        <v>1.2700775642</v>
      </c>
      <c r="H78" s="4">
        <f ca="1">OFFSET(Taranaki_Reference,55,5)</f>
        <v>1.2750341216000001</v>
      </c>
      <c r="I78" s="1">
        <f ca="1">H78*('Updated Population'!I$70/'Updated Population'!H$70)</f>
        <v>1.2834165527537487</v>
      </c>
      <c r="J78" s="1">
        <f ca="1">I78*('Updated Population'!J$70/'Updated Population'!I$70)</f>
        <v>1.2877418981877942</v>
      </c>
      <c r="K78" s="1">
        <f ca="1">J78*('Updated Population'!K$70/'Updated Population'!J$70)</f>
        <v>1.2893050535361905</v>
      </c>
    </row>
    <row r="79" spans="1:11" x14ac:dyDescent="0.2">
      <c r="A79" t="str">
        <f ca="1">OFFSET(Waikato_Reference,56,2)</f>
        <v>Local Ferry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1">
        <f>H79*('Updated Population'!I$70/'Updated Population'!H$70)</f>
        <v>0</v>
      </c>
      <c r="J79" s="1">
        <f>I79*('Updated Population'!J$70/'Updated Population'!I$70)</f>
        <v>0</v>
      </c>
      <c r="K79" s="1">
        <f>J79*('Updated Population'!K$70/'Updated Population'!J$70)</f>
        <v>0</v>
      </c>
    </row>
    <row r="80" spans="1:11" x14ac:dyDescent="0.2">
      <c r="A80" t="str">
        <f ca="1">OFFSET(Taranaki_Reference,56,2)</f>
        <v>Other Household Travel</v>
      </c>
      <c r="B80" s="4">
        <f ca="1">OFFSET(Taranaki_Reference,56,5)</f>
        <v>0.17475937220000001</v>
      </c>
      <c r="C80" s="4">
        <f ca="1">OFFSET(Taranaki_Reference,57,5)</f>
        <v>0.1855548575</v>
      </c>
      <c r="D80" s="4">
        <f ca="1">OFFSET(Taranaki_Reference,58,5)</f>
        <v>0.19455219400000001</v>
      </c>
      <c r="E80" s="4">
        <f ca="1">OFFSET(Taranaki_Reference,59,5)</f>
        <v>0.2075285298</v>
      </c>
      <c r="F80" s="4">
        <f ca="1">OFFSET(Taranaki_Reference,60,5)</f>
        <v>0.2328889422</v>
      </c>
      <c r="G80" s="4">
        <f ca="1">OFFSET(Taranaki_Reference,61,5)</f>
        <v>0.25271862049999999</v>
      </c>
      <c r="H80" s="4">
        <f ca="1">OFFSET(Taranaki_Reference,62,5)</f>
        <v>0.26568745049999998</v>
      </c>
      <c r="I80" s="1">
        <f ca="1">H80*('Updated Population'!I$70/'Updated Population'!H$70)</f>
        <v>0.26743415415639821</v>
      </c>
      <c r="J80" s="1">
        <f ca="1">I80*('Updated Population'!J$70/'Updated Population'!I$70)</f>
        <v>0.26833545552664023</v>
      </c>
      <c r="K80" s="1">
        <f ca="1">J80*('Updated Population'!K$70/'Updated Population'!J$70)</f>
        <v>0.26866118073839357</v>
      </c>
    </row>
    <row r="81" spans="1:11" x14ac:dyDescent="0.2">
      <c r="A81" t="str">
        <f ca="1">OFFSET(Manawatu_Reference,0,0)</f>
        <v>08 MANAWATU-WANGANUI</v>
      </c>
      <c r="I81" s="1"/>
      <c r="J81" s="1"/>
      <c r="K81" s="1"/>
    </row>
    <row r="82" spans="1:11" x14ac:dyDescent="0.2">
      <c r="A82" t="str">
        <f ca="1">OFFSET(Manawatu_Reference,0,2)</f>
        <v>Pedestrian</v>
      </c>
      <c r="B82" s="4">
        <f ca="1">OFFSET(Manawatu_Reference,0,5)</f>
        <v>39.544031846000003</v>
      </c>
      <c r="C82" s="4">
        <f ca="1">OFFSET(Manawatu_Reference,1,5)</f>
        <v>38.747288760000004</v>
      </c>
      <c r="D82" s="4">
        <f ca="1">OFFSET(Manawatu_Reference,2,5)</f>
        <v>37.613829013999997</v>
      </c>
      <c r="E82" s="4">
        <f ca="1">OFFSET(Manawatu_Reference,3,5)</f>
        <v>36.087513074999997</v>
      </c>
      <c r="F82" s="4">
        <f ca="1">OFFSET(Manawatu_Reference,4,5)</f>
        <v>34.792072251999997</v>
      </c>
      <c r="G82" s="4">
        <f ca="1">OFFSET(Manawatu_Reference,5,5)</f>
        <v>33.663252628999999</v>
      </c>
      <c r="H82" s="4">
        <f ca="1">OFFSET(Manawatu_Reference,6,5)</f>
        <v>32.498796087000002</v>
      </c>
      <c r="I82" s="1">
        <f ca="1">H82*('Updated Population'!I$81/'Updated Population'!H$81)</f>
        <v>32.231119526768069</v>
      </c>
      <c r="J82" s="1">
        <f ca="1">I82*('Updated Population'!J$81/'Updated Population'!I$81)</f>
        <v>31.863895521981817</v>
      </c>
      <c r="K82" s="1">
        <f ca="1">J82*('Updated Population'!K$81/'Updated Population'!J$81)</f>
        <v>31.433158096740524</v>
      </c>
    </row>
    <row r="83" spans="1:11" x14ac:dyDescent="0.2">
      <c r="A83" t="str">
        <f ca="1">OFFSET(Manawatu_Reference,7,2)</f>
        <v>Cyclist</v>
      </c>
      <c r="B83" s="4">
        <f ca="1">OFFSET(Manawatu_Reference,7,5)</f>
        <v>4.6745036201000003</v>
      </c>
      <c r="C83" s="4">
        <f ca="1">OFFSET(Manawatu_Reference,8,5)</f>
        <v>4.8924618022999997</v>
      </c>
      <c r="D83" s="4">
        <f ca="1">OFFSET(Manawatu_Reference,9,5)</f>
        <v>5.0785923155999999</v>
      </c>
      <c r="E83" s="4">
        <f ca="1">OFFSET(Manawatu_Reference,10,5)</f>
        <v>5.2129145006000002</v>
      </c>
      <c r="F83" s="4">
        <f ca="1">OFFSET(Manawatu_Reference,11,5)</f>
        <v>5.3691444793000001</v>
      </c>
      <c r="G83" s="4">
        <f ca="1">OFFSET(Manawatu_Reference,12,5)</f>
        <v>5.3169612224999998</v>
      </c>
      <c r="H83" s="4">
        <f ca="1">OFFSET(Manawatu_Reference,13,5)</f>
        <v>5.2270414566000003</v>
      </c>
      <c r="I83" s="1">
        <f ca="1">H83*('Updated Population'!I$81/'Updated Population'!H$81)</f>
        <v>5.1839888932512892</v>
      </c>
      <c r="J83" s="1">
        <f ca="1">I83*('Updated Population'!J$81/'Updated Population'!I$81)</f>
        <v>5.1249253177348946</v>
      </c>
      <c r="K83" s="1">
        <f ca="1">J83*('Updated Population'!K$81/'Updated Population'!J$81)</f>
        <v>5.0556463705204155</v>
      </c>
    </row>
    <row r="84" spans="1:11" x14ac:dyDescent="0.2">
      <c r="A84" t="str">
        <f ca="1">OFFSET(Manawatu_Reference,14,2)</f>
        <v>Light Vehicle Driver</v>
      </c>
      <c r="B84" s="4">
        <f ca="1">OFFSET(Manawatu_Reference,14,5)</f>
        <v>178.69640117</v>
      </c>
      <c r="C84" s="4">
        <f ca="1">OFFSET(Manawatu_Reference,15,5)</f>
        <v>190.53984130000001</v>
      </c>
      <c r="D84" s="4">
        <f ca="1">OFFSET(Manawatu_Reference,16,5)</f>
        <v>196.60968793999999</v>
      </c>
      <c r="E84" s="4">
        <f ca="1">OFFSET(Manawatu_Reference,17,5)</f>
        <v>198.41565265</v>
      </c>
      <c r="F84" s="4">
        <f ca="1">OFFSET(Manawatu_Reference,18,5)</f>
        <v>200.58084801999999</v>
      </c>
      <c r="G84" s="4">
        <f ca="1">OFFSET(Manawatu_Reference,19,5)</f>
        <v>200.55342327</v>
      </c>
      <c r="H84" s="4">
        <f ca="1">OFFSET(Manawatu_Reference,20,5)</f>
        <v>199.60305457999999</v>
      </c>
      <c r="I84" s="1">
        <f ca="1">H84*('Updated Population'!I$81/'Updated Population'!H$81)</f>
        <v>197.95902263128625</v>
      </c>
      <c r="J84" s="1">
        <f ca="1">I84*('Updated Population'!J$81/'Updated Population'!I$81)</f>
        <v>195.70358421829971</v>
      </c>
      <c r="K84" s="1">
        <f ca="1">J84*('Updated Population'!K$81/'Updated Population'!J$81)</f>
        <v>193.05805527101424</v>
      </c>
    </row>
    <row r="85" spans="1:11" x14ac:dyDescent="0.2">
      <c r="A85" t="str">
        <f ca="1">OFFSET(Manawatu_Reference,21,2)</f>
        <v>Light Vehicle Passenger</v>
      </c>
      <c r="B85" s="4">
        <f ca="1">OFFSET(Manawatu_Reference,21,5)</f>
        <v>84.046137802999993</v>
      </c>
      <c r="C85" s="4">
        <f ca="1">OFFSET(Manawatu_Reference,22,5)</f>
        <v>83.487040914999994</v>
      </c>
      <c r="D85" s="4">
        <f ca="1">OFFSET(Manawatu_Reference,23,5)</f>
        <v>82.487814665000002</v>
      </c>
      <c r="E85" s="4">
        <f ca="1">OFFSET(Manawatu_Reference,24,5)</f>
        <v>81.159871222000007</v>
      </c>
      <c r="F85" s="4">
        <f ca="1">OFFSET(Manawatu_Reference,25,5)</f>
        <v>80.491277304999997</v>
      </c>
      <c r="G85" s="4">
        <f ca="1">OFFSET(Manawatu_Reference,26,5)</f>
        <v>79.106475465000003</v>
      </c>
      <c r="H85" s="4">
        <f ca="1">OFFSET(Manawatu_Reference,27,5)</f>
        <v>77.338407837000005</v>
      </c>
      <c r="I85" s="1">
        <f ca="1">H85*('Updated Population'!I$81/'Updated Population'!H$81)</f>
        <v>76.701409502409277</v>
      </c>
      <c r="J85" s="1">
        <f ca="1">I85*('Updated Population'!J$81/'Updated Population'!I$81)</f>
        <v>75.827514981096343</v>
      </c>
      <c r="K85" s="1">
        <f ca="1">J85*('Updated Population'!K$81/'Updated Population'!J$81)</f>
        <v>74.802475574258253</v>
      </c>
    </row>
    <row r="86" spans="1:11" x14ac:dyDescent="0.2">
      <c r="A86" t="str">
        <f ca="1">OFFSET(Manawatu_Reference,28,2)</f>
        <v>Taxi/Vehicle Share</v>
      </c>
      <c r="B86" s="4">
        <f ca="1">OFFSET(Manawatu_Reference,28,5)</f>
        <v>0.99874441920000001</v>
      </c>
      <c r="C86" s="4">
        <f ca="1">OFFSET(Manawatu_Reference,29,5)</f>
        <v>1.1002310403</v>
      </c>
      <c r="D86" s="4">
        <f ca="1">OFFSET(Manawatu_Reference,30,5)</f>
        <v>1.1421527327000001</v>
      </c>
      <c r="E86" s="4">
        <f ca="1">OFFSET(Manawatu_Reference,31,5)</f>
        <v>1.1269840790000001</v>
      </c>
      <c r="F86" s="4">
        <f ca="1">OFFSET(Manawatu_Reference,32,5)</f>
        <v>1.1027621072</v>
      </c>
      <c r="G86" s="4">
        <f ca="1">OFFSET(Manawatu_Reference,33,5)</f>
        <v>1.1330636912000001</v>
      </c>
      <c r="H86" s="4">
        <f ca="1">OFFSET(Manawatu_Reference,34,5)</f>
        <v>1.1637068523</v>
      </c>
      <c r="I86" s="1">
        <f ca="1">H86*('Updated Population'!I$81/'Updated Population'!H$81)</f>
        <v>1.1541219727091343</v>
      </c>
      <c r="J86" s="1">
        <f ca="1">I86*('Updated Population'!J$81/'Updated Population'!I$81)</f>
        <v>1.1409725289711321</v>
      </c>
      <c r="K86" s="1">
        <f ca="1">J86*('Updated Population'!K$81/'Updated Population'!J$81)</f>
        <v>1.1255488162910228</v>
      </c>
    </row>
    <row r="87" spans="1:11" x14ac:dyDescent="0.2">
      <c r="A87" t="str">
        <f ca="1">OFFSET(Manawatu_Reference,35,2)</f>
        <v>Motorcyclist</v>
      </c>
      <c r="B87" s="4">
        <f ca="1">OFFSET(Manawatu_Reference,35,5)</f>
        <v>0.79000583589999995</v>
      </c>
      <c r="C87" s="4">
        <f ca="1">OFFSET(Manawatu_Reference,36,5)</f>
        <v>0.73454540800000001</v>
      </c>
      <c r="D87" s="4">
        <f ca="1">OFFSET(Manawatu_Reference,37,5)</f>
        <v>0.6667682882</v>
      </c>
      <c r="E87" s="4">
        <f ca="1">OFFSET(Manawatu_Reference,38,5)</f>
        <v>0.58009078510000001</v>
      </c>
      <c r="F87" s="4">
        <f ca="1">OFFSET(Manawatu_Reference,39,5)</f>
        <v>0.53325662139999996</v>
      </c>
      <c r="G87" s="4">
        <f ca="1">OFFSET(Manawatu_Reference,40,5)</f>
        <v>0.51785307859999996</v>
      </c>
      <c r="H87" s="4">
        <f ca="1">OFFSET(Manawatu_Reference,41,5)</f>
        <v>0.4950732799</v>
      </c>
      <c r="I87" s="1">
        <f ca="1">H87*('Updated Population'!I$81/'Updated Population'!H$81)</f>
        <v>0.49099560538333126</v>
      </c>
      <c r="J87" s="1">
        <f ca="1">I87*('Updated Population'!J$81/'Updated Population'!I$81)</f>
        <v>0.48540146607980589</v>
      </c>
      <c r="K87" s="1">
        <f ca="1">J87*('Updated Population'!K$81/'Updated Population'!J$81)</f>
        <v>0.47883978947741662</v>
      </c>
    </row>
    <row r="88" spans="1:11" x14ac:dyDescent="0.2">
      <c r="A88" t="str">
        <f ca="1">OFFSET(Taranaki_Reference,42,2)</f>
        <v>Local Train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1">
        <f>H88*('Updated Population'!I$81/'Updated Population'!H$81)</f>
        <v>0</v>
      </c>
      <c r="J88" s="1">
        <f>I88*('Updated Population'!J$81/'Updated Population'!I$81)</f>
        <v>0</v>
      </c>
      <c r="K88" s="1">
        <f>J88*('Updated Population'!K$81/'Updated Population'!J$81)</f>
        <v>0</v>
      </c>
    </row>
    <row r="89" spans="1:11" x14ac:dyDescent="0.2">
      <c r="A89" t="str">
        <f ca="1">OFFSET(Manawatu_Reference,42,2)</f>
        <v>Local Bus</v>
      </c>
      <c r="B89" s="4">
        <f ca="1">OFFSET(Manawatu_Reference,42,5)</f>
        <v>5.2110099151</v>
      </c>
      <c r="C89" s="4">
        <f ca="1">OFFSET(Manawatu_Reference,43,5)</f>
        <v>4.7739474266000004</v>
      </c>
      <c r="D89" s="4">
        <f ca="1">OFFSET(Manawatu_Reference,44,5)</f>
        <v>4.4287568471999998</v>
      </c>
      <c r="E89" s="4">
        <f ca="1">OFFSET(Manawatu_Reference,45,5)</f>
        <v>4.2398654522000001</v>
      </c>
      <c r="F89" s="4">
        <f ca="1">OFFSET(Manawatu_Reference,46,5)</f>
        <v>4.0807161754000001</v>
      </c>
      <c r="G89" s="4">
        <f ca="1">OFFSET(Manawatu_Reference,47,5)</f>
        <v>3.9708109778999998</v>
      </c>
      <c r="H89" s="4">
        <f ca="1">OFFSET(Manawatu_Reference,48,5)</f>
        <v>3.8413456586999999</v>
      </c>
      <c r="I89" s="1">
        <f ca="1">H89*('Updated Population'!I$81/'Updated Population'!H$81)</f>
        <v>3.8097063884381086</v>
      </c>
      <c r="J89" s="1">
        <f ca="1">I89*('Updated Population'!J$81/'Updated Population'!I$81)</f>
        <v>3.7663006471060356</v>
      </c>
      <c r="K89" s="1">
        <f ca="1">J89*('Updated Population'!K$81/'Updated Population'!J$81)</f>
        <v>3.7153876430039503</v>
      </c>
    </row>
    <row r="90" spans="1:11" x14ac:dyDescent="0.2">
      <c r="A90" t="str">
        <f ca="1">OFFSET(Manawatu_Reference,49,2)</f>
        <v>Local Ferry</v>
      </c>
      <c r="B90" s="4">
        <f ca="1">OFFSET(Manawatu_Reference,49,5)</f>
        <v>0.1068619116</v>
      </c>
      <c r="C90" s="4">
        <f ca="1">OFFSET(Manawatu_Reference,50,5)</f>
        <v>0.1189573463</v>
      </c>
      <c r="D90" s="4">
        <f ca="1">OFFSET(Manawatu_Reference,51,5)</f>
        <v>0.1273773996</v>
      </c>
      <c r="E90" s="4">
        <f ca="1">OFFSET(Manawatu_Reference,52,5)</f>
        <v>0.13635575059999999</v>
      </c>
      <c r="F90" s="4">
        <f ca="1">OFFSET(Manawatu_Reference,53,5)</f>
        <v>0.1353941471</v>
      </c>
      <c r="G90" s="4">
        <f ca="1">OFFSET(Manawatu_Reference,54,5)</f>
        <v>0.12848109129999999</v>
      </c>
      <c r="H90" s="4">
        <f ca="1">OFFSET(Manawatu_Reference,55,5)</f>
        <v>0.1208823715</v>
      </c>
      <c r="I90" s="1">
        <f ca="1">H90*('Updated Population'!I$81/'Updated Population'!H$81)</f>
        <v>0.11988672300553956</v>
      </c>
      <c r="J90" s="1">
        <f ca="1">I90*('Updated Population'!J$81/'Updated Population'!I$81)</f>
        <v>0.11852079829708408</v>
      </c>
      <c r="K90" s="1">
        <f ca="1">J90*('Updated Population'!K$81/'Updated Population'!J$81)</f>
        <v>0.11691862936388474</v>
      </c>
    </row>
    <row r="91" spans="1:11" x14ac:dyDescent="0.2">
      <c r="A91" t="str">
        <f ca="1">OFFSET(Manawatu_Reference,56,2)</f>
        <v>Other Household Travel</v>
      </c>
      <c r="B91" s="4">
        <f ca="1">OFFSET(Manawatu_Reference,56,5)</f>
        <v>0.24513607779999999</v>
      </c>
      <c r="C91" s="4">
        <f ca="1">OFFSET(Manawatu_Reference,57,5)</f>
        <v>0.2320282907</v>
      </c>
      <c r="D91" s="4">
        <f ca="1">OFFSET(Manawatu_Reference,58,5)</f>
        <v>0.21108542899999999</v>
      </c>
      <c r="E91" s="4">
        <f ca="1">OFFSET(Manawatu_Reference,59,5)</f>
        <v>0.18051617110000001</v>
      </c>
      <c r="F91" s="4">
        <f ca="1">OFFSET(Manawatu_Reference,60,5)</f>
        <v>0.16179723600000001</v>
      </c>
      <c r="G91" s="4">
        <f ca="1">OFFSET(Manawatu_Reference,61,5)</f>
        <v>0.1440297556</v>
      </c>
      <c r="H91" s="4">
        <f ca="1">OFFSET(Manawatu_Reference,62,5)</f>
        <v>0.12634801330000001</v>
      </c>
      <c r="I91" s="1">
        <f ca="1">H91*('Updated Population'!I$81/'Updated Population'!H$81)</f>
        <v>0.12530734700880125</v>
      </c>
      <c r="J91" s="1">
        <f ca="1">I91*('Updated Population'!J$81/'Updated Population'!I$81)</f>
        <v>0.12387966263192143</v>
      </c>
      <c r="K91" s="1">
        <f ca="1">J91*('Updated Population'!K$81/'Updated Population'!J$81)</f>
        <v>0.12220505235443596</v>
      </c>
    </row>
    <row r="92" spans="1:11" x14ac:dyDescent="0.2">
      <c r="A92" t="str">
        <f ca="1">OFFSET(Wellington_Reference,0,0)</f>
        <v>09 WELLINGTON</v>
      </c>
      <c r="I92" s="1"/>
      <c r="J92" s="1"/>
      <c r="K92" s="1"/>
    </row>
    <row r="93" spans="1:11" x14ac:dyDescent="0.2">
      <c r="A93" t="str">
        <f ca="1">OFFSET(Wellington_Reference,0,2)</f>
        <v>Pedestrian</v>
      </c>
      <c r="B93" s="4">
        <f ca="1">OFFSET(Wellington_Reference,0,5)</f>
        <v>182.29561206</v>
      </c>
      <c r="C93" s="4">
        <f ca="1">OFFSET(Wellington_Reference,1,5)</f>
        <v>192.43410817</v>
      </c>
      <c r="D93" s="4">
        <f ca="1">OFFSET(Wellington_Reference,2,5)</f>
        <v>197.99484332</v>
      </c>
      <c r="E93" s="4">
        <f ca="1">OFFSET(Wellington_Reference,3,5)</f>
        <v>201.98673004</v>
      </c>
      <c r="F93" s="4">
        <f ca="1">OFFSET(Wellington_Reference,4,5)</f>
        <v>204.87334146000001</v>
      </c>
      <c r="G93" s="4">
        <f ca="1">OFFSET(Wellington_Reference,5,5)</f>
        <v>207.79767039000001</v>
      </c>
      <c r="H93" s="4">
        <f ca="1">OFFSET(Wellington_Reference,6,5)</f>
        <v>210.04155366000001</v>
      </c>
      <c r="I93" s="1">
        <f ca="1">H93*('Updated Population'!I$92/'Updated Population'!H$92)</f>
        <v>211.43062754236976</v>
      </c>
      <c r="J93" s="1">
        <f ca="1">I93*('Updated Population'!J$92/'Updated Population'!I$92)</f>
        <v>212.15141680592583</v>
      </c>
      <c r="K93" s="1">
        <f ca="1">J93*('Updated Population'!K$92/'Updated Population'!J$92)</f>
        <v>212.41718191623116</v>
      </c>
    </row>
    <row r="94" spans="1:11" x14ac:dyDescent="0.2">
      <c r="A94" t="str">
        <f ca="1">OFFSET(Wellington_Reference,7,2)</f>
        <v>Cyclist</v>
      </c>
      <c r="B94" s="4">
        <f ca="1">OFFSET(Wellington_Reference,7,5)</f>
        <v>8.1327913301999999</v>
      </c>
      <c r="C94" s="4">
        <f ca="1">OFFSET(Wellington_Reference,8,5)</f>
        <v>8.2883092386000001</v>
      </c>
      <c r="D94" s="4">
        <f ca="1">OFFSET(Wellington_Reference,9,5)</f>
        <v>8.2917630324000005</v>
      </c>
      <c r="E94" s="4">
        <f ca="1">OFFSET(Wellington_Reference,10,5)</f>
        <v>8.2119591862999997</v>
      </c>
      <c r="F94" s="4">
        <f ca="1">OFFSET(Wellington_Reference,11,5)</f>
        <v>8.2309131369999999</v>
      </c>
      <c r="G94" s="4">
        <f ca="1">OFFSET(Wellington_Reference,12,5)</f>
        <v>8.3901853035999991</v>
      </c>
      <c r="H94" s="4">
        <f ca="1">OFFSET(Wellington_Reference,13,5)</f>
        <v>8.5378098106000007</v>
      </c>
      <c r="I94" s="1">
        <f ca="1">H94*('Updated Population'!I$92/'Updated Population'!H$92)</f>
        <v>8.5942731551805807</v>
      </c>
      <c r="J94" s="1">
        <f ca="1">I94*('Updated Population'!J$92/'Updated Population'!I$92)</f>
        <v>8.6235719369622359</v>
      </c>
      <c r="K94" s="1">
        <f ca="1">J94*('Updated Population'!K$92/'Updated Population'!J$92)</f>
        <v>8.6343748087109038</v>
      </c>
    </row>
    <row r="95" spans="1:11" x14ac:dyDescent="0.2">
      <c r="A95" t="str">
        <f ca="1">OFFSET(Wellington_Reference,14,2)</f>
        <v>Light Vehicle Driver</v>
      </c>
      <c r="B95" s="4">
        <f ca="1">OFFSET(Wellington_Reference,14,5)</f>
        <v>377.93589692</v>
      </c>
      <c r="C95" s="4">
        <f ca="1">OFFSET(Wellington_Reference,15,5)</f>
        <v>397.86137673000002</v>
      </c>
      <c r="D95" s="4">
        <f ca="1">OFFSET(Wellington_Reference,16,5)</f>
        <v>411.53846742000002</v>
      </c>
      <c r="E95" s="4">
        <f ca="1">OFFSET(Wellington_Reference,17,5)</f>
        <v>421.59419184000001</v>
      </c>
      <c r="F95" s="4">
        <f ca="1">OFFSET(Wellington_Reference,18,5)</f>
        <v>429.40100139999998</v>
      </c>
      <c r="G95" s="4">
        <f ca="1">OFFSET(Wellington_Reference,19,5)</f>
        <v>433.9361902</v>
      </c>
      <c r="H95" s="4">
        <f ca="1">OFFSET(Wellington_Reference,20,5)</f>
        <v>436.91000087999998</v>
      </c>
      <c r="I95" s="1">
        <f ca="1">H95*('Updated Population'!I$92/'Updated Population'!H$92)</f>
        <v>439.79943042664564</v>
      </c>
      <c r="J95" s="1">
        <f ca="1">I95*('Updated Population'!J$92/'Updated Population'!I$92)</f>
        <v>441.29875297633669</v>
      </c>
      <c r="K95" s="1">
        <f ca="1">J95*('Updated Population'!K$92/'Updated Population'!J$92)</f>
        <v>441.85157422791309</v>
      </c>
    </row>
    <row r="96" spans="1:11" x14ac:dyDescent="0.2">
      <c r="A96" t="str">
        <f ca="1">OFFSET(Wellington_Reference,21,2)</f>
        <v>Light Vehicle Passenger</v>
      </c>
      <c r="B96" s="4">
        <f ca="1">OFFSET(Wellington_Reference,21,5)</f>
        <v>183.55442563</v>
      </c>
      <c r="C96" s="4">
        <f ca="1">OFFSET(Wellington_Reference,22,5)</f>
        <v>186.81886415</v>
      </c>
      <c r="D96" s="4">
        <f ca="1">OFFSET(Wellington_Reference,23,5)</f>
        <v>188.20377342</v>
      </c>
      <c r="E96" s="4">
        <f ca="1">OFFSET(Wellington_Reference,24,5)</f>
        <v>188.10378731</v>
      </c>
      <c r="F96" s="4">
        <f ca="1">OFFSET(Wellington_Reference,25,5)</f>
        <v>188.55047826000001</v>
      </c>
      <c r="G96" s="4">
        <f ca="1">OFFSET(Wellington_Reference,26,5)</f>
        <v>188.90913423000001</v>
      </c>
      <c r="H96" s="4">
        <f ca="1">OFFSET(Wellington_Reference,27,5)</f>
        <v>188.47659497000001</v>
      </c>
      <c r="I96" s="1">
        <f ca="1">H96*('Updated Population'!I$92/'Updated Population'!H$92)</f>
        <v>189.72305268728869</v>
      </c>
      <c r="J96" s="1">
        <f ca="1">I96*('Updated Population'!J$92/'Updated Population'!I$92)</f>
        <v>190.3698385433193</v>
      </c>
      <c r="K96" s="1">
        <f ca="1">J96*('Updated Population'!K$92/'Updated Population'!J$92)</f>
        <v>190.60831755939654</v>
      </c>
    </row>
    <row r="97" spans="1:11" x14ac:dyDescent="0.2">
      <c r="A97" t="str">
        <f ca="1">OFFSET(Wellington_Reference,28,2)</f>
        <v>Taxi/Vehicle Share</v>
      </c>
      <c r="B97" s="4">
        <f ca="1">OFFSET(Wellington_Reference,28,5)</f>
        <v>2.3579512121000001</v>
      </c>
      <c r="C97" s="4">
        <f ca="1">OFFSET(Wellington_Reference,29,5)</f>
        <v>2.5751050881999999</v>
      </c>
      <c r="D97" s="4">
        <f ca="1">OFFSET(Wellington_Reference,30,5)</f>
        <v>2.7149192420000001</v>
      </c>
      <c r="E97" s="4">
        <f ca="1">OFFSET(Wellington_Reference,31,5)</f>
        <v>2.8168358596999998</v>
      </c>
      <c r="F97" s="4">
        <f ca="1">OFFSET(Wellington_Reference,32,5)</f>
        <v>2.8982414793000002</v>
      </c>
      <c r="G97" s="4">
        <f ca="1">OFFSET(Wellington_Reference,33,5)</f>
        <v>2.9763403998000002</v>
      </c>
      <c r="H97" s="4">
        <f ca="1">OFFSET(Wellington_Reference,34,5)</f>
        <v>3.0484241626999999</v>
      </c>
      <c r="I97" s="1">
        <f ca="1">H97*('Updated Population'!I$92/'Updated Population'!H$92)</f>
        <v>3.068584394392277</v>
      </c>
      <c r="J97" s="1">
        <f ca="1">I97*('Updated Population'!J$92/'Updated Population'!I$92)</f>
        <v>3.0790455215785473</v>
      </c>
      <c r="K97" s="1">
        <f ca="1">J97*('Updated Population'!K$92/'Updated Population'!J$92)</f>
        <v>3.0829026858859909</v>
      </c>
    </row>
    <row r="98" spans="1:11" x14ac:dyDescent="0.2">
      <c r="A98" t="str">
        <f ca="1">OFFSET(Wellington_Reference,35,2)</f>
        <v>Motorcyclist</v>
      </c>
      <c r="B98" s="4">
        <f ca="1">OFFSET(Wellington_Reference,35,5)</f>
        <v>2.4968267649999998</v>
      </c>
      <c r="C98" s="4">
        <f ca="1">OFFSET(Wellington_Reference,36,5)</f>
        <v>2.6405109623</v>
      </c>
      <c r="D98" s="4">
        <f ca="1">OFFSET(Wellington_Reference,37,5)</f>
        <v>2.6944098393</v>
      </c>
      <c r="E98" s="4">
        <f ca="1">OFFSET(Wellington_Reference,38,5)</f>
        <v>2.7500100097</v>
      </c>
      <c r="F98" s="4">
        <f ca="1">OFFSET(Wellington_Reference,39,5)</f>
        <v>2.8133572193999998</v>
      </c>
      <c r="G98" s="4">
        <f ca="1">OFFSET(Wellington_Reference,40,5)</f>
        <v>2.8501696076999998</v>
      </c>
      <c r="H98" s="4">
        <f ca="1">OFFSET(Wellington_Reference,41,5)</f>
        <v>2.8513140264999999</v>
      </c>
      <c r="I98" s="1">
        <f ca="1">H98*('Updated Population'!I$92/'Updated Population'!H$92)</f>
        <v>2.8701707040270428</v>
      </c>
      <c r="J98" s="1">
        <f ca="1">I98*('Updated Population'!J$92/'Updated Population'!I$92)</f>
        <v>2.8799554180586999</v>
      </c>
      <c r="K98" s="1">
        <f ca="1">J98*('Updated Population'!K$92/'Updated Population'!J$92)</f>
        <v>2.883563179349566</v>
      </c>
    </row>
    <row r="99" spans="1:11" x14ac:dyDescent="0.2">
      <c r="A99" t="str">
        <f ca="1">OFFSET(Wellington_Reference,42,2)</f>
        <v>Local Train</v>
      </c>
      <c r="B99" s="4">
        <f ca="1">OFFSET(Wellington_Reference,42,5)</f>
        <v>10.165258230999999</v>
      </c>
      <c r="C99" s="4">
        <f ca="1">OFFSET(Wellington_Reference,43,5)</f>
        <v>10.9389138</v>
      </c>
      <c r="D99" s="4">
        <f ca="1">OFFSET(Wellington_Reference,44,5)</f>
        <v>11.465730113999999</v>
      </c>
      <c r="E99" s="4">
        <f ca="1">OFFSET(Wellington_Reference,45,5)</f>
        <v>11.868558672000001</v>
      </c>
      <c r="F99" s="4">
        <f ca="1">OFFSET(Wellington_Reference,46,5)</f>
        <v>12.166184658000001</v>
      </c>
      <c r="G99" s="4">
        <f ca="1">OFFSET(Wellington_Reference,47,5)</f>
        <v>12.519927922000001</v>
      </c>
      <c r="H99" s="4">
        <f ca="1">OFFSET(Wellington_Reference,48,5)</f>
        <v>12.830146576000001</v>
      </c>
      <c r="I99" s="1">
        <f ca="1">H99*('Updated Population'!I$92/'Updated Population'!H$92)</f>
        <v>12.914996555469047</v>
      </c>
      <c r="J99" s="1">
        <f ca="1">I99*('Updated Population'!J$92/'Updated Population'!I$92)</f>
        <v>12.959025138102755</v>
      </c>
      <c r="K99" s="1">
        <f ca="1">J99*('Updated Population'!K$92/'Updated Population'!J$92)</f>
        <v>12.975259094006184</v>
      </c>
    </row>
    <row r="100" spans="1:11" x14ac:dyDescent="0.2">
      <c r="A100" t="str">
        <f ca="1">OFFSET(Wellington_Reference,49,2)</f>
        <v>Local Bus</v>
      </c>
      <c r="B100" s="4">
        <f ca="1">OFFSET(Wellington_Reference,49,5)</f>
        <v>24.821335829999999</v>
      </c>
      <c r="C100" s="4">
        <f ca="1">OFFSET(Wellington_Reference,50,5)</f>
        <v>25.763393008000001</v>
      </c>
      <c r="D100" s="4">
        <f ca="1">OFFSET(Wellington_Reference,51,5)</f>
        <v>26.140608413999999</v>
      </c>
      <c r="E100" s="4">
        <f ca="1">OFFSET(Wellington_Reference,52,5)</f>
        <v>26.492151513</v>
      </c>
      <c r="F100" s="4">
        <f ca="1">OFFSET(Wellington_Reference,53,5)</f>
        <v>26.498180754</v>
      </c>
      <c r="G100" s="4">
        <f ca="1">OFFSET(Wellington_Reference,54,5)</f>
        <v>26.334150153</v>
      </c>
      <c r="H100" s="4">
        <f ca="1">OFFSET(Wellington_Reference,55,5)</f>
        <v>26.043893530999998</v>
      </c>
      <c r="I100" s="1">
        <f ca="1">H100*('Updated Population'!I$92/'Updated Population'!H$92)</f>
        <v>26.216130365420351</v>
      </c>
      <c r="J100" s="1">
        <f ca="1">I100*('Updated Population'!J$92/'Updated Population'!I$92)</f>
        <v>26.305503913231416</v>
      </c>
      <c r="K100" s="1">
        <f ca="1">J100*('Updated Population'!K$92/'Updated Population'!J$92)</f>
        <v>26.338457193743949</v>
      </c>
    </row>
    <row r="101" spans="1:11" x14ac:dyDescent="0.2">
      <c r="A101" t="str">
        <f ca="1">OFFSET(Wellington_Reference,56,2)</f>
        <v>Local Ferry</v>
      </c>
      <c r="B101" s="4">
        <f ca="1">OFFSET(Wellington_Reference,56,5)</f>
        <v>0.22615005399999999</v>
      </c>
      <c r="C101" s="4">
        <f ca="1">OFFSET(Wellington_Reference,57,5)</f>
        <v>0.26644856049999999</v>
      </c>
      <c r="D101" s="4">
        <f ca="1">OFFSET(Wellington_Reference,58,5)</f>
        <v>0.29356523960000003</v>
      </c>
      <c r="E101" s="4">
        <f ca="1">OFFSET(Wellington_Reference,59,5)</f>
        <v>0.30321469020000003</v>
      </c>
      <c r="F101" s="4">
        <f ca="1">OFFSET(Wellington_Reference,60,5)</f>
        <v>0.31348181790000001</v>
      </c>
      <c r="G101" s="4">
        <f ca="1">OFFSET(Wellington_Reference,61,5)</f>
        <v>0.33066703419999999</v>
      </c>
      <c r="H101" s="4">
        <f ca="1">OFFSET(Wellington_Reference,62,5)</f>
        <v>0.34850375700000003</v>
      </c>
      <c r="I101" s="1">
        <f ca="1">H101*('Updated Population'!I$92/'Updated Population'!H$92)</f>
        <v>0.35080852697680215</v>
      </c>
      <c r="J101" s="1">
        <f ca="1">I101*('Updated Population'!J$92/'Updated Population'!I$92)</f>
        <v>0.35200447016983899</v>
      </c>
      <c r="K101" s="1">
        <f ca="1">J101*('Updated Population'!K$92/'Updated Population'!J$92)</f>
        <v>0.35244543119782135</v>
      </c>
    </row>
    <row r="102" spans="1:11" x14ac:dyDescent="0.2">
      <c r="A102" t="str">
        <f ca="1">OFFSET(Wellington_Reference,63,2)</f>
        <v>Other Household Travel</v>
      </c>
      <c r="B102" s="4">
        <f ca="1">OFFSET(Wellington_Reference,63,5)</f>
        <v>0.33422365529999998</v>
      </c>
      <c r="C102" s="4">
        <f ca="1">OFFSET(Wellington_Reference,64,5)</f>
        <v>0.33821973280000001</v>
      </c>
      <c r="D102" s="4">
        <f ca="1">OFFSET(Wellington_Reference,65,5)</f>
        <v>0.34520845900000002</v>
      </c>
      <c r="E102" s="4">
        <f ca="1">OFFSET(Wellington_Reference,66,5)</f>
        <v>0.34928014969999999</v>
      </c>
      <c r="F102" s="4">
        <f ca="1">OFFSET(Wellington_Reference,67,5)</f>
        <v>0.34266250520000002</v>
      </c>
      <c r="G102" s="4">
        <f ca="1">OFFSET(Wellington_Reference,68,5)</f>
        <v>0.34017447550000002</v>
      </c>
      <c r="H102" s="4">
        <f ca="1">OFFSET(Wellington_Reference,69,5)</f>
        <v>0.33545960260000002</v>
      </c>
      <c r="I102" s="1">
        <f ca="1">H102*('Updated Population'!I$92/'Updated Population'!H$92)</f>
        <v>0.33767810729320036</v>
      </c>
      <c r="J102" s="1">
        <f ca="1">I102*('Updated Population'!J$92/'Updated Population'!I$92)</f>
        <v>0.33882928750348518</v>
      </c>
      <c r="K102" s="1">
        <f ca="1">J102*('Updated Population'!K$92/'Updated Population'!J$92)</f>
        <v>0.33925374379194079</v>
      </c>
    </row>
    <row r="103" spans="1:11" x14ac:dyDescent="0.2">
      <c r="A103" t="str">
        <f ca="1">OFFSET(Nelson_Reference,0,0)</f>
        <v>10 NELS-MARLB-TAS</v>
      </c>
      <c r="I103" s="1"/>
      <c r="J103" s="1"/>
      <c r="K103" s="1"/>
    </row>
    <row r="104" spans="1:11" x14ac:dyDescent="0.2">
      <c r="A104" t="str">
        <f ca="1">OFFSET(Nelson_Reference,0,2)</f>
        <v>Pedestrian</v>
      </c>
      <c r="B104" s="4">
        <f ca="1">OFFSET(Nelson_Reference,0,5)</f>
        <v>34.609993433</v>
      </c>
      <c r="C104" s="4">
        <f ca="1">OFFSET(Nelson_Reference,1,5)</f>
        <v>35.739429977</v>
      </c>
      <c r="D104" s="4">
        <f ca="1">OFFSET(Nelson_Reference,2,5)</f>
        <v>36.836215271999997</v>
      </c>
      <c r="E104" s="4">
        <f ca="1">OFFSET(Nelson_Reference,3,5)</f>
        <v>37.991627766000001</v>
      </c>
      <c r="F104" s="4">
        <f ca="1">OFFSET(Nelson_Reference,4,5)</f>
        <v>38.390554428999998</v>
      </c>
      <c r="G104" s="4">
        <f ca="1">OFFSET(Nelson_Reference,5,5)</f>
        <v>38.361479203000002</v>
      </c>
      <c r="H104" s="4">
        <f ca="1">OFFSET(Nelson_Reference,6,5)</f>
        <v>38.169145102000002</v>
      </c>
      <c r="I104" s="1">
        <f ca="1">H104*('Updated Population'!I$103/'Updated Population'!H$103)</f>
        <v>38.111036925137277</v>
      </c>
      <c r="J104" s="1">
        <f ca="1">I104*('Updated Population'!J$103/'Updated Population'!I$103)</f>
        <v>37.933678739499229</v>
      </c>
      <c r="K104" s="1">
        <f ca="1">J104*('Updated Population'!K$103/'Updated Population'!J$103)</f>
        <v>37.677784079450333</v>
      </c>
    </row>
    <row r="105" spans="1:11" x14ac:dyDescent="0.2">
      <c r="A105" t="str">
        <f ca="1">OFFSET(Nelson_Reference,7,2)</f>
        <v>Cyclist</v>
      </c>
      <c r="B105" s="4">
        <f ca="1">OFFSET(Nelson_Reference,7,5)</f>
        <v>2.9519642961999999</v>
      </c>
      <c r="C105" s="4">
        <f ca="1">OFFSET(Nelson_Reference,8,5)</f>
        <v>2.9272629232999998</v>
      </c>
      <c r="D105" s="4">
        <f ca="1">OFFSET(Nelson_Reference,9,5)</f>
        <v>2.9601852376000002</v>
      </c>
      <c r="E105" s="4">
        <f ca="1">OFFSET(Nelson_Reference,10,5)</f>
        <v>3.0514857581000001</v>
      </c>
      <c r="F105" s="4">
        <f ca="1">OFFSET(Nelson_Reference,11,5)</f>
        <v>3.1478205416999998</v>
      </c>
      <c r="G105" s="4">
        <f ca="1">OFFSET(Nelson_Reference,12,5)</f>
        <v>3.2322538525</v>
      </c>
      <c r="H105" s="4">
        <f ca="1">OFFSET(Nelson_Reference,13,5)</f>
        <v>3.3078283426000001</v>
      </c>
      <c r="I105" s="1">
        <f ca="1">H105*('Updated Population'!I$103/'Updated Population'!H$103)</f>
        <v>3.3027925506311289</v>
      </c>
      <c r="J105" s="1">
        <f ca="1">I105*('Updated Population'!J$103/'Updated Population'!I$103)</f>
        <v>3.2874222710066339</v>
      </c>
      <c r="K105" s="1">
        <f ca="1">J105*('Updated Population'!K$103/'Updated Population'!J$103)</f>
        <v>3.2652458348572848</v>
      </c>
    </row>
    <row r="106" spans="1:11" x14ac:dyDescent="0.2">
      <c r="A106" t="str">
        <f ca="1">OFFSET(Nelson_Reference,14,2)</f>
        <v>Light Vehicle Driver</v>
      </c>
      <c r="B106" s="4">
        <f ca="1">OFFSET(Nelson_Reference,14,5)</f>
        <v>98.206986838999995</v>
      </c>
      <c r="C106" s="4">
        <f ca="1">OFFSET(Nelson_Reference,15,5)</f>
        <v>101.90443017</v>
      </c>
      <c r="D106" s="4">
        <f ca="1">OFFSET(Nelson_Reference,16,5)</f>
        <v>104.04353268</v>
      </c>
      <c r="E106" s="4">
        <f ca="1">OFFSET(Nelson_Reference,17,5)</f>
        <v>105.11237644000001</v>
      </c>
      <c r="F106" s="4">
        <f ca="1">OFFSET(Nelson_Reference,18,5)</f>
        <v>106.04870525</v>
      </c>
      <c r="G106" s="4">
        <f ca="1">OFFSET(Nelson_Reference,19,5)</f>
        <v>106.01700341999999</v>
      </c>
      <c r="H106" s="4">
        <f ca="1">OFFSET(Nelson_Reference,20,5)</f>
        <v>105.69000303</v>
      </c>
      <c r="I106" s="1">
        <f ca="1">H106*('Updated Population'!I$103/'Updated Population'!H$103)</f>
        <v>105.52910203595685</v>
      </c>
      <c r="J106" s="1">
        <f ca="1">I106*('Updated Population'!J$103/'Updated Population'!I$103)</f>
        <v>105.03799889158753</v>
      </c>
      <c r="K106" s="1">
        <f ca="1">J106*('Updated Population'!K$103/'Updated Population'!J$103)</f>
        <v>104.32942898980811</v>
      </c>
    </row>
    <row r="107" spans="1:11" x14ac:dyDescent="0.2">
      <c r="A107" t="str">
        <f ca="1">OFFSET(Nelson_Reference,21,2)</f>
        <v>Light Vehicle Passenger</v>
      </c>
      <c r="B107" s="4">
        <f ca="1">OFFSET(Nelson_Reference,21,5)</f>
        <v>45.895773310999999</v>
      </c>
      <c r="C107" s="4">
        <f ca="1">OFFSET(Nelson_Reference,22,5)</f>
        <v>45.364700202999998</v>
      </c>
      <c r="D107" s="4">
        <f ca="1">OFFSET(Nelson_Reference,23,5)</f>
        <v>44.728948893000002</v>
      </c>
      <c r="E107" s="4">
        <f ca="1">OFFSET(Nelson_Reference,24,5)</f>
        <v>44.073514424999999</v>
      </c>
      <c r="F107" s="4">
        <f ca="1">OFFSET(Nelson_Reference,25,5)</f>
        <v>42.974961794999999</v>
      </c>
      <c r="G107" s="4">
        <f ca="1">OFFSET(Nelson_Reference,26,5)</f>
        <v>41.782343599999997</v>
      </c>
      <c r="H107" s="4">
        <f ca="1">OFFSET(Nelson_Reference,27,5)</f>
        <v>40.470879342000003</v>
      </c>
      <c r="I107" s="1">
        <f ca="1">H107*('Updated Population'!I$103/'Updated Population'!H$103)</f>
        <v>40.409267036869501</v>
      </c>
      <c r="J107" s="1">
        <f ca="1">I107*('Updated Population'!J$103/'Updated Population'!I$103)</f>
        <v>40.221213526315566</v>
      </c>
      <c r="K107" s="1">
        <f ca="1">J107*('Updated Population'!K$103/'Updated Population'!J$103)</f>
        <v>39.949887514600455</v>
      </c>
    </row>
    <row r="108" spans="1:11" x14ac:dyDescent="0.2">
      <c r="A108" t="str">
        <f ca="1">OFFSET(Nelson_Reference,28,2)</f>
        <v>Taxi/Vehicle Share</v>
      </c>
      <c r="B108" s="4">
        <f ca="1">OFFSET(Nelson_Reference,28,5)</f>
        <v>0.40359339709999997</v>
      </c>
      <c r="C108" s="4">
        <f ca="1">OFFSET(Nelson_Reference,29,5)</f>
        <v>0.48413812909999998</v>
      </c>
      <c r="D108" s="4">
        <f ca="1">OFFSET(Nelson_Reference,30,5)</f>
        <v>0.56193139650000001</v>
      </c>
      <c r="E108" s="4">
        <f ca="1">OFFSET(Nelson_Reference,31,5)</f>
        <v>0.62154304019999995</v>
      </c>
      <c r="F108" s="4">
        <f ca="1">OFFSET(Nelson_Reference,32,5)</f>
        <v>0.66566231409999999</v>
      </c>
      <c r="G108" s="4">
        <f ca="1">OFFSET(Nelson_Reference,33,5)</f>
        <v>0.68826710440000005</v>
      </c>
      <c r="H108" s="4">
        <f ca="1">OFFSET(Nelson_Reference,34,5)</f>
        <v>0.70838963079999995</v>
      </c>
      <c r="I108" s="1">
        <f ca="1">H108*('Updated Population'!I$103/'Updated Population'!H$103)</f>
        <v>0.70731118825578665</v>
      </c>
      <c r="J108" s="1">
        <f ca="1">I108*('Updated Population'!J$103/'Updated Population'!I$103)</f>
        <v>0.70401955834613705</v>
      </c>
      <c r="K108" s="1">
        <f ca="1">J108*('Updated Population'!K$103/'Updated Population'!J$103)</f>
        <v>0.69927035258658143</v>
      </c>
    </row>
    <row r="109" spans="1:11" x14ac:dyDescent="0.2">
      <c r="A109" t="str">
        <f ca="1">OFFSET(Nelson_Reference,35,2)</f>
        <v>Motorcyclist</v>
      </c>
      <c r="B109" s="4">
        <f ca="1">OFFSET(Nelson_Reference,35,5)</f>
        <v>1.5095151791999999</v>
      </c>
      <c r="C109" s="4">
        <f ca="1">OFFSET(Nelson_Reference,36,5)</f>
        <v>1.5494975394999999</v>
      </c>
      <c r="D109" s="4">
        <f ca="1">OFFSET(Nelson_Reference,37,5)</f>
        <v>1.5930694798</v>
      </c>
      <c r="E109" s="4">
        <f ca="1">OFFSET(Nelson_Reference,38,5)</f>
        <v>1.6212081843999999</v>
      </c>
      <c r="F109" s="4">
        <f ca="1">OFFSET(Nelson_Reference,39,5)</f>
        <v>1.6284029529999999</v>
      </c>
      <c r="G109" s="4">
        <f ca="1">OFFSET(Nelson_Reference,40,5)</f>
        <v>1.5971082313</v>
      </c>
      <c r="H109" s="4">
        <f ca="1">OFFSET(Nelson_Reference,41,5)</f>
        <v>1.5620769088999999</v>
      </c>
      <c r="I109" s="1">
        <f ca="1">H109*('Updated Population'!I$103/'Updated Population'!H$103)</f>
        <v>1.5596988246894949</v>
      </c>
      <c r="J109" s="1">
        <f ca="1">I109*('Updated Population'!J$103/'Updated Population'!I$103)</f>
        <v>1.552440419355835</v>
      </c>
      <c r="K109" s="1">
        <f ca="1">J109*('Updated Population'!K$103/'Updated Population'!J$103)</f>
        <v>1.5419678992481669</v>
      </c>
    </row>
    <row r="110" spans="1:11" x14ac:dyDescent="0.2">
      <c r="A110" t="str">
        <f ca="1">OFFSET(Nelson_Reference,42,2)</f>
        <v>Local Train</v>
      </c>
      <c r="B110" s="4">
        <f ca="1">OFFSET(Nelson_Reference,42,5)</f>
        <v>0.1284956481</v>
      </c>
      <c r="C110" s="4">
        <f ca="1">OFFSET(Nelson_Reference,43,5)</f>
        <v>0.1149261832</v>
      </c>
      <c r="D110" s="4">
        <f ca="1">OFFSET(Nelson_Reference,44,5)</f>
        <v>9.6525807899999996E-2</v>
      </c>
      <c r="E110" s="4">
        <f ca="1">OFFSET(Nelson_Reference,45,5)</f>
        <v>8.1570599999999993E-2</v>
      </c>
      <c r="F110" s="4">
        <f ca="1">OFFSET(Nelson_Reference,46,5)</f>
        <v>7.5910885600000005E-2</v>
      </c>
      <c r="G110" s="4">
        <f ca="1">OFFSET(Nelson_Reference,47,5)</f>
        <v>7.7899959599999999E-2</v>
      </c>
      <c r="H110" s="4">
        <f ca="1">OFFSET(Nelson_Reference,48,5)</f>
        <v>7.6936588599999994E-2</v>
      </c>
      <c r="I110" s="1">
        <f ca="1">H110*('Updated Population'!I$103/'Updated Population'!H$103)</f>
        <v>7.6819461405098557E-2</v>
      </c>
      <c r="J110" s="1">
        <f ca="1">I110*('Updated Population'!J$103/'Updated Population'!I$103)</f>
        <v>7.6461964957986295E-2</v>
      </c>
      <c r="K110" s="1">
        <f ca="1">J110*('Updated Population'!K$103/'Updated Population'!J$103)</f>
        <v>7.5946164508892994E-2</v>
      </c>
    </row>
    <row r="111" spans="1:11" x14ac:dyDescent="0.2">
      <c r="A111" t="str">
        <f ca="1">OFFSET(Nelson_Reference,49,2)</f>
        <v>Local Bus</v>
      </c>
      <c r="B111" s="4">
        <f ca="1">OFFSET(Nelson_Reference,49,5)</f>
        <v>2.0764681202999999</v>
      </c>
      <c r="C111" s="4">
        <f ca="1">OFFSET(Nelson_Reference,50,5)</f>
        <v>1.9663352094</v>
      </c>
      <c r="D111" s="4">
        <f ca="1">OFFSET(Nelson_Reference,51,5)</f>
        <v>1.8994059554</v>
      </c>
      <c r="E111" s="4">
        <f ca="1">OFFSET(Nelson_Reference,52,5)</f>
        <v>1.8898351215</v>
      </c>
      <c r="F111" s="4">
        <f ca="1">OFFSET(Nelson_Reference,53,5)</f>
        <v>1.778771439</v>
      </c>
      <c r="G111" s="4">
        <f ca="1">OFFSET(Nelson_Reference,54,5)</f>
        <v>1.7761901705000001</v>
      </c>
      <c r="H111" s="4">
        <f ca="1">OFFSET(Nelson_Reference,55,5)</f>
        <v>1.7664474362</v>
      </c>
      <c r="I111" s="1">
        <f ca="1">H111*('Updated Population'!I$103/'Updated Population'!H$103)</f>
        <v>1.7637582211346086</v>
      </c>
      <c r="J111" s="1">
        <f ca="1">I111*('Updated Population'!J$103/'Updated Population'!I$103)</f>
        <v>1.755550180019928</v>
      </c>
      <c r="K111" s="1">
        <f ca="1">J111*('Updated Population'!K$103/'Updated Population'!J$103)</f>
        <v>1.7437075132540705</v>
      </c>
    </row>
    <row r="112" spans="1:11" x14ac:dyDescent="0.2">
      <c r="A112" t="str">
        <f ca="1">OFFSET(Wellington_Reference,56,2)</f>
        <v>Local Ferry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1">
        <f>H112*('Updated Population'!I$103/'Updated Population'!H$103)</f>
        <v>0</v>
      </c>
      <c r="J112" s="1">
        <f>I112*('Updated Population'!J$103/'Updated Population'!I$103)</f>
        <v>0</v>
      </c>
      <c r="K112" s="1">
        <f>J112*('Updated Population'!K$103/'Updated Population'!J$103)</f>
        <v>0</v>
      </c>
    </row>
    <row r="113" spans="1:11" x14ac:dyDescent="0.2">
      <c r="A113" t="str">
        <f ca="1">OFFSET(Nelson_Reference,56,2)</f>
        <v>Other Household Travel</v>
      </c>
      <c r="B113" s="4">
        <f ca="1">OFFSET(Nelson_Reference,56,5)</f>
        <v>1.495105957</v>
      </c>
      <c r="C113" s="4">
        <f ca="1">OFFSET(Nelson_Reference,57,5)</f>
        <v>1.4979112155000001</v>
      </c>
      <c r="D113" s="4">
        <f ca="1">OFFSET(Nelson_Reference,58,5)</f>
        <v>1.5048342263000001</v>
      </c>
      <c r="E113" s="4">
        <f ca="1">OFFSET(Nelson_Reference,59,5)</f>
        <v>1.5270437851000001</v>
      </c>
      <c r="F113" s="4">
        <f ca="1">OFFSET(Nelson_Reference,60,5)</f>
        <v>1.5375857278</v>
      </c>
      <c r="G113" s="4">
        <f ca="1">OFFSET(Nelson_Reference,61,5)</f>
        <v>1.5789573075000001</v>
      </c>
      <c r="H113" s="4">
        <f ca="1">OFFSET(Nelson_Reference,62,5)</f>
        <v>1.6029930688</v>
      </c>
      <c r="I113" s="1">
        <f ca="1">H113*('Updated Population'!I$103/'Updated Population'!H$103)</f>
        <v>1.6005526943954218</v>
      </c>
      <c r="J113" s="1">
        <f ca="1">I113*('Updated Population'!J$103/'Updated Population'!I$103)</f>
        <v>1.5931041664938146</v>
      </c>
      <c r="K113" s="1">
        <f ca="1">J113*('Updated Population'!K$103/'Updated Population'!J$103)</f>
        <v>1.5823573351119449</v>
      </c>
    </row>
    <row r="114" spans="1:11" x14ac:dyDescent="0.2">
      <c r="A114" t="str">
        <f ca="1">OFFSET(West_Coast_Reference,0,0)</f>
        <v>12 WEST COAST</v>
      </c>
      <c r="I114" s="1"/>
      <c r="J114" s="1"/>
      <c r="K114" s="1"/>
    </row>
    <row r="115" spans="1:11" x14ac:dyDescent="0.2">
      <c r="A115" t="str">
        <f ca="1">OFFSET(West_Coast_Reference,0,2)</f>
        <v>Pedestrian</v>
      </c>
      <c r="B115" s="4">
        <f ca="1">OFFSET(West_Coast_Reference,0,5)</f>
        <v>5.2699511529</v>
      </c>
      <c r="C115" s="4">
        <f ca="1">OFFSET(West_Coast_Reference,1,5)</f>
        <v>4.9393026970999996</v>
      </c>
      <c r="D115" s="4">
        <f ca="1">OFFSET(West_Coast_Reference,2,5)</f>
        <v>4.5050644939</v>
      </c>
      <c r="E115" s="4">
        <f ca="1">OFFSET(West_Coast_Reference,3,5)</f>
        <v>4.2988840582999996</v>
      </c>
      <c r="F115" s="4">
        <f ca="1">OFFSET(West_Coast_Reference,4,5)</f>
        <v>4.0522791148000001</v>
      </c>
      <c r="G115" s="4">
        <f ca="1">OFFSET(West_Coast_Reference,5,5)</f>
        <v>3.791696704</v>
      </c>
      <c r="H115" s="4">
        <f ca="1">OFFSET(West_Coast_Reference,6,5)</f>
        <v>3.5522238145</v>
      </c>
      <c r="I115" s="1">
        <f ca="1">H115*('Updated Population'!I$114/'Updated Population'!H$114)</f>
        <v>3.4608698217736991</v>
      </c>
      <c r="J115" s="1">
        <f ca="1">I115*('Updated Population'!J$114/'Updated Population'!I$114)</f>
        <v>3.3611319890699471</v>
      </c>
      <c r="K115" s="1">
        <f ca="1">J115*('Updated Population'!K$114/'Updated Population'!J$114)</f>
        <v>3.2572533491105444</v>
      </c>
    </row>
    <row r="116" spans="1:11" x14ac:dyDescent="0.2">
      <c r="A116" t="str">
        <f ca="1">OFFSET(West_Coast_Reference,7,2)</f>
        <v>Cyclist</v>
      </c>
      <c r="B116" s="4">
        <f ca="1">OFFSET(West_Coast_Reference,7,5)</f>
        <v>0.73381292249999996</v>
      </c>
      <c r="C116" s="4">
        <f ca="1">OFFSET(West_Coast_Reference,8,5)</f>
        <v>0.71255864130000002</v>
      </c>
      <c r="D116" s="4">
        <f ca="1">OFFSET(West_Coast_Reference,9,5)</f>
        <v>0.67154599199999998</v>
      </c>
      <c r="E116" s="4">
        <f ca="1">OFFSET(West_Coast_Reference,10,5)</f>
        <v>0.64979389399999998</v>
      </c>
      <c r="F116" s="4">
        <f ca="1">OFFSET(West_Coast_Reference,11,5)</f>
        <v>0.60379421219999996</v>
      </c>
      <c r="G116" s="4">
        <f ca="1">OFFSET(West_Coast_Reference,12,5)</f>
        <v>0.56604590180000003</v>
      </c>
      <c r="H116" s="4">
        <f ca="1">OFFSET(West_Coast_Reference,13,5)</f>
        <v>0.52664727950000001</v>
      </c>
      <c r="I116" s="1">
        <f ca="1">H116*('Updated Population'!I$114/'Updated Population'!H$114)</f>
        <v>0.51310327601002248</v>
      </c>
      <c r="J116" s="1">
        <f ca="1">I116*('Updated Population'!J$114/'Updated Population'!I$114)</f>
        <v>0.49831629720473269</v>
      </c>
      <c r="K116" s="1">
        <f ca="1">J116*('Updated Population'!K$114/'Updated Population'!J$114)</f>
        <v>0.48291540863755777</v>
      </c>
    </row>
    <row r="117" spans="1:11" x14ac:dyDescent="0.2">
      <c r="A117" t="str">
        <f ca="1">OFFSET(West_Coast_Reference,14,2)</f>
        <v>Light Vehicle Driver</v>
      </c>
      <c r="B117" s="4">
        <f ca="1">OFFSET(West_Coast_Reference,14,5)</f>
        <v>21.329902885999999</v>
      </c>
      <c r="C117" s="4">
        <f ca="1">OFFSET(West_Coast_Reference,15,5)</f>
        <v>21.173677544</v>
      </c>
      <c r="D117" s="4">
        <f ca="1">OFFSET(West_Coast_Reference,16,5)</f>
        <v>20.184921593999999</v>
      </c>
      <c r="E117" s="4">
        <f ca="1">OFFSET(West_Coast_Reference,17,5)</f>
        <v>19.524990466999999</v>
      </c>
      <c r="F117" s="4">
        <f ca="1">OFFSET(West_Coast_Reference,18,5)</f>
        <v>18.561013673000001</v>
      </c>
      <c r="G117" s="4">
        <f ca="1">OFFSET(West_Coast_Reference,19,5)</f>
        <v>17.904437155</v>
      </c>
      <c r="H117" s="4">
        <f ca="1">OFFSET(West_Coast_Reference,20,5)</f>
        <v>17.229808722000001</v>
      </c>
      <c r="I117" s="1">
        <f ca="1">H117*('Updated Population'!I$114/'Updated Population'!H$114)</f>
        <v>16.786702683962616</v>
      </c>
      <c r="J117" s="1">
        <f ca="1">I117*('Updated Population'!J$114/'Updated Population'!I$114)</f>
        <v>16.302931426977683</v>
      </c>
      <c r="K117" s="1">
        <f ca="1">J117*('Updated Population'!K$114/'Updated Population'!J$114)</f>
        <v>15.799075479191931</v>
      </c>
    </row>
    <row r="118" spans="1:11" x14ac:dyDescent="0.2">
      <c r="A118" t="str">
        <f ca="1">OFFSET(West_Coast_Reference,21,2)</f>
        <v>Light Vehicle Passenger</v>
      </c>
      <c r="B118" s="4">
        <f ca="1">OFFSET(West_Coast_Reference,21,5)</f>
        <v>11.090105214999999</v>
      </c>
      <c r="C118" s="4">
        <f ca="1">OFFSET(West_Coast_Reference,22,5)</f>
        <v>10.39494741</v>
      </c>
      <c r="D118" s="4">
        <f ca="1">OFFSET(West_Coast_Reference,23,5)</f>
        <v>9.5583679216000004</v>
      </c>
      <c r="E118" s="4">
        <f ca="1">OFFSET(West_Coast_Reference,24,5)</f>
        <v>9.1890569186000004</v>
      </c>
      <c r="F118" s="4">
        <f ca="1">OFFSET(West_Coast_Reference,25,5)</f>
        <v>8.6176490158999997</v>
      </c>
      <c r="G118" s="4">
        <f ca="1">OFFSET(West_Coast_Reference,26,5)</f>
        <v>7.9986833519999996</v>
      </c>
      <c r="H118" s="4">
        <f ca="1">OFFSET(West_Coast_Reference,27,5)</f>
        <v>7.3779661343000003</v>
      </c>
      <c r="I118" s="1">
        <f ca="1">H118*('Updated Population'!I$114/'Updated Population'!H$114)</f>
        <v>7.188223961575277</v>
      </c>
      <c r="J118" s="1">
        <f ca="1">I118*('Updated Population'!J$114/'Updated Population'!I$114)</f>
        <v>6.9810685596569044</v>
      </c>
      <c r="K118" s="1">
        <f ca="1">J118*('Updated Population'!K$114/'Updated Population'!J$114)</f>
        <v>6.7653127042490446</v>
      </c>
    </row>
    <row r="119" spans="1:11" x14ac:dyDescent="0.2">
      <c r="A119" t="str">
        <f ca="1">OFFSET(West_Coast_Reference,28,2)</f>
        <v>Taxi/Vehicle Share</v>
      </c>
      <c r="B119" s="4">
        <f ca="1">OFFSET(West_Coast_Reference,28,5)</f>
        <v>0.29973375209999997</v>
      </c>
      <c r="C119" s="4">
        <f ca="1">OFFSET(West_Coast_Reference,29,5)</f>
        <v>0.35018449550000003</v>
      </c>
      <c r="D119" s="4">
        <f ca="1">OFFSET(West_Coast_Reference,30,5)</f>
        <v>0.38063343199999999</v>
      </c>
      <c r="E119" s="4">
        <f ca="1">OFFSET(West_Coast_Reference,31,5)</f>
        <v>0.39296628030000003</v>
      </c>
      <c r="F119" s="4">
        <f ca="1">OFFSET(West_Coast_Reference,32,5)</f>
        <v>0.38583403890000001</v>
      </c>
      <c r="G119" s="4">
        <f ca="1">OFFSET(West_Coast_Reference,33,5)</f>
        <v>0.38333093200000001</v>
      </c>
      <c r="H119" s="4">
        <f ca="1">OFFSET(West_Coast_Reference,34,5)</f>
        <v>0.37606985059999998</v>
      </c>
      <c r="I119" s="1">
        <f ca="1">H119*('Updated Population'!I$114/'Updated Population'!H$114)</f>
        <v>0.36639830843645271</v>
      </c>
      <c r="J119" s="1">
        <f ca="1">I119*('Updated Population'!J$114/'Updated Population'!I$114)</f>
        <v>0.35583917877492621</v>
      </c>
      <c r="K119" s="1">
        <f ca="1">J119*('Updated Population'!K$114/'Updated Population'!J$114)</f>
        <v>0.34484166661068705</v>
      </c>
    </row>
    <row r="120" spans="1:11" x14ac:dyDescent="0.2">
      <c r="A120" t="str">
        <f ca="1">OFFSET(West_Coast_Reference,35,2)</f>
        <v>Motorcyclist</v>
      </c>
      <c r="B120" s="4">
        <f ca="1">OFFSET(West_Coast_Reference,35,5)</f>
        <v>6.1723256599999998E-2</v>
      </c>
      <c r="C120" s="4">
        <f ca="1">OFFSET(West_Coast_Reference,36,5)</f>
        <v>7.0212227599999996E-2</v>
      </c>
      <c r="D120" s="4">
        <f ca="1">OFFSET(West_Coast_Reference,37,5)</f>
        <v>7.5101134200000003E-2</v>
      </c>
      <c r="E120" s="4">
        <f ca="1">OFFSET(West_Coast_Reference,38,5)</f>
        <v>7.9002041999999995E-2</v>
      </c>
      <c r="F120" s="4">
        <f ca="1">OFFSET(West_Coast_Reference,39,5)</f>
        <v>8.3092883800000003E-2</v>
      </c>
      <c r="G120" s="4">
        <f ca="1">OFFSET(West_Coast_Reference,40,5)</f>
        <v>9.00575084E-2</v>
      </c>
      <c r="H120" s="4">
        <f ca="1">OFFSET(West_Coast_Reference,41,5)</f>
        <v>9.4113766000000001E-2</v>
      </c>
      <c r="I120" s="1">
        <f ca="1">H120*('Updated Population'!I$114/'Updated Population'!H$114)</f>
        <v>9.1693403786472366E-2</v>
      </c>
      <c r="J120" s="1">
        <f ca="1">I120*('Updated Population'!J$114/'Updated Population'!I$114)</f>
        <v>8.9050917406500466E-2</v>
      </c>
      <c r="K120" s="1">
        <f ca="1">J120*('Updated Population'!K$114/'Updated Population'!J$114)</f>
        <v>8.6298723140578737E-2</v>
      </c>
    </row>
    <row r="121" spans="1:11" x14ac:dyDescent="0.2">
      <c r="A121" t="str">
        <f ca="1">OFFSET(Nelson_Reference,42,2)</f>
        <v>Local Train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1">
        <f>H121*('Updated Population'!I$114/'Updated Population'!H$114)</f>
        <v>0</v>
      </c>
      <c r="J121" s="1">
        <f>I121*('Updated Population'!J$114/'Updated Population'!I$114)</f>
        <v>0</v>
      </c>
      <c r="K121" s="1">
        <f>J121*('Updated Population'!K$114/'Updated Population'!J$114)</f>
        <v>0</v>
      </c>
    </row>
    <row r="122" spans="1:11" x14ac:dyDescent="0.2">
      <c r="A122" t="str">
        <f ca="1">OFFSET(West_Coast_Reference,42,2)</f>
        <v>Local Bus</v>
      </c>
      <c r="B122" s="4">
        <f ca="1">OFFSET(West_Coast_Reference,42,5)</f>
        <v>0.50805546800000001</v>
      </c>
      <c r="C122" s="4">
        <f ca="1">OFFSET(West_Coast_Reference,43,5)</f>
        <v>0.48281976609999999</v>
      </c>
      <c r="D122" s="4">
        <f ca="1">OFFSET(West_Coast_Reference,44,5)</f>
        <v>0.43908924269999999</v>
      </c>
      <c r="E122" s="4">
        <f ca="1">OFFSET(West_Coast_Reference,45,5)</f>
        <v>0.41298249460000003</v>
      </c>
      <c r="F122" s="4">
        <f ca="1">OFFSET(West_Coast_Reference,46,5)</f>
        <v>0.3772257222</v>
      </c>
      <c r="G122" s="4">
        <f ca="1">OFFSET(West_Coast_Reference,47,5)</f>
        <v>0.33844422010000003</v>
      </c>
      <c r="H122" s="4">
        <f ca="1">OFFSET(West_Coast_Reference,48,5)</f>
        <v>0.30199544439999998</v>
      </c>
      <c r="I122" s="1">
        <f ca="1">H122*('Updated Population'!I$114/'Updated Population'!H$114)</f>
        <v>0.29422890403774049</v>
      </c>
      <c r="J122" s="1">
        <f ca="1">I122*('Updated Population'!J$114/'Updated Population'!I$114)</f>
        <v>0.28574960411640316</v>
      </c>
      <c r="K122" s="1">
        <f ca="1">J122*('Updated Population'!K$114/'Updated Population'!J$114)</f>
        <v>0.27691826980966461</v>
      </c>
    </row>
    <row r="123" spans="1:11" x14ac:dyDescent="0.2">
      <c r="A123" t="str">
        <f ca="1">OFFSET(Wellington_Reference,56,2)</f>
        <v>Local Ferry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1">
        <f>H123*('Updated Population'!I$114/'Updated Population'!H$114)</f>
        <v>0</v>
      </c>
      <c r="J123" s="1">
        <f>I123*('Updated Population'!J$114/'Updated Population'!I$114)</f>
        <v>0</v>
      </c>
      <c r="K123" s="1">
        <f>J123*('Updated Population'!K$114/'Updated Population'!J$114)</f>
        <v>0</v>
      </c>
    </row>
    <row r="124" spans="1:11" x14ac:dyDescent="0.2">
      <c r="A124" t="str">
        <f ca="1">OFFSET(West_Coast_Reference,49,2)</f>
        <v>Other Household Travel</v>
      </c>
      <c r="B124" s="4">
        <f ca="1">OFFSET(West_Coast_Reference,49,5)</f>
        <v>2.77012627E-2</v>
      </c>
      <c r="C124" s="4">
        <f ca="1">OFFSET(West_Coast_Reference,50,5)</f>
        <v>2.7203377599999998E-2</v>
      </c>
      <c r="D124" s="4">
        <f ca="1">OFFSET(West_Coast_Reference,51,5)</f>
        <v>2.5449654200000001E-2</v>
      </c>
      <c r="E124" s="4">
        <f ca="1">OFFSET(West_Coast_Reference,52,5)</f>
        <v>2.2031642899999999E-2</v>
      </c>
      <c r="F124" s="4">
        <f ca="1">OFFSET(West_Coast_Reference,53,5)</f>
        <v>1.9755071799999999E-2</v>
      </c>
      <c r="G124" s="4">
        <f ca="1">OFFSET(West_Coast_Reference,54,5)</f>
        <v>1.94570562E-2</v>
      </c>
      <c r="H124" s="4">
        <f ca="1">OFFSET(West_Coast_Reference,55,5)</f>
        <v>1.9024799299999999E-2</v>
      </c>
      <c r="I124" s="1">
        <f ca="1">H124*('Updated Population'!I$114/'Updated Population'!H$114)</f>
        <v>1.8535530755102253E-2</v>
      </c>
      <c r="J124" s="1">
        <f ca="1">I124*('Updated Population'!J$114/'Updated Population'!I$114)</f>
        <v>1.8001360514460212E-2</v>
      </c>
      <c r="K124" s="1">
        <f ca="1">J124*('Updated Population'!K$114/'Updated Population'!J$114)</f>
        <v>1.7445013172629562E-2</v>
      </c>
    </row>
    <row r="125" spans="1:11" x14ac:dyDescent="0.2">
      <c r="A125" t="str">
        <f ca="1">OFFSET(Canterbury_Reference,0,0)</f>
        <v>13 CANTERBURY</v>
      </c>
      <c r="I125" s="1"/>
      <c r="J125" s="1"/>
      <c r="K125" s="1"/>
    </row>
    <row r="126" spans="1:11" x14ac:dyDescent="0.2">
      <c r="A126" t="str">
        <f ca="1">OFFSET(Canterbury_Reference,0,2)</f>
        <v>Pedestrian</v>
      </c>
      <c r="B126" s="4">
        <f ca="1">OFFSET(Canterbury_Reference,0,5)</f>
        <v>131.04676542000001</v>
      </c>
      <c r="C126" s="4">
        <f ca="1">OFFSET(Canterbury_Reference,1,5)</f>
        <v>138.90344611</v>
      </c>
      <c r="D126" s="4">
        <f ca="1">OFFSET(Canterbury_Reference,2,5)</f>
        <v>142.60308019999999</v>
      </c>
      <c r="E126" s="4">
        <f ca="1">OFFSET(Canterbury_Reference,3,5)</f>
        <v>147.18670317999999</v>
      </c>
      <c r="F126" s="4">
        <f ca="1">OFFSET(Canterbury_Reference,4,5)</f>
        <v>149.73027611000001</v>
      </c>
      <c r="G126" s="4">
        <f ca="1">OFFSET(Canterbury_Reference,5,5)</f>
        <v>151.40865163000001</v>
      </c>
      <c r="H126" s="4">
        <f ca="1">OFFSET(Canterbury_Reference,6,5)</f>
        <v>152.45740236</v>
      </c>
      <c r="I126" s="1">
        <f ca="1">H126*('Updated Population'!I$125/'Updated Population'!H$125)</f>
        <v>156.31447216002388</v>
      </c>
      <c r="J126" s="1">
        <f ca="1">I126*('Updated Population'!J$125/'Updated Population'!I$125)</f>
        <v>159.75895899900075</v>
      </c>
      <c r="K126" s="1">
        <f ca="1">J126*('Updated Population'!K$125/'Updated Population'!J$125)</f>
        <v>162.92844939028996</v>
      </c>
    </row>
    <row r="127" spans="1:11" x14ac:dyDescent="0.2">
      <c r="A127" t="str">
        <f ca="1">OFFSET(Canterbury_Reference,7,2)</f>
        <v>Cyclist</v>
      </c>
      <c r="B127" s="4">
        <f ca="1">OFFSET(Canterbury_Reference,7,5)</f>
        <v>23.740018446000001</v>
      </c>
      <c r="C127" s="4">
        <f ca="1">OFFSET(Canterbury_Reference,8,5)</f>
        <v>25.683016619</v>
      </c>
      <c r="D127" s="4">
        <f ca="1">OFFSET(Canterbury_Reference,9,5)</f>
        <v>25.976522394</v>
      </c>
      <c r="E127" s="4">
        <f ca="1">OFFSET(Canterbury_Reference,10,5)</f>
        <v>26.345324633000001</v>
      </c>
      <c r="F127" s="4">
        <f ca="1">OFFSET(Canterbury_Reference,11,5)</f>
        <v>26.72702103</v>
      </c>
      <c r="G127" s="4">
        <f ca="1">OFFSET(Canterbury_Reference,12,5)</f>
        <v>26.903411092999999</v>
      </c>
      <c r="H127" s="4">
        <f ca="1">OFFSET(Canterbury_Reference,13,5)</f>
        <v>27.039992801</v>
      </c>
      <c r="I127" s="1">
        <f ca="1">H127*('Updated Population'!I$125/'Updated Population'!H$125)</f>
        <v>27.724086442969096</v>
      </c>
      <c r="J127" s="1">
        <f ca="1">I127*('Updated Population'!J$125/'Updated Population'!I$125)</f>
        <v>28.33500397066738</v>
      </c>
      <c r="K127" s="1">
        <f ca="1">J127*('Updated Population'!K$125/'Updated Population'!J$125)</f>
        <v>28.897147861594547</v>
      </c>
    </row>
    <row r="128" spans="1:11" x14ac:dyDescent="0.2">
      <c r="A128" t="str">
        <f ca="1">OFFSET(Canterbury_Reference,14,2)</f>
        <v>Light Vehicle Driver</v>
      </c>
      <c r="B128" s="4">
        <f ca="1">OFFSET(Canterbury_Reference,14,5)</f>
        <v>417.41567177000002</v>
      </c>
      <c r="C128" s="4">
        <f ca="1">OFFSET(Canterbury_Reference,15,5)</f>
        <v>461.82628619000002</v>
      </c>
      <c r="D128" s="4">
        <f ca="1">OFFSET(Canterbury_Reference,16,5)</f>
        <v>486.86278959999999</v>
      </c>
      <c r="E128" s="4">
        <f ca="1">OFFSET(Canterbury_Reference,17,5)</f>
        <v>511.07441886999999</v>
      </c>
      <c r="F128" s="4">
        <f ca="1">OFFSET(Canterbury_Reference,18,5)</f>
        <v>533.00774236999996</v>
      </c>
      <c r="G128" s="4">
        <f ca="1">OFFSET(Canterbury_Reference,19,5)</f>
        <v>548.47610729999997</v>
      </c>
      <c r="H128" s="4">
        <f ca="1">OFFSET(Canterbury_Reference,20,5)</f>
        <v>561.87544794999997</v>
      </c>
      <c r="I128" s="1">
        <f ca="1">H128*('Updated Population'!I$125/'Updated Population'!H$125)</f>
        <v>576.09051909849961</v>
      </c>
      <c r="J128" s="1">
        <f ca="1">I128*('Updated Population'!J$125/'Updated Population'!I$125)</f>
        <v>588.78503281609517</v>
      </c>
      <c r="K128" s="1">
        <f ca="1">J128*('Updated Population'!K$125/'Updated Population'!J$125)</f>
        <v>600.4660585046588</v>
      </c>
    </row>
    <row r="129" spans="1:11" x14ac:dyDescent="0.2">
      <c r="A129" t="str">
        <f ca="1">OFFSET(Canterbury_Reference,21,2)</f>
        <v>Light Vehicle Passenger</v>
      </c>
      <c r="B129" s="4">
        <f ca="1">OFFSET(Canterbury_Reference,21,5)</f>
        <v>189.77500577999999</v>
      </c>
      <c r="C129" s="4">
        <f ca="1">OFFSET(Canterbury_Reference,22,5)</f>
        <v>198.37672065000001</v>
      </c>
      <c r="D129" s="4">
        <f ca="1">OFFSET(Canterbury_Reference,23,5)</f>
        <v>201.41575399000001</v>
      </c>
      <c r="E129" s="4">
        <f ca="1">OFFSET(Canterbury_Reference,24,5)</f>
        <v>205.39957443</v>
      </c>
      <c r="F129" s="4">
        <f ca="1">OFFSET(Canterbury_Reference,25,5)</f>
        <v>208.44985747999999</v>
      </c>
      <c r="G129" s="4">
        <f ca="1">OFFSET(Canterbury_Reference,26,5)</f>
        <v>211.1313169</v>
      </c>
      <c r="H129" s="4">
        <f ca="1">OFFSET(Canterbury_Reference,27,5)</f>
        <v>212.72041157000001</v>
      </c>
      <c r="I129" s="1">
        <f ca="1">H129*('Updated Population'!I$125/'Updated Population'!H$125)</f>
        <v>218.10209499510449</v>
      </c>
      <c r="J129" s="1">
        <f ca="1">I129*('Updated Population'!J$125/'Updated Population'!I$125)</f>
        <v>222.90811062105908</v>
      </c>
      <c r="K129" s="1">
        <f ca="1">J129*('Updated Population'!K$125/'Updated Population'!J$125)</f>
        <v>227.33042983984103</v>
      </c>
    </row>
    <row r="130" spans="1:11" x14ac:dyDescent="0.2">
      <c r="A130" t="str">
        <f ca="1">OFFSET(Canterbury_Reference,28,2)</f>
        <v>Taxi/Vehicle Share</v>
      </c>
      <c r="B130" s="4">
        <f ca="1">OFFSET(Canterbury_Reference,28,5)</f>
        <v>2.2446435044999999</v>
      </c>
      <c r="C130" s="4">
        <f ca="1">OFFSET(Canterbury_Reference,29,5)</f>
        <v>2.4730407147000002</v>
      </c>
      <c r="D130" s="4">
        <f ca="1">OFFSET(Canterbury_Reference,30,5)</f>
        <v>2.5966410012000001</v>
      </c>
      <c r="E130" s="4">
        <f ca="1">OFFSET(Canterbury_Reference,31,5)</f>
        <v>2.7208487698999999</v>
      </c>
      <c r="F130" s="4">
        <f ca="1">OFFSET(Canterbury_Reference,32,5)</f>
        <v>2.8426523942999999</v>
      </c>
      <c r="G130" s="4">
        <f ca="1">OFFSET(Canterbury_Reference,33,5)</f>
        <v>2.9164621969</v>
      </c>
      <c r="H130" s="4">
        <f ca="1">OFFSET(Canterbury_Reference,34,5)</f>
        <v>2.9713639247999999</v>
      </c>
      <c r="I130" s="1">
        <f ca="1">H130*('Updated Population'!I$125/'Updated Population'!H$125)</f>
        <v>3.0465374347891316</v>
      </c>
      <c r="J130" s="1">
        <f ca="1">I130*('Updated Population'!J$125/'Updated Population'!I$125)</f>
        <v>3.1136697863466938</v>
      </c>
      <c r="K130" s="1">
        <f ca="1">J130*('Updated Population'!K$125/'Updated Population'!J$125)</f>
        <v>3.175442512779739</v>
      </c>
    </row>
    <row r="131" spans="1:11" x14ac:dyDescent="0.2">
      <c r="A131" t="str">
        <f ca="1">OFFSET(Canterbury_Reference,35,2)</f>
        <v>Motorcyclist</v>
      </c>
      <c r="B131" s="4">
        <f ca="1">OFFSET(Canterbury_Reference,35,5)</f>
        <v>1.4451657518000001</v>
      </c>
      <c r="C131" s="4">
        <f ca="1">OFFSET(Canterbury_Reference,36,5)</f>
        <v>1.5838588179999999</v>
      </c>
      <c r="D131" s="4">
        <f ca="1">OFFSET(Canterbury_Reference,37,5)</f>
        <v>1.6168421857999999</v>
      </c>
      <c r="E131" s="4">
        <f ca="1">OFFSET(Canterbury_Reference,38,5)</f>
        <v>1.6348648957</v>
      </c>
      <c r="F131" s="4">
        <f ca="1">OFFSET(Canterbury_Reference,39,5)</f>
        <v>1.6638953161000001</v>
      </c>
      <c r="G131" s="4">
        <f ca="1">OFFSET(Canterbury_Reference,40,5)</f>
        <v>1.7327032748</v>
      </c>
      <c r="H131" s="4">
        <f ca="1">OFFSET(Canterbury_Reference,41,5)</f>
        <v>1.7930996751999999</v>
      </c>
      <c r="I131" s="1">
        <f ca="1">H131*('Updated Population'!I$125/'Updated Population'!H$125)</f>
        <v>1.8384638916866185</v>
      </c>
      <c r="J131" s="1">
        <f ca="1">I131*('Updated Population'!J$125/'Updated Population'!I$125)</f>
        <v>1.8789755896205493</v>
      </c>
      <c r="K131" s="1">
        <f ca="1">J131*('Updated Population'!K$125/'Updated Population'!J$125)</f>
        <v>1.9162529674532789</v>
      </c>
    </row>
    <row r="132" spans="1:11" x14ac:dyDescent="0.2">
      <c r="A132" t="str">
        <f ca="1">OFFSET(Canterbury_Reference,42,2)</f>
        <v>Local Train</v>
      </c>
      <c r="B132" s="4">
        <f ca="1">OFFSET(Canterbury_Reference,42,5)</f>
        <v>2.1901243099999999E-2</v>
      </c>
      <c r="C132" s="4">
        <f ca="1">OFFSET(Canterbury_Reference,43,5)</f>
        <v>2.2058192899999999E-2</v>
      </c>
      <c r="D132" s="4">
        <f ca="1">OFFSET(Canterbury_Reference,44,5)</f>
        <v>1.8725575000000001E-2</v>
      </c>
      <c r="E132" s="4">
        <f ca="1">OFFSET(Canterbury_Reference,45,5)</f>
        <v>1.7423979199999998E-2</v>
      </c>
      <c r="F132" s="4">
        <f ca="1">OFFSET(Canterbury_Reference,46,5)</f>
        <v>1.6539134600000002E-2</v>
      </c>
      <c r="G132" s="4">
        <f ca="1">OFFSET(Canterbury_Reference,47,5)</f>
        <v>1.3973374199999999E-2</v>
      </c>
      <c r="H132" s="4">
        <f ca="1">OFFSET(Canterbury_Reference,48,5)</f>
        <v>1.1562156699999999E-2</v>
      </c>
      <c r="I132" s="1">
        <f ca="1">H132*('Updated Population'!I$125/'Updated Population'!H$125)</f>
        <v>1.1854671492593727E-2</v>
      </c>
      <c r="J132" s="1">
        <f ca="1">I132*('Updated Population'!J$125/'Updated Population'!I$125)</f>
        <v>1.211589656902063E-2</v>
      </c>
      <c r="K132" s="1">
        <f ca="1">J132*('Updated Population'!K$125/'Updated Population'!J$125)</f>
        <v>1.235626629850544E-2</v>
      </c>
    </row>
    <row r="133" spans="1:11" x14ac:dyDescent="0.2">
      <c r="A133" t="str">
        <f ca="1">OFFSET(Canterbury_Reference,49,2)</f>
        <v>Local Bus</v>
      </c>
      <c r="B133" s="4">
        <f ca="1">OFFSET(Canterbury_Reference,49,5)</f>
        <v>20.502079716000001</v>
      </c>
      <c r="C133" s="4">
        <f ca="1">OFFSET(Canterbury_Reference,50,5)</f>
        <v>20.810860451</v>
      </c>
      <c r="D133" s="4">
        <f ca="1">OFFSET(Canterbury_Reference,51,5)</f>
        <v>20.596568740999999</v>
      </c>
      <c r="E133" s="4">
        <f ca="1">OFFSET(Canterbury_Reference,52,5)</f>
        <v>20.902055278999999</v>
      </c>
      <c r="F133" s="4">
        <f ca="1">OFFSET(Canterbury_Reference,53,5)</f>
        <v>20.727711654</v>
      </c>
      <c r="G133" s="4">
        <f ca="1">OFFSET(Canterbury_Reference,54,5)</f>
        <v>20.543844931999999</v>
      </c>
      <c r="H133" s="4">
        <f ca="1">OFFSET(Canterbury_Reference,55,5)</f>
        <v>20.244408851999999</v>
      </c>
      <c r="I133" s="1">
        <f ca="1">H133*('Updated Population'!I$125/'Updated Population'!H$125)</f>
        <v>20.756578787953678</v>
      </c>
      <c r="J133" s="1">
        <f ca="1">I133*('Updated Population'!J$125/'Updated Population'!I$125)</f>
        <v>21.213962940996787</v>
      </c>
      <c r="K133" s="1">
        <f ca="1">J133*('Updated Population'!K$125/'Updated Population'!J$125)</f>
        <v>21.634831054584552</v>
      </c>
    </row>
    <row r="134" spans="1:11" x14ac:dyDescent="0.2">
      <c r="A134" t="str">
        <f ca="1">OFFSET(Wellington_Reference,56,2)</f>
        <v>Local Ferry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1">
        <f>H134*('Updated Population'!I$125/'Updated Population'!H$125)</f>
        <v>0</v>
      </c>
      <c r="J134" s="1">
        <f>I134*('Updated Population'!J$125/'Updated Population'!I$125)</f>
        <v>0</v>
      </c>
      <c r="K134" s="1">
        <f>J134*('Updated Population'!K$125/'Updated Population'!J$125)</f>
        <v>0</v>
      </c>
    </row>
    <row r="135" spans="1:11" x14ac:dyDescent="0.2">
      <c r="A135" t="str">
        <f ca="1">OFFSET(Canterbury_Reference,56,2)</f>
        <v>Other Household Travel</v>
      </c>
      <c r="B135" s="4">
        <f ca="1">OFFSET(Canterbury_Reference,56,5)</f>
        <v>1.5386198845000001</v>
      </c>
      <c r="C135" s="4">
        <f ca="1">OFFSET(Canterbury_Reference,57,5)</f>
        <v>1.7047207485</v>
      </c>
      <c r="D135" s="4">
        <f ca="1">OFFSET(Canterbury_Reference,58,5)</f>
        <v>1.8916172440000001</v>
      </c>
      <c r="E135" s="4">
        <f ca="1">OFFSET(Canterbury_Reference,59,5)</f>
        <v>2.1390559548999999</v>
      </c>
      <c r="F135" s="4">
        <f ca="1">OFFSET(Canterbury_Reference,60,5)</f>
        <v>2.3736169961</v>
      </c>
      <c r="G135" s="4">
        <f ca="1">OFFSET(Canterbury_Reference,61,5)</f>
        <v>2.5985039106999999</v>
      </c>
      <c r="H135" s="4">
        <f ca="1">OFFSET(Canterbury_Reference,62,5)</f>
        <v>2.8175543718</v>
      </c>
      <c r="I135" s="1">
        <f ca="1">H135*('Updated Population'!I$125/'Updated Population'!H$125)</f>
        <v>2.888836603486812</v>
      </c>
      <c r="J135" s="1">
        <f ca="1">I135*('Updated Population'!J$125/'Updated Population'!I$125)</f>
        <v>2.9524939189174542</v>
      </c>
      <c r="K135" s="1">
        <f ca="1">J135*('Updated Population'!K$125/'Updated Population'!J$125)</f>
        <v>3.0110690446254731</v>
      </c>
    </row>
    <row r="136" spans="1:11" x14ac:dyDescent="0.2">
      <c r="A136" t="str">
        <f ca="1">OFFSET(Otago_Reference,0,0)</f>
        <v>14 OTAGO</v>
      </c>
      <c r="I136" s="1"/>
      <c r="J136" s="1"/>
      <c r="K136" s="1"/>
    </row>
    <row r="137" spans="1:11" x14ac:dyDescent="0.2">
      <c r="A137" t="str">
        <f ca="1">OFFSET(Otago_Reference,0,2)</f>
        <v>Pedestrian</v>
      </c>
      <c r="B137" s="4">
        <f ca="1">OFFSET(Otago_Reference,0,5)</f>
        <v>58.261736425999999</v>
      </c>
      <c r="C137" s="4">
        <f ca="1">OFFSET(Otago_Reference,1,5)</f>
        <v>58.980601516999997</v>
      </c>
      <c r="D137" s="4">
        <f ca="1">OFFSET(Otago_Reference,2,5)</f>
        <v>59.067989218000001</v>
      </c>
      <c r="E137" s="4">
        <f ca="1">OFFSET(Otago_Reference,3,5)</f>
        <v>59.793038952000003</v>
      </c>
      <c r="F137" s="4">
        <f ca="1">OFFSET(Otago_Reference,4,5)</f>
        <v>60.401300878000001</v>
      </c>
      <c r="G137" s="4">
        <f ca="1">OFFSET(Otago_Reference,5,5)</f>
        <v>60.166539196000002</v>
      </c>
      <c r="H137" s="4">
        <f ca="1">OFFSET(Otago_Reference,6,5)</f>
        <v>59.826633272000002</v>
      </c>
      <c r="I137" s="1">
        <f ca="1">H137*('Updated Population'!I$136/'Updated Population'!H$136)</f>
        <v>60.423621849974325</v>
      </c>
      <c r="J137" s="1">
        <f ca="1">I137*('Updated Population'!J$136/'Updated Population'!I$136)</f>
        <v>60.832309483772477</v>
      </c>
      <c r="K137" s="1">
        <f ca="1">J137*('Updated Population'!K$136/'Updated Population'!J$136)</f>
        <v>61.112144562189734</v>
      </c>
    </row>
    <row r="138" spans="1:11" x14ac:dyDescent="0.2">
      <c r="A138" t="str">
        <f ca="1">OFFSET(Otago_Reference,7,2)</f>
        <v>Cyclist</v>
      </c>
      <c r="B138" s="4">
        <f ca="1">OFFSET(Otago_Reference,7,5)</f>
        <v>4.5847179276999999</v>
      </c>
      <c r="C138" s="4">
        <f ca="1">OFFSET(Otago_Reference,8,5)</f>
        <v>4.7224126380999998</v>
      </c>
      <c r="D138" s="4">
        <f ca="1">OFFSET(Otago_Reference,9,5)</f>
        <v>4.7374659691999996</v>
      </c>
      <c r="E138" s="4">
        <f ca="1">OFFSET(Otago_Reference,10,5)</f>
        <v>4.6323708082000001</v>
      </c>
      <c r="F138" s="4">
        <f ca="1">OFFSET(Otago_Reference,11,5)</f>
        <v>4.6058430689999996</v>
      </c>
      <c r="G138" s="4">
        <f ca="1">OFFSET(Otago_Reference,12,5)</f>
        <v>4.6472943015999997</v>
      </c>
      <c r="H138" s="4">
        <f ca="1">OFFSET(Otago_Reference,13,5)</f>
        <v>4.6714132283999996</v>
      </c>
      <c r="I138" s="1">
        <f ca="1">H138*('Updated Population'!I$136/'Updated Population'!H$136)</f>
        <v>4.7180275903961668</v>
      </c>
      <c r="J138" s="1">
        <f ca="1">I138*('Updated Population'!J$136/'Updated Population'!I$136)</f>
        <v>4.7499389434908377</v>
      </c>
      <c r="K138" s="1">
        <f ca="1">J138*('Updated Population'!K$136/'Updated Population'!J$136)</f>
        <v>4.7717891666371992</v>
      </c>
    </row>
    <row r="139" spans="1:11" x14ac:dyDescent="0.2">
      <c r="A139" t="str">
        <f ca="1">OFFSET(Otago_Reference,14,2)</f>
        <v>Light Vehicle Driver</v>
      </c>
      <c r="B139" s="4">
        <f ca="1">OFFSET(Otago_Reference,14,5)</f>
        <v>150.49144967999999</v>
      </c>
      <c r="C139" s="4">
        <f ca="1">OFFSET(Otago_Reference,15,5)</f>
        <v>155.76117059000001</v>
      </c>
      <c r="D139" s="4">
        <f ca="1">OFFSET(Otago_Reference,16,5)</f>
        <v>159.66543447000001</v>
      </c>
      <c r="E139" s="4">
        <f ca="1">OFFSET(Otago_Reference,17,5)</f>
        <v>164.55229989</v>
      </c>
      <c r="F139" s="4">
        <f ca="1">OFFSET(Otago_Reference,18,5)</f>
        <v>168.68247399000001</v>
      </c>
      <c r="G139" s="4">
        <f ca="1">OFFSET(Otago_Reference,19,5)</f>
        <v>169.77477941000001</v>
      </c>
      <c r="H139" s="4">
        <f ca="1">OFFSET(Otago_Reference,20,5)</f>
        <v>170.42068201999999</v>
      </c>
      <c r="I139" s="1">
        <f ca="1">H139*('Updated Population'!I$136/'Updated Population'!H$136)</f>
        <v>172.12124905933143</v>
      </c>
      <c r="J139" s="1">
        <f ca="1">I139*('Updated Population'!J$136/'Updated Population'!I$136)</f>
        <v>173.2854266417196</v>
      </c>
      <c r="K139" s="1">
        <f ca="1">J139*('Updated Population'!K$136/'Updated Population'!J$136)</f>
        <v>174.08255799123361</v>
      </c>
    </row>
    <row r="140" spans="1:11" x14ac:dyDescent="0.2">
      <c r="A140" t="str">
        <f ca="1">OFFSET(Otago_Reference,21,2)</f>
        <v>Light Vehicle Passenger</v>
      </c>
      <c r="B140" s="4">
        <f ca="1">OFFSET(Otago_Reference,21,5)</f>
        <v>71.232164202000007</v>
      </c>
      <c r="C140" s="4">
        <f ca="1">OFFSET(Otago_Reference,22,5)</f>
        <v>70.709647580999999</v>
      </c>
      <c r="D140" s="4">
        <f ca="1">OFFSET(Otago_Reference,23,5)</f>
        <v>70.079933252000004</v>
      </c>
      <c r="E140" s="4">
        <f ca="1">OFFSET(Otago_Reference,24,5)</f>
        <v>69.735588512999996</v>
      </c>
      <c r="F140" s="4">
        <f ca="1">OFFSET(Otago_Reference,25,5)</f>
        <v>69.690397922000002</v>
      </c>
      <c r="G140" s="4">
        <f ca="1">OFFSET(Otago_Reference,26,5)</f>
        <v>69.142697260000006</v>
      </c>
      <c r="H140" s="4">
        <f ca="1">OFFSET(Otago_Reference,27,5)</f>
        <v>68.387910547999994</v>
      </c>
      <c r="I140" s="1">
        <f ca="1">H140*('Updated Population'!I$136/'Updated Population'!H$136)</f>
        <v>69.070329050192285</v>
      </c>
      <c r="J140" s="1">
        <f ca="1">I140*('Updated Population'!J$136/'Updated Population'!I$136)</f>
        <v>69.537500472244247</v>
      </c>
      <c r="K140" s="1">
        <f ca="1">J140*('Updated Population'!K$136/'Updated Population'!J$136)</f>
        <v>69.857380352898488</v>
      </c>
    </row>
    <row r="141" spans="1:11" x14ac:dyDescent="0.2">
      <c r="A141" t="str">
        <f ca="1">OFFSET(Otago_Reference,28,2)</f>
        <v>Taxi/Vehicle Share</v>
      </c>
      <c r="B141" s="4">
        <f ca="1">OFFSET(Otago_Reference,28,5)</f>
        <v>0.85820748670000002</v>
      </c>
      <c r="C141" s="4">
        <f ca="1">OFFSET(Otago_Reference,29,5)</f>
        <v>0.85490765729999996</v>
      </c>
      <c r="D141" s="4">
        <f ca="1">OFFSET(Otago_Reference,30,5)</f>
        <v>0.83647690210000003</v>
      </c>
      <c r="E141" s="4">
        <f ca="1">OFFSET(Otago_Reference,31,5)</f>
        <v>0.84931381549999996</v>
      </c>
      <c r="F141" s="4">
        <f ca="1">OFFSET(Otago_Reference,32,5)</f>
        <v>0.87476323040000004</v>
      </c>
      <c r="G141" s="4">
        <f ca="1">OFFSET(Otago_Reference,33,5)</f>
        <v>0.85805893929999999</v>
      </c>
      <c r="H141" s="4">
        <f ca="1">OFFSET(Otago_Reference,34,5)</f>
        <v>0.84131340129999999</v>
      </c>
      <c r="I141" s="1">
        <f ca="1">H141*('Updated Population'!I$136/'Updated Population'!H$136)</f>
        <v>0.84970856685760943</v>
      </c>
      <c r="J141" s="1">
        <f ca="1">I141*('Updated Population'!J$136/'Updated Population'!I$136)</f>
        <v>0.85545574607287189</v>
      </c>
      <c r="K141" s="1">
        <f ca="1">J141*('Updated Population'!K$136/'Updated Population'!J$136)</f>
        <v>0.85939093327546623</v>
      </c>
    </row>
    <row r="142" spans="1:11" x14ac:dyDescent="0.2">
      <c r="A142" t="str">
        <f ca="1">OFFSET(Otago_Reference,35,2)</f>
        <v>Motorcyclist</v>
      </c>
      <c r="B142" s="4">
        <f ca="1">OFFSET(Otago_Reference,35,5)</f>
        <v>2.0937246197000001</v>
      </c>
      <c r="C142" s="4">
        <f ca="1">OFFSET(Otago_Reference,36,5)</f>
        <v>2.1595813456999999</v>
      </c>
      <c r="D142" s="4">
        <f ca="1">OFFSET(Otago_Reference,37,5)</f>
        <v>2.1329598157</v>
      </c>
      <c r="E142" s="4">
        <f ca="1">OFFSET(Otago_Reference,38,5)</f>
        <v>2.0864375024999999</v>
      </c>
      <c r="F142" s="4">
        <f ca="1">OFFSET(Otago_Reference,39,5)</f>
        <v>1.9785240113</v>
      </c>
      <c r="G142" s="4">
        <f ca="1">OFFSET(Otago_Reference,40,5)</f>
        <v>1.8339902144</v>
      </c>
      <c r="H142" s="4">
        <f ca="1">OFFSET(Otago_Reference,41,5)</f>
        <v>1.6859748844</v>
      </c>
      <c r="I142" s="1">
        <f ca="1">H142*('Updated Population'!I$136/'Updated Population'!H$136)</f>
        <v>1.7027986248261464</v>
      </c>
      <c r="J142" s="1">
        <f ca="1">I142*('Updated Population'!J$136/'Updated Population'!I$136)</f>
        <v>1.714315854669515</v>
      </c>
      <c r="K142" s="1">
        <f ca="1">J142*('Updated Population'!K$136/'Updated Population'!J$136)</f>
        <v>1.7222018895035429</v>
      </c>
    </row>
    <row r="143" spans="1:11" x14ac:dyDescent="0.2">
      <c r="A143" t="str">
        <f ca="1">OFFSET(Canterbury_Reference,42,2)</f>
        <v>Local Train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1">
        <f>H143*('Updated Population'!I$136/'Updated Population'!H$136)</f>
        <v>0</v>
      </c>
      <c r="J143" s="1">
        <f>I143*('Updated Population'!J$136/'Updated Population'!I$136)</f>
        <v>0</v>
      </c>
      <c r="K143" s="1">
        <f>J143*('Updated Population'!K$136/'Updated Population'!J$136)</f>
        <v>0</v>
      </c>
    </row>
    <row r="144" spans="1:11" x14ac:dyDescent="0.2">
      <c r="A144" t="str">
        <f ca="1">OFFSET(Otago_Reference,42,2)</f>
        <v>Local Bus</v>
      </c>
      <c r="B144" s="4">
        <f ca="1">OFFSET(Otago_Reference,42,5)</f>
        <v>4.2627057848999996</v>
      </c>
      <c r="C144" s="4">
        <f ca="1">OFFSET(Otago_Reference,43,5)</f>
        <v>4.0908786401999997</v>
      </c>
      <c r="D144" s="4">
        <f ca="1">OFFSET(Otago_Reference,44,5)</f>
        <v>3.9445429821000002</v>
      </c>
      <c r="E144" s="4">
        <f ca="1">OFFSET(Otago_Reference,45,5)</f>
        <v>3.8454742006</v>
      </c>
      <c r="F144" s="4">
        <f ca="1">OFFSET(Otago_Reference,46,5)</f>
        <v>3.7695295379</v>
      </c>
      <c r="G144" s="4">
        <f ca="1">OFFSET(Otago_Reference,47,5)</f>
        <v>3.6017926560000002</v>
      </c>
      <c r="H144" s="4">
        <f ca="1">OFFSET(Otago_Reference,48,5)</f>
        <v>3.4215779472999999</v>
      </c>
      <c r="I144" s="1">
        <f ca="1">H144*('Updated Population'!I$136/'Updated Population'!H$136)</f>
        <v>3.4557206499973105</v>
      </c>
      <c r="J144" s="1">
        <f ca="1">I144*('Updated Population'!J$136/'Updated Population'!I$136)</f>
        <v>3.4790941296444164</v>
      </c>
      <c r="K144" s="1">
        <f ca="1">J144*('Updated Population'!K$136/'Updated Population'!J$136)</f>
        <v>3.495098331800341</v>
      </c>
    </row>
    <row r="145" spans="1:11" x14ac:dyDescent="0.2">
      <c r="A145" t="str">
        <f ca="1">OFFSET(Wellington_Reference,56,2)</f>
        <v>Local Ferry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1">
        <f>H145*('Updated Population'!I$136/'Updated Population'!H$136)</f>
        <v>0</v>
      </c>
      <c r="J145" s="1">
        <f>I145*('Updated Population'!J$136/'Updated Population'!I$136)</f>
        <v>0</v>
      </c>
      <c r="K145" s="1">
        <f>J145*('Updated Population'!K$136/'Updated Population'!J$136)</f>
        <v>0</v>
      </c>
    </row>
    <row r="146" spans="1:11" x14ac:dyDescent="0.2">
      <c r="A146" t="str">
        <f ca="1">OFFSET(Otago_Reference,49,2)</f>
        <v>Other Household Travel</v>
      </c>
      <c r="B146" s="4">
        <f ca="1">OFFSET(Otago_Reference,49,5)</f>
        <v>0.77539158779999995</v>
      </c>
      <c r="C146" s="4">
        <f ca="1">OFFSET(Otago_Reference,50,5)</f>
        <v>0.80922005829999999</v>
      </c>
      <c r="D146" s="4">
        <f ca="1">OFFSET(Otago_Reference,51,5)</f>
        <v>0.84320674070000001</v>
      </c>
      <c r="E146" s="4">
        <f ca="1">OFFSET(Otago_Reference,52,5)</f>
        <v>0.8688361724</v>
      </c>
      <c r="F146" s="4">
        <f ca="1">OFFSET(Otago_Reference,53,5)</f>
        <v>0.86867540580000002</v>
      </c>
      <c r="G146" s="4">
        <f ca="1">OFFSET(Otago_Reference,54,5)</f>
        <v>0.85675198649999995</v>
      </c>
      <c r="H146" s="4">
        <f ca="1">OFFSET(Otago_Reference,55,5)</f>
        <v>0.8440252452</v>
      </c>
      <c r="I146" s="1">
        <f ca="1">H146*('Updated Population'!I$136/'Updated Population'!H$136)</f>
        <v>0.85244747127806675</v>
      </c>
      <c r="J146" s="1">
        <f ca="1">I146*('Updated Population'!J$136/'Updated Population'!I$136)</f>
        <v>0.85821317563850463</v>
      </c>
      <c r="K146" s="1">
        <f ca="1">J146*('Updated Population'!K$136/'Updated Population'!J$136)</f>
        <v>0.86216104730968601</v>
      </c>
    </row>
    <row r="147" spans="1:11" x14ac:dyDescent="0.2">
      <c r="A147" t="str">
        <f ca="1">OFFSET(Southland_Reference,0,0)</f>
        <v>15 SOUTHLAND</v>
      </c>
      <c r="I147" s="1"/>
      <c r="J147" s="1"/>
      <c r="K147" s="1"/>
    </row>
    <row r="148" spans="1:11" x14ac:dyDescent="0.2">
      <c r="A148" t="str">
        <f ca="1">OFFSET(Southland_Reference,0,2)</f>
        <v>Pedestrian</v>
      </c>
      <c r="B148" s="4">
        <f ca="1">OFFSET(Southland_Reference,0,5)</f>
        <v>12.52065131</v>
      </c>
      <c r="C148" s="4">
        <f ca="1">OFFSET(Southland_Reference,1,5)</f>
        <v>12.785017452</v>
      </c>
      <c r="D148" s="4">
        <f ca="1">OFFSET(Southland_Reference,2,5)</f>
        <v>12.904021147</v>
      </c>
      <c r="E148" s="4">
        <f ca="1">OFFSET(Southland_Reference,3,5)</f>
        <v>13.124469397</v>
      </c>
      <c r="F148" s="4">
        <f ca="1">OFFSET(Southland_Reference,4,5)</f>
        <v>13.147560262000001</v>
      </c>
      <c r="G148" s="4">
        <f ca="1">OFFSET(Southland_Reference,5,5)</f>
        <v>13.02233861</v>
      </c>
      <c r="H148" s="4">
        <f ca="1">OFFSET(Southland_Reference,6,5)</f>
        <v>12.819824722</v>
      </c>
      <c r="I148" s="1">
        <f ca="1">H148*('Updated Population'!I$147/'Updated Population'!H$147)</f>
        <v>12.648095480912474</v>
      </c>
      <c r="J148" s="1">
        <f ca="1">I148*('Updated Population'!J$147/'Updated Population'!I$147)</f>
        <v>12.438944909912472</v>
      </c>
      <c r="K148" s="1">
        <f ca="1">J148*('Updated Population'!K$147/'Updated Population'!J$147)</f>
        <v>12.206962829763286</v>
      </c>
    </row>
    <row r="149" spans="1:11" x14ac:dyDescent="0.2">
      <c r="A149" t="str">
        <f ca="1">OFFSET(Southland_Reference,7,2)</f>
        <v>Cyclist</v>
      </c>
      <c r="B149" s="4">
        <f ca="1">OFFSET(Southland_Reference,7,5)</f>
        <v>1.0312878256</v>
      </c>
      <c r="C149" s="4">
        <f ca="1">OFFSET(Southland_Reference,8,5)</f>
        <v>1.0778693742000001</v>
      </c>
      <c r="D149" s="4">
        <f ca="1">OFFSET(Southland_Reference,9,5)</f>
        <v>1.0779283877000001</v>
      </c>
      <c r="E149" s="4">
        <f ca="1">OFFSET(Southland_Reference,10,5)</f>
        <v>1.079707594</v>
      </c>
      <c r="F149" s="4">
        <f ca="1">OFFSET(Southland_Reference,11,5)</f>
        <v>1.0854158451</v>
      </c>
      <c r="G149" s="4">
        <f ca="1">OFFSET(Southland_Reference,12,5)</f>
        <v>1.0426914031000001</v>
      </c>
      <c r="H149" s="4">
        <f ca="1">OFFSET(Southland_Reference,13,5)</f>
        <v>0.99337122639999997</v>
      </c>
      <c r="I149" s="1">
        <f ca="1">H149*('Updated Population'!I$147/'Updated Population'!H$147)</f>
        <v>0.98006442302888164</v>
      </c>
      <c r="J149" s="1">
        <f ca="1">I149*('Updated Population'!J$147/'Updated Population'!I$147)</f>
        <v>0.96385794878122755</v>
      </c>
      <c r="K149" s="1">
        <f ca="1">J149*('Updated Population'!K$147/'Updated Population'!J$147)</f>
        <v>0.94588232676939499</v>
      </c>
    </row>
    <row r="150" spans="1:11" x14ac:dyDescent="0.2">
      <c r="A150" t="str">
        <f ca="1">OFFSET(Southland_Reference,14,2)</f>
        <v>Light Vehicle Driver</v>
      </c>
      <c r="B150" s="4">
        <f ca="1">OFFSET(Southland_Reference,14,5)</f>
        <v>66.981547285000005</v>
      </c>
      <c r="C150" s="4">
        <f ca="1">OFFSET(Southland_Reference,15,5)</f>
        <v>70.869768739999998</v>
      </c>
      <c r="D150" s="4">
        <f ca="1">OFFSET(Southland_Reference,16,5)</f>
        <v>72.332040285999994</v>
      </c>
      <c r="E150" s="4">
        <f ca="1">OFFSET(Southland_Reference,17,5)</f>
        <v>72.539831293000006</v>
      </c>
      <c r="F150" s="4">
        <f ca="1">OFFSET(Southland_Reference,18,5)</f>
        <v>73.162621907000002</v>
      </c>
      <c r="G150" s="4">
        <f ca="1">OFFSET(Southland_Reference,19,5)</f>
        <v>73.322096023</v>
      </c>
      <c r="H150" s="4">
        <f ca="1">OFFSET(Southland_Reference,20,5)</f>
        <v>73.318307434999994</v>
      </c>
      <c r="I150" s="1">
        <f ca="1">H150*('Updated Population'!I$147/'Updated Population'!H$147)</f>
        <v>72.336164732843756</v>
      </c>
      <c r="J150" s="1">
        <f ca="1">I150*('Updated Population'!J$147/'Updated Population'!I$147)</f>
        <v>71.140004395450958</v>
      </c>
      <c r="K150" s="1">
        <f ca="1">J150*('Updated Population'!K$147/'Updated Population'!J$147)</f>
        <v>69.813267576452134</v>
      </c>
    </row>
    <row r="151" spans="1:11" x14ac:dyDescent="0.2">
      <c r="A151" t="str">
        <f ca="1">OFFSET(Southland_Reference,21,2)</f>
        <v>Light Vehicle Passenger</v>
      </c>
      <c r="B151" s="4">
        <f ca="1">OFFSET(Southland_Reference,21,5)</f>
        <v>28.419434702</v>
      </c>
      <c r="C151" s="4">
        <f ca="1">OFFSET(Southland_Reference,22,5)</f>
        <v>27.631413936000001</v>
      </c>
      <c r="D151" s="4">
        <f ca="1">OFFSET(Southland_Reference,23,5)</f>
        <v>26.787203116000001</v>
      </c>
      <c r="E151" s="4">
        <f ca="1">OFFSET(Southland_Reference,24,5)</f>
        <v>26.096847983</v>
      </c>
      <c r="F151" s="4">
        <f ca="1">OFFSET(Southland_Reference,25,5)</f>
        <v>25.351993895</v>
      </c>
      <c r="G151" s="4">
        <f ca="1">OFFSET(Southland_Reference,26,5)</f>
        <v>24.526253276999999</v>
      </c>
      <c r="H151" s="4">
        <f ca="1">OFFSET(Southland_Reference,27,5)</f>
        <v>23.57958614</v>
      </c>
      <c r="I151" s="1">
        <f ca="1">H151*('Updated Population'!I$147/'Updated Population'!H$147)</f>
        <v>23.263723441344599</v>
      </c>
      <c r="J151" s="1">
        <f ca="1">I151*('Updated Population'!J$147/'Updated Population'!I$147)</f>
        <v>22.879031449677854</v>
      </c>
      <c r="K151" s="1">
        <f ca="1">J151*('Updated Population'!K$147/'Updated Population'!J$147)</f>
        <v>22.452345316253034</v>
      </c>
    </row>
    <row r="152" spans="1:11" x14ac:dyDescent="0.2">
      <c r="A152" t="str">
        <f ca="1">OFFSET(Southland_Reference,28,2)</f>
        <v>Taxi/Vehicle Share</v>
      </c>
      <c r="B152" s="4">
        <f ca="1">OFFSET(Southland_Reference,28,5)</f>
        <v>0.47613164409999997</v>
      </c>
      <c r="C152" s="4">
        <f ca="1">OFFSET(Southland_Reference,29,5)</f>
        <v>0.51869747359999996</v>
      </c>
      <c r="D152" s="4">
        <f ca="1">OFFSET(Southland_Reference,30,5)</f>
        <v>0.55092188689999999</v>
      </c>
      <c r="E152" s="4">
        <f ca="1">OFFSET(Southland_Reference,31,5)</f>
        <v>0.56322286060000004</v>
      </c>
      <c r="F152" s="4">
        <f ca="1">OFFSET(Southland_Reference,32,5)</f>
        <v>0.57521784539999998</v>
      </c>
      <c r="G152" s="4">
        <f ca="1">OFFSET(Southland_Reference,33,5)</f>
        <v>0.5755003957</v>
      </c>
      <c r="H152" s="4">
        <f ca="1">OFFSET(Southland_Reference,34,5)</f>
        <v>0.57408327729999997</v>
      </c>
      <c r="I152" s="1">
        <f ca="1">H152*('Updated Population'!I$147/'Updated Population'!H$147)</f>
        <v>0.56639308748308426</v>
      </c>
      <c r="J152" s="1">
        <f ca="1">I152*('Updated Population'!J$147/'Updated Population'!I$147)</f>
        <v>0.5570271368673323</v>
      </c>
      <c r="K152" s="1">
        <f ca="1">J152*('Updated Population'!K$147/'Updated Population'!J$147)</f>
        <v>0.54663877074416911</v>
      </c>
    </row>
    <row r="153" spans="1:11" x14ac:dyDescent="0.2">
      <c r="A153" t="str">
        <f ca="1">OFFSET(Southland_Reference,35,2)</f>
        <v>Motorcyclist</v>
      </c>
      <c r="B153" s="4">
        <f ca="1">OFFSET(Southland_Reference,35,5)</f>
        <v>0.62652592730000001</v>
      </c>
      <c r="C153" s="4">
        <f ca="1">OFFSET(Southland_Reference,36,5)</f>
        <v>0.72460535829999995</v>
      </c>
      <c r="D153" s="4">
        <f ca="1">OFFSET(Southland_Reference,37,5)</f>
        <v>0.79244962360000004</v>
      </c>
      <c r="E153" s="4">
        <f ca="1">OFFSET(Southland_Reference,38,5)</f>
        <v>0.81552316979999995</v>
      </c>
      <c r="F153" s="4">
        <f ca="1">OFFSET(Southland_Reference,39,5)</f>
        <v>0.81177587600000001</v>
      </c>
      <c r="G153" s="4">
        <f ca="1">OFFSET(Southland_Reference,40,5)</f>
        <v>0.7912327039</v>
      </c>
      <c r="H153" s="4">
        <f ca="1">OFFSET(Southland_Reference,41,5)</f>
        <v>0.76406726849999995</v>
      </c>
      <c r="I153" s="1">
        <f ca="1">H153*('Updated Population'!I$147/'Updated Population'!H$147)</f>
        <v>0.75383212917440912</v>
      </c>
      <c r="J153" s="1">
        <f ca="1">I153*('Updated Population'!J$147/'Updated Population'!I$147)</f>
        <v>0.74136666190363221</v>
      </c>
      <c r="K153" s="1">
        <f ca="1">J153*('Updated Population'!K$147/'Updated Population'!J$147)</f>
        <v>0.7275404265092934</v>
      </c>
    </row>
    <row r="154" spans="1:11" x14ac:dyDescent="0.2">
      <c r="A154" t="str">
        <f ca="1">OFFSET(Canterbury_Reference,42,2)</f>
        <v>Local Train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1">
        <f>H154*('Updated Population'!I$147/'Updated Population'!H$147)</f>
        <v>0</v>
      </c>
      <c r="J154" s="1">
        <f>I154*('Updated Population'!J$147/'Updated Population'!I$147)</f>
        <v>0</v>
      </c>
      <c r="K154" s="1">
        <f>J154*('Updated Population'!K$147/'Updated Population'!J$147)</f>
        <v>0</v>
      </c>
    </row>
    <row r="155" spans="1:11" x14ac:dyDescent="0.2">
      <c r="A155" t="str">
        <f ca="1">OFFSET(Southland_Reference,42,2)</f>
        <v>Local Bus</v>
      </c>
      <c r="B155" s="4">
        <f ca="1">OFFSET(Southland_Reference,42,5)</f>
        <v>2.6369167839999998</v>
      </c>
      <c r="C155" s="4">
        <f ca="1">OFFSET(Southland_Reference,43,5)</f>
        <v>2.6786484999</v>
      </c>
      <c r="D155" s="4">
        <f ca="1">OFFSET(Southland_Reference,44,5)</f>
        <v>2.719518952</v>
      </c>
      <c r="E155" s="4">
        <f ca="1">OFFSET(Southland_Reference,45,5)</f>
        <v>2.7798858183999999</v>
      </c>
      <c r="F155" s="4">
        <f ca="1">OFFSET(Southland_Reference,46,5)</f>
        <v>2.724391759</v>
      </c>
      <c r="G155" s="4">
        <f ca="1">OFFSET(Southland_Reference,47,5)</f>
        <v>2.6492214843999999</v>
      </c>
      <c r="H155" s="4">
        <f ca="1">OFFSET(Southland_Reference,48,5)</f>
        <v>2.5498404781000001</v>
      </c>
      <c r="I155" s="1">
        <f ca="1">H155*('Updated Population'!I$147/'Updated Population'!H$147)</f>
        <v>2.515683835580004</v>
      </c>
      <c r="J155" s="1">
        <f ca="1">I155*('Updated Population'!J$147/'Updated Population'!I$147)</f>
        <v>2.474084156682808</v>
      </c>
      <c r="K155" s="1">
        <f ca="1">J155*('Updated Population'!K$147/'Updated Population'!J$147)</f>
        <v>2.4279433309706491</v>
      </c>
    </row>
    <row r="156" spans="1:11" x14ac:dyDescent="0.2">
      <c r="A156" t="str">
        <f ca="1">OFFSET(Wellington_Reference,56,2)</f>
        <v>Local Ferry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1">
        <f>H156*('Updated Population'!I$147/'Updated Population'!H$147)</f>
        <v>0</v>
      </c>
      <c r="J156" s="1">
        <f>I156*('Updated Population'!J$147/'Updated Population'!I$147)</f>
        <v>0</v>
      </c>
      <c r="K156" s="1">
        <f>J156*('Updated Population'!K$147/'Updated Population'!J$147)</f>
        <v>0</v>
      </c>
    </row>
    <row r="157" spans="1:11" x14ac:dyDescent="0.2">
      <c r="A157" t="str">
        <f ca="1">OFFSET(Southland_Reference,49,2)</f>
        <v>Other Household Travel</v>
      </c>
      <c r="B157" s="4">
        <f ca="1">OFFSET(Southland_Reference,49,5)</f>
        <v>0.42937289560000003</v>
      </c>
      <c r="C157" s="4">
        <f ca="1">OFFSET(Southland_Reference,50,5)</f>
        <v>0.47900553140000002</v>
      </c>
      <c r="D157" s="4">
        <f ca="1">OFFSET(Southland_Reference,51,5)</f>
        <v>0.51261855170000004</v>
      </c>
      <c r="E157" s="4">
        <f ca="1">OFFSET(Southland_Reference,52,5)</f>
        <v>0.54839507519999997</v>
      </c>
      <c r="F157" s="4">
        <f ca="1">OFFSET(Southland_Reference,53,5)</f>
        <v>0.58596459619999997</v>
      </c>
      <c r="G157" s="4">
        <f ca="1">OFFSET(Southland_Reference,54,5)</f>
        <v>0.60540931740000004</v>
      </c>
      <c r="H157" s="4">
        <f ca="1">OFFSET(Southland_Reference,55,5)</f>
        <v>0.61566628509999999</v>
      </c>
      <c r="I157" s="1">
        <f ca="1">H157*('Updated Population'!I$147/'Updated Population'!H$147)</f>
        <v>0.6074190659533949</v>
      </c>
      <c r="J157" s="1">
        <f ca="1">I157*('Updated Population'!J$147/'Updated Population'!I$147)</f>
        <v>0.59737470435981244</v>
      </c>
      <c r="K157" s="1">
        <f ca="1">J157*('Updated Population'!K$147/'Updated Population'!J$147)</f>
        <v>0.58623386986383674</v>
      </c>
    </row>
    <row r="158" spans="1:11" x14ac:dyDescent="0.2">
      <c r="A158" t="s">
        <v>12</v>
      </c>
      <c r="I158" s="1"/>
      <c r="J158" s="1"/>
      <c r="K158" s="1"/>
    </row>
    <row r="159" spans="1:11" x14ac:dyDescent="0.2">
      <c r="A159" t="str">
        <f t="shared" ref="A159:A168" ca="1" si="0">A5</f>
        <v>Pedestrian</v>
      </c>
      <c r="B159" s="4">
        <f ca="1">B5+B16+B27+B38+B49+B60+B71+B82+B93+B104+B115+B126+B137+B148</f>
        <v>986.56972308989998</v>
      </c>
      <c r="C159" s="4">
        <f t="shared" ref="C159:K168" ca="1" si="1">C5+C16+C27+C38+C49+C60+C71+C82+C93+C104+C115+C126+C137+C148</f>
        <v>1046.1139106820999</v>
      </c>
      <c r="D159" s="4">
        <f t="shared" ca="1" si="1"/>
        <v>1085.5341341699002</v>
      </c>
      <c r="E159" s="4">
        <f t="shared" ca="1" si="1"/>
        <v>1122.4163009063</v>
      </c>
      <c r="F159" s="4">
        <f t="shared" ca="1" si="1"/>
        <v>1150.6061707198</v>
      </c>
      <c r="G159" s="4">
        <f t="shared" ca="1" si="1"/>
        <v>1174.2968909809999</v>
      </c>
      <c r="H159" s="4">
        <f t="shared" ca="1" si="1"/>
        <v>1192.7938552725</v>
      </c>
      <c r="I159" s="1">
        <f t="shared" ca="1" si="1"/>
        <v>1220.5193048294836</v>
      </c>
      <c r="J159" s="1">
        <f t="shared" ca="1" si="1"/>
        <v>1245.302929830377</v>
      </c>
      <c r="K159" s="1">
        <f t="shared" ca="1" si="1"/>
        <v>1268.253459856179</v>
      </c>
    </row>
    <row r="160" spans="1:11" x14ac:dyDescent="0.2">
      <c r="A160" t="str">
        <f t="shared" ca="1" si="0"/>
        <v>Cyclist</v>
      </c>
      <c r="B160" s="4">
        <f t="shared" ref="B160:H160" ca="1" si="2">B6+B17+B28+B39+B50+B61+B72+B83+B94+B105+B116+B127+B138+B149</f>
        <v>71.074316198400012</v>
      </c>
      <c r="C160" s="4">
        <f t="shared" ca="1" si="2"/>
        <v>74.618076715599997</v>
      </c>
      <c r="D160" s="4">
        <f t="shared" ca="1" si="2"/>
        <v>76.223305813400003</v>
      </c>
      <c r="E160" s="4">
        <f t="shared" ca="1" si="2"/>
        <v>77.595018246899983</v>
      </c>
      <c r="F160" s="4">
        <f t="shared" ca="1" si="2"/>
        <v>78.913034641500005</v>
      </c>
      <c r="G160" s="4">
        <f t="shared" ca="1" si="2"/>
        <v>80.163483444199997</v>
      </c>
      <c r="H160" s="4">
        <f t="shared" ca="1" si="2"/>
        <v>81.245875272299998</v>
      </c>
      <c r="I160" s="1">
        <f t="shared" ca="1" si="1"/>
        <v>82.64929014491112</v>
      </c>
      <c r="J160" s="1">
        <f t="shared" ca="1" si="1"/>
        <v>83.829258726215187</v>
      </c>
      <c r="K160" s="1">
        <f t="shared" ca="1" si="1"/>
        <v>84.863449291769541</v>
      </c>
    </row>
    <row r="161" spans="1:11" x14ac:dyDescent="0.2">
      <c r="A161" t="str">
        <f t="shared" ca="1" si="0"/>
        <v>Light Vehicle Driver</v>
      </c>
      <c r="B161" s="4">
        <f t="shared" ref="B161:H161" ca="1" si="3">B7+B18+B29+B40+B51+B62+B73+B84+B95+B106+B117+B128+B139+B150</f>
        <v>3093.3887589700003</v>
      </c>
      <c r="C161" s="4">
        <f t="shared" ca="1" si="3"/>
        <v>3367.8637431279994</v>
      </c>
      <c r="D161" s="4">
        <f t="shared" ca="1" si="3"/>
        <v>3551.2672387029997</v>
      </c>
      <c r="E161" s="4">
        <f t="shared" ca="1" si="3"/>
        <v>3697.7201864960002</v>
      </c>
      <c r="F161" s="4">
        <f t="shared" ca="1" si="3"/>
        <v>3833.6983454479991</v>
      </c>
      <c r="G161" s="4">
        <f t="shared" ca="1" si="3"/>
        <v>3936.6796340900005</v>
      </c>
      <c r="H161" s="4">
        <f t="shared" ca="1" si="3"/>
        <v>4023.922672701</v>
      </c>
      <c r="I161" s="1">
        <f t="shared" ca="1" si="1"/>
        <v>4114.919124420433</v>
      </c>
      <c r="J161" s="1">
        <f t="shared" ca="1" si="1"/>
        <v>4195.9393198064881</v>
      </c>
      <c r="K161" s="1">
        <f t="shared" ca="1" si="1"/>
        <v>4270.7355063358345</v>
      </c>
    </row>
    <row r="162" spans="1:11" x14ac:dyDescent="0.2">
      <c r="A162" t="str">
        <f t="shared" ca="1" si="0"/>
        <v>Light Vehicle Passenger</v>
      </c>
      <c r="B162" s="4">
        <f t="shared" ref="B162:H162" ca="1" si="4">B8+B19+B30+B41+B52+B63+B74+B85+B96+B107+B118+B129+B140+B151</f>
        <v>1512.9377645669999</v>
      </c>
      <c r="C162" s="4">
        <f t="shared" ca="1" si="4"/>
        <v>1566.5606439529997</v>
      </c>
      <c r="D162" s="4">
        <f t="shared" ca="1" si="4"/>
        <v>1602.4597819206003</v>
      </c>
      <c r="E162" s="4">
        <f t="shared" ca="1" si="4"/>
        <v>1634.6563400946002</v>
      </c>
      <c r="F162" s="4">
        <f t="shared" ca="1" si="4"/>
        <v>1664.7742493309004</v>
      </c>
      <c r="G162" s="4">
        <f t="shared" ca="1" si="4"/>
        <v>1687.513864133</v>
      </c>
      <c r="H162" s="4">
        <f t="shared" ca="1" si="4"/>
        <v>1700.9962199433</v>
      </c>
      <c r="I162" s="1">
        <f t="shared" ca="1" si="1"/>
        <v>1740.5550496820958</v>
      </c>
      <c r="J162" s="1">
        <f t="shared" ca="1" si="1"/>
        <v>1775.9443681412699</v>
      </c>
      <c r="K162" s="1">
        <f t="shared" ca="1" si="1"/>
        <v>1808.7453043976541</v>
      </c>
    </row>
    <row r="163" spans="1:11" x14ac:dyDescent="0.2">
      <c r="A163" t="str">
        <f t="shared" ca="1" si="0"/>
        <v>Taxi/Vehicle Share</v>
      </c>
      <c r="B163" s="4">
        <f t="shared" ref="B163:H163" ca="1" si="5">B9+B20+B31+B42+B53+B64+B75+B86+B97+B108+B119+B130+B141+B152</f>
        <v>15.600131729099999</v>
      </c>
      <c r="C163" s="4">
        <f t="shared" ca="1" si="5"/>
        <v>17.776880281600004</v>
      </c>
      <c r="D163" s="4">
        <f t="shared" ca="1" si="5"/>
        <v>19.500800001999998</v>
      </c>
      <c r="E163" s="4">
        <f t="shared" ca="1" si="5"/>
        <v>21.209716634200003</v>
      </c>
      <c r="F163" s="4">
        <f t="shared" ca="1" si="5"/>
        <v>22.7739527564</v>
      </c>
      <c r="G163" s="4">
        <f t="shared" ca="1" si="5"/>
        <v>24.0864989403</v>
      </c>
      <c r="H163" s="4">
        <f t="shared" ca="1" si="5"/>
        <v>25.362937208199998</v>
      </c>
      <c r="I163" s="1">
        <f t="shared" ca="1" si="1"/>
        <v>26.019880587351345</v>
      </c>
      <c r="J163" s="1">
        <f t="shared" ca="1" si="1"/>
        <v>26.618774340541382</v>
      </c>
      <c r="K163" s="1">
        <f t="shared" ca="1" si="1"/>
        <v>27.182896818881993</v>
      </c>
    </row>
    <row r="164" spans="1:11" x14ac:dyDescent="0.2">
      <c r="A164" t="str">
        <f t="shared" ca="1" si="0"/>
        <v>Motorcyclist</v>
      </c>
      <c r="B164" s="4">
        <f t="shared" ref="B164:H164" ca="1" si="6">B10+B21+B32+B43+B54+B65+B76+B87+B98+B109+B120+B131+B142+B153</f>
        <v>19.272283824500001</v>
      </c>
      <c r="C164" s="4">
        <f t="shared" ca="1" si="6"/>
        <v>20.416016085200003</v>
      </c>
      <c r="D164" s="4">
        <f t="shared" ca="1" si="6"/>
        <v>21.035156429699999</v>
      </c>
      <c r="E164" s="4">
        <f t="shared" ca="1" si="6"/>
        <v>21.440727325200001</v>
      </c>
      <c r="F164" s="4">
        <f t="shared" ca="1" si="6"/>
        <v>21.753312939999997</v>
      </c>
      <c r="G164" s="4">
        <f t="shared" ca="1" si="6"/>
        <v>21.699521233799999</v>
      </c>
      <c r="H164" s="4">
        <f t="shared" ca="1" si="6"/>
        <v>21.517696805</v>
      </c>
      <c r="I164" s="1">
        <f t="shared" ca="1" si="1"/>
        <v>21.934907831710394</v>
      </c>
      <c r="J164" s="1">
        <f t="shared" ca="1" si="1"/>
        <v>22.296642126116875</v>
      </c>
      <c r="K164" s="1">
        <f t="shared" ca="1" si="1"/>
        <v>22.623351464116887</v>
      </c>
    </row>
    <row r="165" spans="1:11" x14ac:dyDescent="0.2">
      <c r="A165" t="str">
        <f t="shared" ca="1" si="0"/>
        <v>Local Train</v>
      </c>
      <c r="B165" s="4">
        <f t="shared" ref="B165:H165" ca="1" si="7">B11+B22+B33+B44+B55+B66+B77+B88+B99+B110+B121+B132+B143+B154</f>
        <v>21.100326668600001</v>
      </c>
      <c r="C165" s="4">
        <f t="shared" ca="1" si="7"/>
        <v>23.226834756000002</v>
      </c>
      <c r="D165" s="4">
        <f t="shared" ca="1" si="7"/>
        <v>24.6935728604</v>
      </c>
      <c r="E165" s="4">
        <f t="shared" ca="1" si="7"/>
        <v>26.0819069392</v>
      </c>
      <c r="F165" s="4">
        <f t="shared" ca="1" si="7"/>
        <v>27.278559443199999</v>
      </c>
      <c r="G165" s="4">
        <f t="shared" ca="1" si="7"/>
        <v>28.295743010699997</v>
      </c>
      <c r="H165" s="4">
        <f t="shared" ca="1" si="7"/>
        <v>29.173964429599998</v>
      </c>
      <c r="I165" s="1">
        <f t="shared" ca="1" si="1"/>
        <v>29.943803878240683</v>
      </c>
      <c r="J165" s="1">
        <f t="shared" ca="1" si="1"/>
        <v>30.645763075615967</v>
      </c>
      <c r="K165" s="1">
        <f t="shared" ca="1" si="1"/>
        <v>31.306573842940132</v>
      </c>
    </row>
    <row r="166" spans="1:11" x14ac:dyDescent="0.2">
      <c r="A166" t="str">
        <f t="shared" ca="1" si="0"/>
        <v>Local Bus</v>
      </c>
      <c r="B166" s="4">
        <f t="shared" ref="B166:H166" ca="1" si="8">B12+B23+B34+B45+B56+B67+B78+B89+B100+B111+B122+B133+B144+B155</f>
        <v>137.43780974689997</v>
      </c>
      <c r="C166" s="4">
        <f t="shared" ca="1" si="8"/>
        <v>142.35124744479998</v>
      </c>
      <c r="D166" s="4">
        <f t="shared" ca="1" si="8"/>
        <v>144.47728708079998</v>
      </c>
      <c r="E166" s="4">
        <f t="shared" ca="1" si="8"/>
        <v>148.34435047029999</v>
      </c>
      <c r="F166" s="4">
        <f t="shared" ca="1" si="8"/>
        <v>150.07839418930001</v>
      </c>
      <c r="G166" s="4">
        <f t="shared" ca="1" si="8"/>
        <v>151.772672642</v>
      </c>
      <c r="H166" s="4">
        <f t="shared" ca="1" si="8"/>
        <v>152.6144052368</v>
      </c>
      <c r="I166" s="1">
        <f t="shared" ca="1" si="1"/>
        <v>156.62255002135993</v>
      </c>
      <c r="J166" s="1">
        <f t="shared" ca="1" si="1"/>
        <v>160.27428002451165</v>
      </c>
      <c r="K166" s="1">
        <f t="shared" ca="1" si="1"/>
        <v>163.70918678049816</v>
      </c>
    </row>
    <row r="167" spans="1:11" x14ac:dyDescent="0.2">
      <c r="A167" t="str">
        <f t="shared" ca="1" si="0"/>
        <v>Local Ferry</v>
      </c>
      <c r="B167" s="4">
        <f t="shared" ref="B167:H167" ca="1" si="9">B13+B24+B35+B46+B57+B68+B79+B90+B101+B112+B123+B134+B145+B156</f>
        <v>4.9488267775000008</v>
      </c>
      <c r="C167" s="4">
        <f t="shared" ca="1" si="9"/>
        <v>5.6741322004999999</v>
      </c>
      <c r="D167" s="4">
        <f t="shared" ca="1" si="9"/>
        <v>6.2694822977000007</v>
      </c>
      <c r="E167" s="4">
        <f t="shared" ca="1" si="9"/>
        <v>6.7824519669999992</v>
      </c>
      <c r="F167" s="4">
        <f t="shared" ca="1" si="9"/>
        <v>7.2500880004999999</v>
      </c>
      <c r="G167" s="4">
        <f t="shared" ca="1" si="9"/>
        <v>7.8974794637999999</v>
      </c>
      <c r="H167" s="4">
        <f t="shared" ca="1" si="9"/>
        <v>8.5255641856999986</v>
      </c>
      <c r="I167" s="1">
        <f t="shared" ca="1" si="1"/>
        <v>8.8645226122250769</v>
      </c>
      <c r="J167" s="1">
        <f t="shared" ca="1" si="1"/>
        <v>9.188545813713775</v>
      </c>
      <c r="K167" s="1">
        <f t="shared" ca="1" si="1"/>
        <v>9.5048725381589634</v>
      </c>
    </row>
    <row r="168" spans="1:11" x14ac:dyDescent="0.2">
      <c r="A168" t="str">
        <f t="shared" ca="1" si="0"/>
        <v>Other Household Travel</v>
      </c>
      <c r="B168" s="4">
        <f t="shared" ref="B168:H168" ca="1" si="10">B14+B25+B36+B47+B58+B69+B80+B91+B102+B113+B124+B135+B146+B157</f>
        <v>10.3599389081</v>
      </c>
      <c r="C168" s="4">
        <f t="shared" ca="1" si="10"/>
        <v>11.081155213799997</v>
      </c>
      <c r="D168" s="4">
        <f t="shared" ca="1" si="10"/>
        <v>11.753201282799999</v>
      </c>
      <c r="E168" s="4">
        <f t="shared" ca="1" si="10"/>
        <v>12.526799627900001</v>
      </c>
      <c r="F168" s="4">
        <f t="shared" ca="1" si="10"/>
        <v>13.3461605819</v>
      </c>
      <c r="G168" s="4">
        <f t="shared" ca="1" si="10"/>
        <v>14.2003359341</v>
      </c>
      <c r="H168" s="4">
        <f t="shared" ca="1" si="10"/>
        <v>14.965579679599999</v>
      </c>
      <c r="I168" s="1">
        <f t="shared" ca="1" si="1"/>
        <v>15.258498817447993</v>
      </c>
      <c r="J168" s="1">
        <f t="shared" ca="1" si="1"/>
        <v>15.512056017036764</v>
      </c>
      <c r="K168" s="1">
        <f t="shared" ca="1" si="1"/>
        <v>15.740402560192495</v>
      </c>
    </row>
    <row r="170" spans="1:11" x14ac:dyDescent="0.2">
      <c r="B170" s="4"/>
      <c r="C170" s="4"/>
      <c r="D170" s="4"/>
      <c r="E170" s="4"/>
      <c r="F170" s="4"/>
      <c r="G170" s="4"/>
      <c r="H170" s="4"/>
    </row>
    <row r="171" spans="1:11" x14ac:dyDescent="0.2">
      <c r="B171" s="4"/>
      <c r="C171" s="4"/>
      <c r="D171" s="4"/>
      <c r="E171" s="4"/>
      <c r="F171" s="4"/>
      <c r="G171" s="4"/>
      <c r="H171" s="4"/>
    </row>
    <row r="172" spans="1:11" x14ac:dyDescent="0.2">
      <c r="B172" s="4"/>
      <c r="C172" s="4"/>
      <c r="D172" s="4"/>
      <c r="E172" s="4"/>
      <c r="F172" s="4"/>
      <c r="G172" s="4"/>
      <c r="H172" s="4"/>
    </row>
    <row r="173" spans="1:11" x14ac:dyDescent="0.2">
      <c r="B173" s="4"/>
      <c r="C173" s="4"/>
      <c r="D173" s="4"/>
      <c r="E173" s="4"/>
      <c r="F173" s="4"/>
      <c r="G173" s="4"/>
      <c r="H173" s="4"/>
    </row>
    <row r="174" spans="1:11" x14ac:dyDescent="0.2">
      <c r="B174" s="4"/>
      <c r="C174" s="4"/>
      <c r="D174" s="4"/>
      <c r="E174" s="4"/>
      <c r="F174" s="4"/>
      <c r="G174" s="4"/>
      <c r="H174" s="4"/>
    </row>
    <row r="175" spans="1:11" x14ac:dyDescent="0.2">
      <c r="B175" s="4"/>
      <c r="C175" s="4"/>
      <c r="D175" s="4"/>
      <c r="E175" s="4"/>
      <c r="F175" s="4"/>
      <c r="G175" s="4"/>
      <c r="H175" s="4"/>
    </row>
    <row r="176" spans="1:11" x14ac:dyDescent="0.2">
      <c r="B176" s="4"/>
      <c r="C176" s="4"/>
      <c r="D176" s="4"/>
      <c r="E176" s="4"/>
      <c r="F176" s="4"/>
      <c r="G176" s="4"/>
      <c r="H176" s="4"/>
    </row>
    <row r="177" spans="2:8" x14ac:dyDescent="0.2">
      <c r="B177" s="4"/>
      <c r="C177" s="4"/>
      <c r="D177" s="4"/>
      <c r="E177" s="4"/>
      <c r="F177" s="4"/>
      <c r="G177" s="4"/>
      <c r="H177" s="4"/>
    </row>
    <row r="178" spans="2:8" x14ac:dyDescent="0.2">
      <c r="B178" s="4"/>
      <c r="C178" s="4"/>
      <c r="D178" s="4"/>
      <c r="E178" s="4"/>
      <c r="F178" s="4"/>
      <c r="G178" s="4"/>
      <c r="H178" s="4"/>
    </row>
    <row r="179" spans="2:8" x14ac:dyDescent="0.2">
      <c r="B179" s="4"/>
      <c r="C179" s="4"/>
      <c r="D179" s="4"/>
      <c r="E179" s="4"/>
      <c r="F179" s="4"/>
      <c r="G179" s="4"/>
      <c r="H179" s="4"/>
    </row>
    <row r="181" spans="2:8" x14ac:dyDescent="0.2">
      <c r="B181" s="4"/>
      <c r="C181" s="4"/>
      <c r="D181" s="4"/>
      <c r="E181" s="4"/>
      <c r="F181" s="4"/>
      <c r="G181" s="4"/>
      <c r="H181" s="4"/>
    </row>
    <row r="182" spans="2:8" x14ac:dyDescent="0.2">
      <c r="B182" s="4"/>
      <c r="C182" s="4"/>
      <c r="D182" s="4"/>
      <c r="E182" s="4"/>
      <c r="F182" s="4"/>
      <c r="G182" s="4"/>
      <c r="H182" s="4"/>
    </row>
    <row r="183" spans="2:8" x14ac:dyDescent="0.2">
      <c r="B183" s="4"/>
      <c r="C183" s="4"/>
      <c r="D183" s="4"/>
      <c r="E183" s="4"/>
      <c r="F183" s="4"/>
      <c r="G183" s="4"/>
      <c r="H183" s="4"/>
    </row>
    <row r="184" spans="2:8" x14ac:dyDescent="0.2">
      <c r="B184" s="4"/>
      <c r="C184" s="4"/>
      <c r="D184" s="4"/>
      <c r="E184" s="4"/>
      <c r="F184" s="4"/>
      <c r="G184" s="4"/>
      <c r="H184" s="4"/>
    </row>
    <row r="185" spans="2:8" x14ac:dyDescent="0.2">
      <c r="B185" s="4"/>
      <c r="C185" s="4"/>
      <c r="D185" s="4"/>
      <c r="E185" s="4"/>
      <c r="F185" s="4"/>
      <c r="G185" s="4"/>
      <c r="H185" s="4"/>
    </row>
    <row r="186" spans="2:8" x14ac:dyDescent="0.2">
      <c r="B186" s="4"/>
      <c r="C186" s="4"/>
      <c r="D186" s="4"/>
      <c r="E186" s="4"/>
      <c r="F186" s="4"/>
      <c r="G186" s="4"/>
      <c r="H186" s="4"/>
    </row>
    <row r="187" spans="2:8" x14ac:dyDescent="0.2">
      <c r="B187" s="4"/>
      <c r="C187" s="4"/>
      <c r="D187" s="4"/>
      <c r="E187" s="4"/>
      <c r="F187" s="4"/>
      <c r="G187" s="4"/>
      <c r="H187" s="4"/>
    </row>
    <row r="188" spans="2:8" x14ac:dyDescent="0.2">
      <c r="B188" s="4"/>
      <c r="C188" s="4"/>
      <c r="D188" s="4"/>
      <c r="E188" s="4"/>
      <c r="F188" s="4"/>
      <c r="G188" s="4"/>
      <c r="H188" s="4"/>
    </row>
    <row r="189" spans="2:8" x14ac:dyDescent="0.2">
      <c r="B189" s="4"/>
      <c r="C189" s="4"/>
      <c r="D189" s="4"/>
      <c r="E189" s="4"/>
      <c r="F189" s="4"/>
      <c r="G189" s="4"/>
      <c r="H189" s="4"/>
    </row>
    <row r="190" spans="2:8" x14ac:dyDescent="0.2">
      <c r="B190" s="4"/>
      <c r="C190" s="4"/>
      <c r="D190" s="4"/>
      <c r="E190" s="4"/>
      <c r="F190" s="4"/>
      <c r="G190" s="4"/>
      <c r="H190" s="4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K202"/>
  <sheetViews>
    <sheetView topLeftCell="A50" workbookViewId="0">
      <selection activeCell="K182" sqref="K182"/>
    </sheetView>
  </sheetViews>
  <sheetFormatPr defaultRowHeight="12.75" x14ac:dyDescent="0.2"/>
  <cols>
    <col min="1" max="1" width="26.140625" customWidth="1"/>
  </cols>
  <sheetData>
    <row r="2" spans="1:11" x14ac:dyDescent="0.2">
      <c r="A2" s="3" t="s">
        <v>70</v>
      </c>
    </row>
    <row r="3" spans="1:11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">
      <c r="A4" t="str">
        <f ca="1">OFFSET(Northland_Reference,0,0)</f>
        <v>01 NORTHLAND</v>
      </c>
    </row>
    <row r="5" spans="1:11" x14ac:dyDescent="0.2">
      <c r="A5" t="str">
        <f ca="1">OFFSET(Northland_Reference,0,2)</f>
        <v>Pedestrian</v>
      </c>
      <c r="B5" s="4">
        <f ca="1">B159*'Total Distance Tables Sup #1'!B5*(1+'Other Assumptions'!D$44)*(1+'Active Mode Assumptions'!B9)</f>
        <v>17.849116999</v>
      </c>
      <c r="C5" s="4">
        <f ca="1">C159*'Total Distance Tables Sup #1'!C5*(1+'Other Assumptions'!G$44)*(1+'Active Mode Assumptions'!C9)</f>
        <v>18.946159817124901</v>
      </c>
      <c r="D5" s="4">
        <f ca="1">D159*'Total Distance Tables Sup #1'!D5*(1+'Other Assumptions'!H$44)*(1+'Active Mode Assumptions'!D9)</f>
        <v>19.525490044416678</v>
      </c>
      <c r="E5" s="4">
        <f ca="1">E159*'Total Distance Tables Sup #1'!E5*(1+'Other Assumptions'!I$44)*(1+'Active Mode Assumptions'!E9)</f>
        <v>19.876032558048212</v>
      </c>
      <c r="F5" s="4">
        <f ca="1">F159*'Total Distance Tables Sup #1'!F5*(1+'Other Assumptions'!J$44)*(1+'Active Mode Assumptions'!F9)</f>
        <v>19.988773786719275</v>
      </c>
      <c r="G5" s="4">
        <f ca="1">G159*'Total Distance Tables Sup #1'!G5*(1+'Other Assumptions'!K$44)*(1+'Active Mode Assumptions'!G9)</f>
        <v>20.04122323749289</v>
      </c>
      <c r="H5" s="4">
        <f ca="1">H159*'Total Distance Tables Sup #1'!H5*(1+'Other Assumptions'!L$44)*(1+'Active Mode Assumptions'!H9)</f>
        <v>19.989920686848357</v>
      </c>
      <c r="I5" s="1">
        <f ca="1">I159*'Total Distance Tables Sup #1'!I5*(1+'Other Assumptions'!M$44)*(1+'Active Mode Assumptions'!I9)</f>
        <v>20.060871283539843</v>
      </c>
      <c r="J5" s="1">
        <f ca="1">J159*'Total Distance Tables Sup #1'!J5*(1+'Other Assumptions'!N$44)*(1+'Active Mode Assumptions'!J9)</f>
        <v>20.068273107377564</v>
      </c>
      <c r="K5" s="1">
        <f ca="1">K159*'Total Distance Tables Sup #1'!K5*(1+'Other Assumptions'!O$44)*(1+'Active Mode Assumptions'!K9)</f>
        <v>20.032816206556863</v>
      </c>
    </row>
    <row r="6" spans="1:11" x14ac:dyDescent="0.2">
      <c r="A6" t="str">
        <f ca="1">OFFSET(Northland_Reference,7,2)</f>
        <v>Cyclist</v>
      </c>
      <c r="B6" s="4">
        <f ca="1">B160*'Total Distance Tables Sup #1'!B6*(1+'Other Assumptions'!D$44)*(1+'Active Mode Assumptions'!B18)</f>
        <v>1.0072239942000001</v>
      </c>
      <c r="C6" s="4">
        <f ca="1">C160*'Total Distance Tables Sup #1'!C6*(1+'Other Assumptions'!G$44)*(1+'Active Mode Assumptions'!C18)</f>
        <v>1.1075227677672808</v>
      </c>
      <c r="D6" s="4">
        <f ca="1">D160*'Total Distance Tables Sup #1'!D6*(1+'Other Assumptions'!H$44)*(1+'Active Mode Assumptions'!D18)</f>
        <v>1.1589547490935144</v>
      </c>
      <c r="E6" s="4">
        <f ca="1">E160*'Total Distance Tables Sup #1'!E6*(1+'Other Assumptions'!I$44)*(1+'Active Mode Assumptions'!E18)</f>
        <v>1.1796445093307213</v>
      </c>
      <c r="F6" s="4">
        <f ca="1">F160*'Total Distance Tables Sup #1'!F6*(1+'Other Assumptions'!J$44)*(1+'Active Mode Assumptions'!F18)</f>
        <v>1.2096132653387612</v>
      </c>
      <c r="G6" s="4">
        <f ca="1">G160*'Total Distance Tables Sup #1'!G6*(1+'Other Assumptions'!K$44)*(1+'Active Mode Assumptions'!G18)</f>
        <v>1.2537981944714947</v>
      </c>
      <c r="H6" s="4">
        <f ca="1">H160*'Total Distance Tables Sup #1'!H6*(1+'Other Assumptions'!L$44)*(1+'Active Mode Assumptions'!H18)</f>
        <v>1.2945556790066404</v>
      </c>
      <c r="I6" s="1">
        <f ca="1">I160*'Total Distance Tables Sup #1'!I6*(1+'Other Assumptions'!M$44)*(1+'Active Mode Assumptions'!I18)</f>
        <v>1.3052541514406049</v>
      </c>
      <c r="J6" s="1">
        <f ca="1">J160*'Total Distance Tables Sup #1'!J6*(1+'Other Assumptions'!N$44)*(1+'Active Mode Assumptions'!J18)</f>
        <v>1.3119300958916755</v>
      </c>
      <c r="K6" s="1">
        <f ca="1">K160*'Total Distance Tables Sup #1'!K6*(1+'Other Assumptions'!O$44)*(1+'Active Mode Assumptions'!K18)</f>
        <v>1.3158832535909568</v>
      </c>
    </row>
    <row r="7" spans="1:11" x14ac:dyDescent="0.2">
      <c r="A7" t="str">
        <f ca="1">OFFSET(Northland_Reference,14,2)</f>
        <v>Light Vehicle Driver</v>
      </c>
      <c r="B7" s="4">
        <f ca="1">B161*'Total Distance Tables Sup #1'!B7*(1+'Other Assumptions'!D$44)-(B5*'Active Mode Assumptions'!B9*'Active Mode Assumptions'!B14/(1+'Active Mode Assumptions'!B9))-(B6*'Active Mode Assumptions'!B18*'Active Mode Assumptions'!B23/(1+'Active Mode Assumptions'!B18))</f>
        <v>1011.4273062</v>
      </c>
      <c r="C7" s="4">
        <f ca="1">C161*'Total Distance Tables Sup #1'!C7*(1+'Other Assumptions'!G$44)-(C5*'Active Mode Assumptions'!C9*'Active Mode Assumptions'!C14/(1+'Active Mode Assumptions'!C9))-(C6*'Active Mode Assumptions'!C18*'Active Mode Assumptions'!C23/(1+'Active Mode Assumptions'!C18))</f>
        <v>1113.0435938903649</v>
      </c>
      <c r="D7" s="4">
        <f ca="1">D161*'Total Distance Tables Sup #1'!D7*(1+'Other Assumptions'!H$44)-(D5*'Active Mode Assumptions'!D9*'Active Mode Assumptions'!D14/(1+'Active Mode Assumptions'!D9))-(D6*'Active Mode Assumptions'!D18*'Active Mode Assumptions'!D23/(1+'Active Mode Assumptions'!D18))</f>
        <v>1174.5033597104523</v>
      </c>
      <c r="E7" s="4">
        <f ca="1">E161*'Total Distance Tables Sup #1'!E7*(1+'Other Assumptions'!I$44)-(E5*'Active Mode Assumptions'!E9*'Active Mode Assumptions'!E14/(1+'Active Mode Assumptions'!E9))-(E6*'Active Mode Assumptions'!E18*'Active Mode Assumptions'!E23/(1+'Active Mode Assumptions'!E18))</f>
        <v>1210.5104168305318</v>
      </c>
      <c r="F7" s="4">
        <f ca="1">F161*'Total Distance Tables Sup #1'!F7*(1+'Other Assumptions'!J$44)-(F5*'Active Mode Assumptions'!F9*'Active Mode Assumptions'!F14/(1+'Active Mode Assumptions'!F9))-(F6*'Active Mode Assumptions'!F18*'Active Mode Assumptions'!F23/(1+'Active Mode Assumptions'!F18))</f>
        <v>1239.0474577300342</v>
      </c>
      <c r="G7" s="4">
        <f ca="1">G161*'Total Distance Tables Sup #1'!G7*(1+'Other Assumptions'!K$44)-(G5*'Active Mode Assumptions'!G9*'Active Mode Assumptions'!G14/(1+'Active Mode Assumptions'!G9))-(G6*'Active Mode Assumptions'!G18*'Active Mode Assumptions'!G23/(1+'Active Mode Assumptions'!G18))</f>
        <v>1254.9367320815575</v>
      </c>
      <c r="H7" s="4">
        <f ca="1">H161*'Total Distance Tables Sup #1'!H7*(1+'Other Assumptions'!L$44)-(H5*'Active Mode Assumptions'!H9*'Active Mode Assumptions'!H14/(1+'Active Mode Assumptions'!H9))-(H6*'Active Mode Assumptions'!H18*'Active Mode Assumptions'!H23/(1+'Active Mode Assumptions'!H18))</f>
        <v>1264.9614949354439</v>
      </c>
      <c r="I7" s="1">
        <f ca="1">I161*'Total Distance Tables Sup #1'!I7*(1+'Other Assumptions'!M$44)-(I5*'Active Mode Assumptions'!I9*'Active Mode Assumptions'!I14/(1+'Active Mode Assumptions'!I9))-(I6*'Active Mode Assumptions'!I18*'Active Mode Assumptions'!I23/(1+'Active Mode Assumptions'!I18))</f>
        <v>1271.9150871503095</v>
      </c>
      <c r="J7" s="1">
        <f ca="1">J161*'Total Distance Tables Sup #1'!J7*(1+'Other Assumptions'!N$44)-(J5*'Active Mode Assumptions'!J9*'Active Mode Assumptions'!J14/(1+'Active Mode Assumptions'!J9))-(J6*'Active Mode Assumptions'!J18*'Active Mode Assumptions'!J23/(1+'Active Mode Assumptions'!J18))</f>
        <v>1274.8459856163549</v>
      </c>
      <c r="K7" s="1">
        <f ca="1">K161*'Total Distance Tables Sup #1'!K7*(1+'Other Assumptions'!O$44)-(K5*'Active Mode Assumptions'!K9*'Active Mode Assumptions'!K14/(1+'Active Mode Assumptions'!K9))-(K6*'Active Mode Assumptions'!K18*'Active Mode Assumptions'!K23/(1+'Active Mode Assumptions'!K18))</f>
        <v>1275.0471250982268</v>
      </c>
    </row>
    <row r="8" spans="1:11" x14ac:dyDescent="0.2">
      <c r="A8" t="str">
        <f ca="1">OFFSET(Northland_Reference,21,2)</f>
        <v>Light Vehicle Passenger</v>
      </c>
      <c r="B8" s="4">
        <f ca="1">B162*'Total Distance Tables Sup #1'!B8*(1+'Other Assumptions'!D$44)-(B5*'Active Mode Assumptions'!B9*'Active Mode Assumptions'!B15/(1+'Active Mode Assumptions'!B9))-(B6*'Active Mode Assumptions'!B18*'Active Mode Assumptions'!B24/(1+'Active Mode Assumptions'!B18))</f>
        <v>666.23785996000004</v>
      </c>
      <c r="C8" s="4">
        <f ca="1">C162*'Total Distance Tables Sup #1'!C8*(1+'Other Assumptions'!G$44)-(C5*'Active Mode Assumptions'!C9*'Active Mode Assumptions'!C15/(1+'Active Mode Assumptions'!C9))-(C6*'Active Mode Assumptions'!C18*'Active Mode Assumptions'!C24/(1+'Active Mode Assumptions'!C18))</f>
        <v>703.63323756138959</v>
      </c>
      <c r="D8" s="4">
        <f ca="1">D162*'Total Distance Tables Sup #1'!D8*(1+'Other Assumptions'!H$44)-(D5*'Active Mode Assumptions'!D9*'Active Mode Assumptions'!D15/(1+'Active Mode Assumptions'!D9))-(D6*'Active Mode Assumptions'!D18*'Active Mode Assumptions'!D24/(1+'Active Mode Assumptions'!D18))</f>
        <v>725.31196246841682</v>
      </c>
      <c r="E8" s="4">
        <f ca="1">E162*'Total Distance Tables Sup #1'!E8*(1+'Other Assumptions'!I$44)-(E5*'Active Mode Assumptions'!E9*'Active Mode Assumptions'!E15/(1+'Active Mode Assumptions'!E9))-(E6*'Active Mode Assumptions'!E18*'Active Mode Assumptions'!E24/(1+'Active Mode Assumptions'!E18))</f>
        <v>737.28148845780652</v>
      </c>
      <c r="F8" s="4">
        <f ca="1">F162*'Total Distance Tables Sup #1'!F8*(1+'Other Assumptions'!J$44)-(F5*'Active Mode Assumptions'!F9*'Active Mode Assumptions'!F15/(1+'Active Mode Assumptions'!F9))-(F6*'Active Mode Assumptions'!F18*'Active Mode Assumptions'!F24/(1+'Active Mode Assumptions'!F18))</f>
        <v>742.94323731698933</v>
      </c>
      <c r="G8" s="4">
        <f ca="1">G162*'Total Distance Tables Sup #1'!G8*(1+'Other Assumptions'!K$44)-(G5*'Active Mode Assumptions'!G9*'Active Mode Assumptions'!G15/(1+'Active Mode Assumptions'!G9))-(G6*'Active Mode Assumptions'!G18*'Active Mode Assumptions'!G24/(1+'Active Mode Assumptions'!G18))</f>
        <v>744.16182894960252</v>
      </c>
      <c r="H8" s="4">
        <f ca="1">H162*'Total Distance Tables Sup #1'!H8*(1+'Other Assumptions'!L$44)-(H5*'Active Mode Assumptions'!H9*'Active Mode Assumptions'!H15/(1+'Active Mode Assumptions'!H9))-(H6*'Active Mode Assumptions'!H18*'Active Mode Assumptions'!H24/(1+'Active Mode Assumptions'!H18))</f>
        <v>741.08134051639411</v>
      </c>
      <c r="I8" s="1">
        <f ca="1">I162*'Total Distance Tables Sup #1'!I8*(1+'Other Assumptions'!M$44)-(I5*'Active Mode Assumptions'!I9*'Active Mode Assumptions'!I15/(1+'Active Mode Assumptions'!I9))-(I6*'Active Mode Assumptions'!I18*'Active Mode Assumptions'!I24/(1+'Active Mode Assumptions'!I18))</f>
        <v>745.97646388883334</v>
      </c>
      <c r="J8" s="1">
        <f ca="1">J162*'Total Distance Tables Sup #1'!J8*(1+'Other Assumptions'!N$44)-(J5*'Active Mode Assumptions'!J9*'Active Mode Assumptions'!J15/(1+'Active Mode Assumptions'!J9))-(J6*'Active Mode Assumptions'!J18*'Active Mode Assumptions'!J24/(1+'Active Mode Assumptions'!J18))</f>
        <v>748.52227428001413</v>
      </c>
      <c r="K8" s="1">
        <f ca="1">K162*'Total Distance Tables Sup #1'!K8*(1+'Other Assumptions'!O$44)-(K5*'Active Mode Assumptions'!K9*'Active Mode Assumptions'!K15/(1+'Active Mode Assumptions'!K9))-(K6*'Active Mode Assumptions'!K18*'Active Mode Assumptions'!K24/(1+'Active Mode Assumptions'!K18))</f>
        <v>749.47051905678916</v>
      </c>
    </row>
    <row r="9" spans="1:11" x14ac:dyDescent="0.2">
      <c r="A9" t="str">
        <f ca="1">OFFSET(Northland_Reference,28,2)</f>
        <v>Taxi/Vehicle Share</v>
      </c>
      <c r="B9" s="4">
        <f ca="1">B163*'Total Distance Tables Sup #1'!B9*(1+'Other Assumptions'!D$44)</f>
        <v>0.75976041549999995</v>
      </c>
      <c r="C9" s="4">
        <f ca="1">C163*'Total Distance Tables Sup #1'!C9*(1+'Other Assumptions'!G$44)</f>
        <v>0.87128215527108333</v>
      </c>
      <c r="D9" s="4">
        <f ca="1">D163*'Total Distance Tables Sup #1'!D9*(1+'Other Assumptions'!H$44)</f>
        <v>0.96646345537772127</v>
      </c>
      <c r="E9" s="4">
        <f ca="1">E163*'Total Distance Tables Sup #1'!E9*(1+'Other Assumptions'!I$44)</f>
        <v>1.0523260580744229</v>
      </c>
      <c r="F9" s="4">
        <f ca="1">F163*'Total Distance Tables Sup #1'!F9*(1+'Other Assumptions'!J$44)</f>
        <v>1.1253880898404631</v>
      </c>
      <c r="G9" s="4">
        <f ca="1">G163*'Total Distance Tables Sup #1'!G9*(1+'Other Assumptions'!K$44)</f>
        <v>1.1813558224419307</v>
      </c>
      <c r="H9" s="4">
        <f ca="1">H163*'Total Distance Tables Sup #1'!H9*(1+'Other Assumptions'!L$44)</f>
        <v>1.232923463006059</v>
      </c>
      <c r="I9" s="1">
        <f ca="1">I163*'Total Distance Tables Sup #1'!I9*(1+'Other Assumptions'!M$44)</f>
        <v>1.2362229937605358</v>
      </c>
      <c r="J9" s="1">
        <f ca="1">J163*'Total Distance Tables Sup #1'!J9*(1+'Other Assumptions'!N$44)</f>
        <v>1.2355782647029336</v>
      </c>
      <c r="K9" s="1">
        <f ca="1">K163*'Total Distance Tables Sup #1'!K9*(1+'Other Assumptions'!O$44)</f>
        <v>1.2322740700608683</v>
      </c>
    </row>
    <row r="10" spans="1:11" x14ac:dyDescent="0.2">
      <c r="A10" t="str">
        <f ca="1">OFFSET(Northland_Reference,35,2)</f>
        <v>Motorcyclist</v>
      </c>
      <c r="B10" s="4">
        <f ca="1">B164*'Total Distance Tables Sup #1'!B10*(1+'Other Assumptions'!D$44)</f>
        <v>9.2423909657000003</v>
      </c>
      <c r="C10" s="4">
        <f ca="1">C164*'Total Distance Tables Sup #1'!C10*(1+'Other Assumptions'!G$44)</f>
        <v>10.168949176576222</v>
      </c>
      <c r="D10" s="4">
        <f ca="1">D164*'Total Distance Tables Sup #1'!D10*(1+'Other Assumptions'!H$44)</f>
        <v>10.714947066419496</v>
      </c>
      <c r="E10" s="4">
        <f ca="1">E164*'Total Distance Tables Sup #1'!E10*(1+'Other Assumptions'!I$44)</f>
        <v>10.849328511214793</v>
      </c>
      <c r="F10" s="4">
        <f ca="1">F164*'Total Distance Tables Sup #1'!F10*(1+'Other Assumptions'!J$44)</f>
        <v>10.856805044446965</v>
      </c>
      <c r="G10" s="4">
        <f ca="1">G164*'Total Distance Tables Sup #1'!G10*(1+'Other Assumptions'!K$44)</f>
        <v>10.667298862322809</v>
      </c>
      <c r="H10" s="4">
        <f ca="1">H164*'Total Distance Tables Sup #1'!H10*(1+'Other Assumptions'!L$44)</f>
        <v>10.419139628645247</v>
      </c>
      <c r="I10" s="1">
        <f ca="1">I164*'Total Distance Tables Sup #1'!I10*(1+'Other Assumptions'!M$44)</f>
        <v>10.54115380082138</v>
      </c>
      <c r="J10" s="1">
        <f ca="1">J164*'Total Distance Tables Sup #1'!J10*(1+'Other Assumptions'!N$44)</f>
        <v>10.631058567204535</v>
      </c>
      <c r="K10" s="1">
        <f ca="1">K164*'Total Distance Tables Sup #1'!K10*(1+'Other Assumptions'!O$44)</f>
        <v>10.699067031195289</v>
      </c>
    </row>
    <row r="11" spans="1:11" x14ac:dyDescent="0.2">
      <c r="A11" t="str">
        <f ca="1">OFFSET(Auckland_Reference,42,2)</f>
        <v>Local Train</v>
      </c>
      <c r="B11" s="4">
        <f ca="1">B165*'Total Distance Tables Sup #1'!B11*(1+'Other Assumptions'!D$44)</f>
        <v>0</v>
      </c>
      <c r="C11" s="4">
        <f ca="1">C165*'Total Distance Tables Sup #1'!C11*(1+'Other Assumptions'!G$44)</f>
        <v>0</v>
      </c>
      <c r="D11" s="4">
        <f ca="1">D165*'Total Distance Tables Sup #1'!D11*(1+'Other Assumptions'!H$44)</f>
        <v>0</v>
      </c>
      <c r="E11" s="4">
        <f ca="1">E165*'Total Distance Tables Sup #1'!E11*(1+'Other Assumptions'!I$44)</f>
        <v>0</v>
      </c>
      <c r="F11" s="4">
        <f ca="1">F165*'Total Distance Tables Sup #1'!F11*(1+'Other Assumptions'!J$44)</f>
        <v>0</v>
      </c>
      <c r="G11" s="4">
        <f ca="1">G165*'Total Distance Tables Sup #1'!G11*(1+'Other Assumptions'!K$44)</f>
        <v>0</v>
      </c>
      <c r="H11" s="4">
        <f ca="1">H165*'Total Distance Tables Sup #1'!H11*(1+'Other Assumptions'!L$44)</f>
        <v>0</v>
      </c>
      <c r="I11" s="1">
        <f ca="1">I165*'Total Distance Tables Sup #1'!I11*(1+'Other Assumptions'!M$44)</f>
        <v>0</v>
      </c>
      <c r="J11" s="1">
        <f ca="1">J165*'Total Distance Tables Sup #1'!J11*(1+'Other Assumptions'!N$44)</f>
        <v>0</v>
      </c>
      <c r="K11" s="1">
        <f ca="1">K165*'Total Distance Tables Sup #1'!K11*(1+'Other Assumptions'!O$44)</f>
        <v>0</v>
      </c>
    </row>
    <row r="12" spans="1:11" x14ac:dyDescent="0.2">
      <c r="A12" t="str">
        <f ca="1">OFFSET(Northland_Reference,42,2)</f>
        <v>Local Bus</v>
      </c>
      <c r="B12" s="4">
        <f ca="1">B166*'Total Distance Tables Sup #1'!B12*(1+'Other Assumptions'!D$44)</f>
        <v>44.734594063999999</v>
      </c>
      <c r="C12" s="4">
        <f ca="1">C166*'Total Distance Tables Sup #1'!C12*(1+'Other Assumptions'!G$44)</f>
        <v>43.775664264412086</v>
      </c>
      <c r="D12" s="4">
        <f ca="1">D166*'Total Distance Tables Sup #1'!D12*(1+'Other Assumptions'!H$44)</f>
        <v>43.044171393129709</v>
      </c>
      <c r="E12" s="4">
        <f ca="1">E166*'Total Distance Tables Sup #1'!E12*(1+'Other Assumptions'!I$44)</f>
        <v>42.40417785850746</v>
      </c>
      <c r="F12" s="4">
        <f ca="1">F166*'Total Distance Tables Sup #1'!F12*(1+'Other Assumptions'!J$44)</f>
        <v>41.052458203573821</v>
      </c>
      <c r="G12" s="4">
        <f ca="1">G166*'Total Distance Tables Sup #1'!G12*(1+'Other Assumptions'!K$44)</f>
        <v>40.159852245824261</v>
      </c>
      <c r="H12" s="4">
        <f ca="1">H166*'Total Distance Tables Sup #1'!H12*(1+'Other Assumptions'!L$44)</f>
        <v>39.071100623678952</v>
      </c>
      <c r="I12" s="1">
        <f ca="1">I166*'Total Distance Tables Sup #1'!I12*(1+'Other Assumptions'!M$44)</f>
        <v>39.333320806577142</v>
      </c>
      <c r="J12" s="1">
        <f ca="1">J166*'Total Distance Tables Sup #1'!J12*(1+'Other Assumptions'!N$44)</f>
        <v>39.471200729643499</v>
      </c>
      <c r="K12" s="1">
        <f ca="1">K166*'Total Distance Tables Sup #1'!K12*(1+'Other Assumptions'!O$44)</f>
        <v>39.524371990916123</v>
      </c>
    </row>
    <row r="13" spans="1:11" x14ac:dyDescent="0.2">
      <c r="A13" t="str">
        <f ca="1">OFFSET(Northland_Reference,49,2)</f>
        <v>Local Ferry</v>
      </c>
      <c r="B13" s="4">
        <f ca="1">B167*'Total Distance Tables Sup #1'!B13*(1+'Other Assumptions'!D$44)</f>
        <v>0</v>
      </c>
      <c r="C13" s="4">
        <f ca="1">C167*'Total Distance Tables Sup #1'!C13*(1+'Other Assumptions'!G$44)</f>
        <v>0</v>
      </c>
      <c r="D13" s="4">
        <f ca="1">D167*'Total Distance Tables Sup #1'!D13*(1+'Other Assumptions'!H$44)</f>
        <v>0</v>
      </c>
      <c r="E13" s="4">
        <f ca="1">E167*'Total Distance Tables Sup #1'!E13*(1+'Other Assumptions'!I$44)</f>
        <v>0</v>
      </c>
      <c r="F13" s="4">
        <f ca="1">F167*'Total Distance Tables Sup #1'!F13*(1+'Other Assumptions'!J$44)</f>
        <v>0</v>
      </c>
      <c r="G13" s="4">
        <f ca="1">G167*'Total Distance Tables Sup #1'!G13*(1+'Other Assumptions'!K$44)</f>
        <v>0</v>
      </c>
      <c r="H13" s="4">
        <f ca="1">H167*'Total Distance Tables Sup #1'!H13*(1+'Other Assumptions'!L$44)</f>
        <v>0</v>
      </c>
      <c r="I13" s="1">
        <f ca="1">I167*'Total Distance Tables Sup #1'!I13*(1+'Other Assumptions'!M$44)</f>
        <v>0</v>
      </c>
      <c r="J13" s="1">
        <f ca="1">J167*'Total Distance Tables Sup #1'!J13*(1+'Other Assumptions'!N$44)</f>
        <v>0</v>
      </c>
      <c r="K13" s="1">
        <f ca="1">K167*'Total Distance Tables Sup #1'!K13*(1+'Other Assumptions'!O$44)</f>
        <v>0</v>
      </c>
    </row>
    <row r="14" spans="1:11" x14ac:dyDescent="0.2">
      <c r="A14" t="str">
        <f ca="1">OFFSET(Northland_Reference,56,2)</f>
        <v>Other Household Travel</v>
      </c>
      <c r="B14" s="4">
        <f ca="1">B168*'Total Distance Tables Sup #1'!B14*(1+'Other Assumptions'!D$44)</f>
        <v>0</v>
      </c>
      <c r="C14" s="4">
        <f ca="1">C168*'Total Distance Tables Sup #1'!C14*(1+'Other Assumptions'!G$44)</f>
        <v>0</v>
      </c>
      <c r="D14" s="4">
        <f ca="1">D168*'Total Distance Tables Sup #1'!D14*(1+'Other Assumptions'!H$44)</f>
        <v>0</v>
      </c>
      <c r="E14" s="4">
        <f ca="1">E168*'Total Distance Tables Sup #1'!E14*(1+'Other Assumptions'!I$44)</f>
        <v>0</v>
      </c>
      <c r="F14" s="4">
        <f ca="1">F168*'Total Distance Tables Sup #1'!F14*(1+'Other Assumptions'!J$44)</f>
        <v>0</v>
      </c>
      <c r="G14" s="4">
        <f ca="1">G168*'Total Distance Tables Sup #1'!G14*(1+'Other Assumptions'!K$44)</f>
        <v>0</v>
      </c>
      <c r="H14" s="4">
        <f ca="1">H168*'Total Distance Tables Sup #1'!H14*(1+'Other Assumptions'!L$44)</f>
        <v>0</v>
      </c>
      <c r="I14" s="1">
        <f ca="1">I168*'Total Distance Tables Sup #1'!I14*(1+'Other Assumptions'!M$44)</f>
        <v>0</v>
      </c>
      <c r="J14" s="1">
        <f ca="1">J168*'Total Distance Tables Sup #1'!J14*(1+'Other Assumptions'!N$44)</f>
        <v>0</v>
      </c>
      <c r="K14" s="1">
        <f ca="1">K168*'Total Distance Tables Sup #1'!K14*(1+'Other Assumptions'!O$44)</f>
        <v>0</v>
      </c>
    </row>
    <row r="15" spans="1:11" x14ac:dyDescent="0.2">
      <c r="A15" t="str">
        <f ca="1">OFFSET(Auckland_Reference,0,0)</f>
        <v>02 AUCKLAND</v>
      </c>
      <c r="I15" s="1"/>
      <c r="J15" s="1"/>
      <c r="K15" s="1"/>
    </row>
    <row r="16" spans="1:11" x14ac:dyDescent="0.2">
      <c r="A16" t="str">
        <f ca="1">OFFSET(Auckland_Reference,0,2)</f>
        <v>Pedestrian</v>
      </c>
      <c r="B16" s="4">
        <f ca="1">(B159*'Total Distance Tables Sup #1'!B16)*(1+'Other Assumptions'!D$45)*(1+'Active Mode Assumptions'!B9)-('PT Assumptions'!B14*'Total Distance Tables Sup #2'!B170+'PT Assumptions'!B26*'Total Distance Tables Sup #2'!B173)*(1+'Other Assumptions'!D$45)</f>
        <v>294.55939388000002</v>
      </c>
      <c r="C16" s="4">
        <f ca="1">(C159*'Total Distance Tables Sup #1'!C16)*(1+'Other Assumptions'!G$45)*(1+'Active Mode Assumptions'!C9)-('PT Assumptions'!C14*'Total Distance Tables Sup #2'!C170+'PT Assumptions'!C26*'Total Distance Tables Sup #2'!C173)*(1+'Other Assumptions'!G$45)</f>
        <v>332.76283177596116</v>
      </c>
      <c r="D16" s="4">
        <f ca="1">(D159*'Total Distance Tables Sup #1'!D16)*(1+'Other Assumptions'!H$45)*(1+'Active Mode Assumptions'!D9)-('PT Assumptions'!D14*'Total Distance Tables Sup #2'!D170+'PT Assumptions'!D26*'Total Distance Tables Sup #2'!D173)*(1+'Other Assumptions'!H$45)</f>
        <v>353.06007475606395</v>
      </c>
      <c r="E16" s="56">
        <f ca="1">(E159*'Total Distance Tables Sup #1'!E16)*(1+'Other Assumptions'!I$45)*(1+'Active Mode Assumptions'!E9)-('PT Assumptions'!E14*'Total Distance Tables Sup #2'!E170+'PT Assumptions'!E26*'Total Distance Tables Sup #2'!E173)*(1+'Other Assumptions'!I$45)</f>
        <v>367.16409697567019</v>
      </c>
      <c r="F16" s="4">
        <f ca="1">(F159*'Total Distance Tables Sup #1'!F16)*(1+'Other Assumptions'!J$45)*(1+'Active Mode Assumptions'!F9)-('PT Assumptions'!F14*'Total Distance Tables Sup #2'!F170+'PT Assumptions'!F26*'Total Distance Tables Sup #2'!F173)*(1+'Other Assumptions'!J$45)</f>
        <v>380.27880991945602</v>
      </c>
      <c r="G16" s="4">
        <f ca="1">(G159*'Total Distance Tables Sup #1'!G16)*(1+'Other Assumptions'!K$45)*(1+'Active Mode Assumptions'!G9)-('PT Assumptions'!G14*'Total Distance Tables Sup #2'!G170+'PT Assumptions'!G26*'Total Distance Tables Sup #2'!G173)*(1+'Other Assumptions'!K$45)</f>
        <v>392.37364668355053</v>
      </c>
      <c r="H16" s="4">
        <f ca="1">(H159*'Total Distance Tables Sup #1'!H16)*(1+'Other Assumptions'!L$45)*(1+'Active Mode Assumptions'!H9)-('PT Assumptions'!H14*'Total Distance Tables Sup #2'!H170+'PT Assumptions'!H26*'Total Distance Tables Sup #2'!H173)*(1+'Other Assumptions'!L$45)</f>
        <v>402.58531464260761</v>
      </c>
      <c r="I16" s="1">
        <f ca="1">(I159*'Total Distance Tables Sup #1'!I16)*(1+'Other Assumptions'!M$45)*(1+'Active Mode Assumptions'!I9)-('PT Assumptions'!I14*'Total Distance Tables Sup #2'!I170+'PT Assumptions'!I26*'Total Distance Tables Sup #2'!I173)*(1+'Other Assumptions'!M$45)</f>
        <v>416.51875390515056</v>
      </c>
      <c r="J16" s="1">
        <f ca="1">(J159*'Total Distance Tables Sup #1'!J16)*(1+'Other Assumptions'!N$45)*(1+'Active Mode Assumptions'!J9)-('PT Assumptions'!J14*'Total Distance Tables Sup #2'!J170+'PT Assumptions'!J26*'Total Distance Tables Sup #2'!J173)*(1+'Other Assumptions'!N$45)</f>
        <v>429.39382743925637</v>
      </c>
      <c r="K16" s="1">
        <f ca="1">(K159*'Total Distance Tables Sup #1'!K16)*(1+'Other Assumptions'!O$45)*(1+'Active Mode Assumptions'!K9)-('PT Assumptions'!K14*'Total Distance Tables Sup #2'!K170+'PT Assumptions'!K26*'Total Distance Tables Sup #2'!K173)*(1+'Other Assumptions'!O$45)</f>
        <v>441.37900697652924</v>
      </c>
    </row>
    <row r="17" spans="1:11" x14ac:dyDescent="0.2">
      <c r="A17" t="str">
        <f ca="1">OFFSET(Auckland_Reference,7,2)</f>
        <v>Cyclist</v>
      </c>
      <c r="B17" s="4">
        <f ca="1">(B160*'Total Distance Tables Sup #1'!B17)*(1+'Other Assumptions'!D$45)*(1+'Active Mode Assumptions'!B18)-('PT Assumptions'!B15*'Total Distance Tables Sup #2'!B170+'PT Assumptions'!B27*'Total Distance Tables Sup #2'!B173)*(1+'Other Assumptions'!D$45)</f>
        <v>55.843008154000003</v>
      </c>
      <c r="C17" s="4">
        <f ca="1">(C160*'Total Distance Tables Sup #1'!C17)*(1+'Other Assumptions'!G$45)*(1+'Active Mode Assumptions'!C18)-('PT Assumptions'!C15*'Total Distance Tables Sup #2'!C170+'PT Assumptions'!C27*'Total Distance Tables Sup #2'!C173)*(1+'Other Assumptions'!G$45)</f>
        <v>65.378513306680617</v>
      </c>
      <c r="D17" s="4">
        <f ca="1">(D160*'Total Distance Tables Sup #1'!D17)*(1+'Other Assumptions'!H$45)*(1+'Active Mode Assumptions'!D18)-('PT Assumptions'!D15*'Total Distance Tables Sup #2'!D170+'PT Assumptions'!D27*'Total Distance Tables Sup #2'!D173)*(1+'Other Assumptions'!H$45)</f>
        <v>71.890556174685244</v>
      </c>
      <c r="E17" s="56">
        <f ca="1">(E160*'Total Distance Tables Sup #1'!E17)*(1+'Other Assumptions'!I$45)*(1+'Active Mode Assumptions'!E18)-('PT Assumptions'!E15*'Total Distance Tables Sup #2'!E170+'PT Assumptions'!E27*'Total Distance Tables Sup #2'!E173)*(1+'Other Assumptions'!I$45)</f>
        <v>76.120690933158102</v>
      </c>
      <c r="F17" s="4">
        <f ca="1">(F160*'Total Distance Tables Sup #1'!F17)*(1+'Other Assumptions'!J$45)*(1+'Active Mode Assumptions'!F18)-('PT Assumptions'!F15*'Total Distance Tables Sup #2'!F170+'PT Assumptions'!F27*'Total Distance Tables Sup #2'!F173)*(1+'Other Assumptions'!J$45)</f>
        <v>81.157391656662227</v>
      </c>
      <c r="G17" s="4">
        <f ca="1">(G160*'Total Distance Tables Sup #1'!G17)*(1+'Other Assumptions'!K$45)*(1+'Active Mode Assumptions'!G18)-('PT Assumptions'!G15*'Total Distance Tables Sup #2'!G170+'PT Assumptions'!G27*'Total Distance Tables Sup #2'!G173)*(1+'Other Assumptions'!K$45)</f>
        <v>87.35134167584151</v>
      </c>
      <c r="H17" s="4">
        <f ca="1">(H160*'Total Distance Tables Sup #1'!H17)*(1+'Other Assumptions'!L$45)*(1+'Active Mode Assumptions'!H18)-('PT Assumptions'!H15*'Total Distance Tables Sup #2'!H170+'PT Assumptions'!H27*'Total Distance Tables Sup #2'!H173)*(1+'Other Assumptions'!L$45)</f>
        <v>93.622834468862621</v>
      </c>
      <c r="I17" s="1">
        <f ca="1">(I160*'Total Distance Tables Sup #1'!I17)*(1+'Other Assumptions'!M$45)*(1+'Active Mode Assumptions'!I18)-('PT Assumptions'!I15*'Total Distance Tables Sup #2'!I170+'PT Assumptions'!I27*'Total Distance Tables Sup #2'!I173)*(1+'Other Assumptions'!M$45)</f>
        <v>97.988530723792977</v>
      </c>
      <c r="J17" s="1">
        <f ca="1">(J160*'Total Distance Tables Sup #1'!J17)*(1+'Other Assumptions'!N$45)*(1+'Active Mode Assumptions'!J18)-('PT Assumptions'!J15*'Total Distance Tables Sup #2'!J170+'PT Assumptions'!J27*'Total Distance Tables Sup #2'!J173)*(1+'Other Assumptions'!N$45)</f>
        <v>102.23744060365762</v>
      </c>
      <c r="K17" s="1">
        <f ca="1">(K160*'Total Distance Tables Sup #1'!K17)*(1+'Other Assumptions'!O$45)*(1+'Active Mode Assumptions'!K18)-('PT Assumptions'!K15*'Total Distance Tables Sup #2'!K170+'PT Assumptions'!K27*'Total Distance Tables Sup #2'!K173)*(1+'Other Assumptions'!O$45)</f>
        <v>106.44756840792243</v>
      </c>
    </row>
    <row r="18" spans="1:11" x14ac:dyDescent="0.2">
      <c r="A18" t="str">
        <f ca="1">OFFSET(Auckland_Reference,14,2)</f>
        <v>Light Vehicle Driver</v>
      </c>
      <c r="B18" s="4">
        <f ca="1">(B161*'Total Distance Tables Sup #1'!B18-'PT Assumptions'!B16*'Total Distance Tables Sup #2'!B170-'PT Assumptions'!B28*'Total Distance Tables Sup #2'!B173)*(1+'Other Assumptions'!D$45)-(B159*'Total Distance Tables Sup #1'!B16)*(1+'Other Assumptions'!D$45)*'Active Mode Assumptions'!B9*'Active Mode Assumptions'!B14-(B160*'Total Distance Tables Sup #1'!B17)*(1+'Other Assumptions'!D$45)*'Active Mode Assumptions'!B18*'Active Mode Assumptions'!B23</f>
        <v>9374.4733825999992</v>
      </c>
      <c r="C18" s="4">
        <f ca="1">(C161*'Total Distance Tables Sup #1'!C18-'PT Assumptions'!C16*'Total Distance Tables Sup #2'!C170-'PT Assumptions'!C28*'Total Distance Tables Sup #2'!C173)*(1+'Other Assumptions'!G$45)-(C159*'Total Distance Tables Sup #1'!C16)*(1+'Other Assumptions'!G$45)*'Active Mode Assumptions'!C9*'Active Mode Assumptions'!C14-(C160*'Total Distance Tables Sup #1'!C17)*(1+'Other Assumptions'!G$45)*'Active Mode Assumptions'!C18*'Active Mode Assumptions'!C23</f>
        <v>10945.554801256165</v>
      </c>
      <c r="D18" s="4">
        <f ca="1">(D161*'Total Distance Tables Sup #1'!D18-'PT Assumptions'!D16*'Total Distance Tables Sup #2'!D170-'PT Assumptions'!D28*'Total Distance Tables Sup #2'!D173)*(1+'Other Assumptions'!H$45)-(D159*'Total Distance Tables Sup #1'!D16)*(1+'Other Assumptions'!H$45)*'Active Mode Assumptions'!D9*'Active Mode Assumptions'!D14-(D160*'Total Distance Tables Sup #1'!D17)*(1+'Other Assumptions'!H$45)*'Active Mode Assumptions'!D18*'Active Mode Assumptions'!D23</f>
        <v>12000.095158621771</v>
      </c>
      <c r="E18" s="56">
        <f ca="1">(E161*'Total Distance Tables Sup #1'!E18-'PT Assumptions'!E16*'Total Distance Tables Sup #2'!E170-'PT Assumptions'!E28*'Total Distance Tables Sup #2'!E173)*(1+'Other Assumptions'!I$45)-(E159*'Total Distance Tables Sup #1'!E16)*(1+'Other Assumptions'!I$45)*'Active Mode Assumptions'!E9*'Active Mode Assumptions'!E14-(E160*'Total Distance Tables Sup #1'!E17)*(1+'Other Assumptions'!I$45)*'Active Mode Assumptions'!E18*'Active Mode Assumptions'!E23</f>
        <v>12739.296753339386</v>
      </c>
      <c r="F18" s="4">
        <f ca="1">(F161*'Total Distance Tables Sup #1'!F18-'PT Assumptions'!F16*'Total Distance Tables Sup #2'!F170-'PT Assumptions'!F28*'Total Distance Tables Sup #2'!F173)*(1+'Other Assumptions'!J$45)-(F159*'Total Distance Tables Sup #1'!F16)*(1+'Other Assumptions'!J$45)*'Active Mode Assumptions'!F9*'Active Mode Assumptions'!F14-(F160*'Total Distance Tables Sup #1'!F17)*(1+'Other Assumptions'!J$45)*'Active Mode Assumptions'!F18*'Active Mode Assumptions'!F23</f>
        <v>13503.674088192303</v>
      </c>
      <c r="G18" s="4">
        <f ca="1">(G161*'Total Distance Tables Sup #1'!G18-'PT Assumptions'!G16*'Total Distance Tables Sup #2'!G170-'PT Assumptions'!G28*'Total Distance Tables Sup #2'!G173)*(1+'Other Assumptions'!K$45)-(G159*'Total Distance Tables Sup #1'!G16)*(1+'Other Assumptions'!K$45)*'Active Mode Assumptions'!G9*'Active Mode Assumptions'!G14-(G160*'Total Distance Tables Sup #1'!G17)*(1+'Other Assumptions'!K$45)*'Active Mode Assumptions'!G18*'Active Mode Assumptions'!G23</f>
        <v>14146.638936776468</v>
      </c>
      <c r="H18" s="4">
        <f ca="1">(H161*'Total Distance Tables Sup #1'!H18-'PT Assumptions'!H16*'Total Distance Tables Sup #2'!H170-'PT Assumptions'!H28*'Total Distance Tables Sup #2'!H173)*(1+'Other Assumptions'!L$45)-(H159*'Total Distance Tables Sup #1'!H16)*(1+'Other Assumptions'!L$45)*'Active Mode Assumptions'!H9*'Active Mode Assumptions'!H14-(H160*'Total Distance Tables Sup #1'!H17)*(1+'Other Assumptions'!L$45)*'Active Mode Assumptions'!H18*'Active Mode Assumptions'!H23</f>
        <v>14746.595634452244</v>
      </c>
      <c r="I18" s="1">
        <f ca="1">(I161*'Total Distance Tables Sup #1'!I18-'PT Assumptions'!I16*'Total Distance Tables Sup #2'!I170-'PT Assumptions'!I28*'Total Distance Tables Sup #2'!I173)*(1+'Other Assumptions'!M$45)-(I159*'Total Distance Tables Sup #1'!I16)*(1+'Other Assumptions'!M$45)*'Active Mode Assumptions'!I9*'Active Mode Assumptions'!I14-(I160*'Total Distance Tables Sup #1'!I17)*(1+'Other Assumptions'!M$45)*'Active Mode Assumptions'!I18*'Active Mode Assumptions'!I23</f>
        <v>15342.483647765415</v>
      </c>
      <c r="J18" s="1">
        <f ca="1">(J161*'Total Distance Tables Sup #1'!J18-'PT Assumptions'!J16*'Total Distance Tables Sup #2'!J170-'PT Assumptions'!J28*'Total Distance Tables Sup #2'!J173)*(1+'Other Assumptions'!N$45)-(J159*'Total Distance Tables Sup #1'!J16)*(1+'Other Assumptions'!N$45)*'Active Mode Assumptions'!J9*'Active Mode Assumptions'!J14-(J160*'Total Distance Tables Sup #1'!J17)*(1+'Other Assumptions'!N$45)*'Active Mode Assumptions'!J18*'Active Mode Assumptions'!J23</f>
        <v>15909.225323851815</v>
      </c>
      <c r="K18" s="1">
        <f ca="1">(K161*'Total Distance Tables Sup #1'!K18-'PT Assumptions'!K16*'Total Distance Tables Sup #2'!K170-'PT Assumptions'!K28*'Total Distance Tables Sup #2'!K173)*(1+'Other Assumptions'!O$45)-(K159*'Total Distance Tables Sup #1'!K16)*(1+'Other Assumptions'!O$45)*'Active Mode Assumptions'!K9*'Active Mode Assumptions'!K14-(K160*'Total Distance Tables Sup #1'!K17)*(1+'Other Assumptions'!O$45)*'Active Mode Assumptions'!K18*'Active Mode Assumptions'!K23</f>
        <v>16455.822828495231</v>
      </c>
    </row>
    <row r="19" spans="1:11" x14ac:dyDescent="0.2">
      <c r="A19" t="str">
        <f ca="1">OFFSET(Auckland_Reference,21,2)</f>
        <v>Light Vehicle Passenger</v>
      </c>
      <c r="B19" s="4">
        <f ca="1">(B162*'Total Distance Tables Sup #1'!B19-'PT Assumptions'!B17*'Total Distance Tables Sup #2'!B170-'PT Assumptions'!B29*'Total Distance Tables Sup #2'!B173)*(1+'Other Assumptions'!D$45)-(B159*'Total Distance Tables Sup #1'!B16)*(1+'Other Assumptions'!D$45)*'Active Mode Assumptions'!B9*'Active Mode Assumptions'!B15-(B160*'Total Distance Tables Sup #1'!B17)*(1+'Other Assumptions'!D$45)*'Active Mode Assumptions'!B18*'Active Mode Assumptions'!B24</f>
        <v>4814.6436660999998</v>
      </c>
      <c r="C19" s="4">
        <f ca="1">(C162*'Total Distance Tables Sup #1'!C19-'PT Assumptions'!C17*'Total Distance Tables Sup #2'!C170-'PT Assumptions'!C29*'Total Distance Tables Sup #2'!C173)*(1+'Other Assumptions'!G$45)-(C159*'Total Distance Tables Sup #1'!C16)*(1+'Other Assumptions'!G$45)*'Active Mode Assumptions'!C9*'Active Mode Assumptions'!C15-(C160*'Total Distance Tables Sup #1'!C17)*(1+'Other Assumptions'!G$45)*'Active Mode Assumptions'!C18*'Active Mode Assumptions'!C24</f>
        <v>5375.4985516388751</v>
      </c>
      <c r="D19" s="4">
        <f ca="1">(D162*'Total Distance Tables Sup #1'!D19-'PT Assumptions'!D17*'Total Distance Tables Sup #2'!D170-'PT Assumptions'!D29*'Total Distance Tables Sup #2'!D173)*(1+'Other Assumptions'!H$45)-(D159*'Total Distance Tables Sup #1'!D16)*(1+'Other Assumptions'!H$45)*'Active Mode Assumptions'!D9*'Active Mode Assumptions'!D15-(D160*'Total Distance Tables Sup #1'!D17)*(1+'Other Assumptions'!H$45)*'Active Mode Assumptions'!D18*'Active Mode Assumptions'!D24</f>
        <v>5684.9881900547743</v>
      </c>
      <c r="E19" s="56">
        <f ca="1">(E162*'Total Distance Tables Sup #1'!E19-'PT Assumptions'!E17*'Total Distance Tables Sup #2'!E170-'PT Assumptions'!E29*'Total Distance Tables Sup #2'!E173)*(1+'Other Assumptions'!I$45)-(E159*'Total Distance Tables Sup #1'!E16)*(1+'Other Assumptions'!I$45)*'Active Mode Assumptions'!E9*'Active Mode Assumptions'!E15-(E160*'Total Distance Tables Sup #1'!E17)*(1+'Other Assumptions'!I$45)*'Active Mode Assumptions'!E18*'Active Mode Assumptions'!E24</f>
        <v>5882.1268521946859</v>
      </c>
      <c r="F19" s="4">
        <f ca="1">(F162*'Total Distance Tables Sup #1'!F19-'PT Assumptions'!F17*'Total Distance Tables Sup #2'!F170-'PT Assumptions'!F29*'Total Distance Tables Sup #2'!F173)*(1+'Other Assumptions'!J$45)-(F159*'Total Distance Tables Sup #1'!F16)*(1+'Other Assumptions'!J$45)*'Active Mode Assumptions'!F9*'Active Mode Assumptions'!F15-(F160*'Total Distance Tables Sup #1'!F17)*(1+'Other Assumptions'!J$45)*'Active Mode Assumptions'!F18*'Active Mode Assumptions'!F24</f>
        <v>6103.3471511556909</v>
      </c>
      <c r="G19" s="4">
        <f ca="1">(G162*'Total Distance Tables Sup #1'!G19-'PT Assumptions'!G17*'Total Distance Tables Sup #2'!G170-'PT Assumptions'!G29*'Total Distance Tables Sup #2'!G173)*(1+'Other Assumptions'!K$45)-(G159*'Total Distance Tables Sup #1'!G16)*(1+'Other Assumptions'!K$45)*'Active Mode Assumptions'!G9*'Active Mode Assumptions'!G15-(G160*'Total Distance Tables Sup #1'!G17)*(1+'Other Assumptions'!K$45)*'Active Mode Assumptions'!G18*'Active Mode Assumptions'!G24</f>
        <v>6288.2199649287568</v>
      </c>
      <c r="H19" s="4">
        <f ca="1">(H162*'Total Distance Tables Sup #1'!H19-'PT Assumptions'!H17*'Total Distance Tables Sup #2'!H170-'PT Assumptions'!H29*'Total Distance Tables Sup #2'!H173)*(1+'Other Assumptions'!L$45)-(H159*'Total Distance Tables Sup #1'!H16)*(1+'Other Assumptions'!L$45)*'Active Mode Assumptions'!H9*'Active Mode Assumptions'!H15-(H160*'Total Distance Tables Sup #1'!H17)*(1+'Other Assumptions'!L$45)*'Active Mode Assumptions'!H18*'Active Mode Assumptions'!H24</f>
        <v>6438.9091070593568</v>
      </c>
      <c r="I19" s="1">
        <f ca="1">(I162*'Total Distance Tables Sup #1'!I19-'PT Assumptions'!I17*'Total Distance Tables Sup #2'!I170-'PT Assumptions'!I29*'Total Distance Tables Sup #2'!I173)*(1+'Other Assumptions'!M$45)-(I159*'Total Distance Tables Sup #1'!I16)*(1+'Other Assumptions'!M$45)*'Active Mode Assumptions'!I9*'Active Mode Assumptions'!I15-(I160*'Total Distance Tables Sup #1'!I17)*(1+'Other Assumptions'!M$45)*'Active Mode Assumptions'!I18*'Active Mode Assumptions'!I24</f>
        <v>6679.3042713424611</v>
      </c>
      <c r="J19" s="1">
        <f ca="1">(J162*'Total Distance Tables Sup #1'!J19-'PT Assumptions'!J17*'Total Distance Tables Sup #2'!J170-'PT Assumptions'!J29*'Total Distance Tables Sup #2'!J173)*(1+'Other Assumptions'!N$45)-(J159*'Total Distance Tables Sup #1'!J16)*(1+'Other Assumptions'!N$45)*'Active Mode Assumptions'!J9*'Active Mode Assumptions'!J15-(J160*'Total Distance Tables Sup #1'!J17)*(1+'Other Assumptions'!N$45)*'Active Mode Assumptions'!J18*'Active Mode Assumptions'!J24</f>
        <v>6904.0709945075814</v>
      </c>
      <c r="K19" s="1">
        <f ca="1">(K162*'Total Distance Tables Sup #1'!K19-'PT Assumptions'!K17*'Total Distance Tables Sup #2'!K170-'PT Assumptions'!K29*'Total Distance Tables Sup #2'!K173)*(1+'Other Assumptions'!O$45)-(K159*'Total Distance Tables Sup #1'!K16)*(1+'Other Assumptions'!O$45)*'Active Mode Assumptions'!K9*'Active Mode Assumptions'!K15-(K160*'Total Distance Tables Sup #1'!K17)*(1+'Other Assumptions'!O$45)*'Active Mode Assumptions'!K18*'Active Mode Assumptions'!K24</f>
        <v>7115.2826353082837</v>
      </c>
    </row>
    <row r="20" spans="1:11" x14ac:dyDescent="0.2">
      <c r="A20" t="str">
        <f ca="1">OFFSET(Auckland_Reference,28,2)</f>
        <v>Taxi/Vehicle Share</v>
      </c>
      <c r="B20" s="4">
        <f ca="1">B163*'Total Distance Tables Sup #1'!B20*(1+'Other Assumptions'!D$45)</f>
        <v>41.157157814999998</v>
      </c>
      <c r="C20" s="4">
        <f ca="1">C163*'Total Distance Tables Sup #1'!C20*(1+'Other Assumptions'!G$45)</f>
        <v>50.253598862249895</v>
      </c>
      <c r="D20" s="4">
        <f ca="1">D163*'Total Distance Tables Sup #1'!D20*(1+'Other Assumptions'!H$45)</f>
        <v>58.57560361687387</v>
      </c>
      <c r="E20" s="56">
        <f ca="1">E163*'Total Distance Tables Sup #1'!E20*(1+'Other Assumptions'!I$45)</f>
        <v>66.348004815116866</v>
      </c>
      <c r="F20" s="4">
        <f ca="1">F163*'Total Distance Tables Sup #1'!F20*(1+'Other Assumptions'!J$45)</f>
        <v>73.775103282136243</v>
      </c>
      <c r="G20" s="4">
        <f ca="1">G163*'Total Distance Tables Sup #1'!G20*(1+'Other Assumptions'!K$45)</f>
        <v>80.417142625010968</v>
      </c>
      <c r="H20" s="4">
        <f ca="1">H163*'Total Distance Tables Sup #1'!H20*(1+'Other Assumptions'!L$45)</f>
        <v>87.121057914812866</v>
      </c>
      <c r="I20" s="1">
        <f ca="1">I163*'Total Distance Tables Sup #1'!I20*(1+'Other Assumptions'!M$45)</f>
        <v>90.678212725763075</v>
      </c>
      <c r="J20" s="1">
        <f ca="1">J163*'Total Distance Tables Sup #1'!J20*(1+'Other Assumptions'!N$45)</f>
        <v>94.07960940459796</v>
      </c>
      <c r="K20" s="1">
        <f ca="1">K163*'Total Distance Tables Sup #1'!K20*(1+'Other Assumptions'!O$45)</f>
        <v>97.398365117474725</v>
      </c>
    </row>
    <row r="21" spans="1:11" x14ac:dyDescent="0.2">
      <c r="A21" t="str">
        <f ca="1">OFFSET(Auckland_Reference,35,2)</f>
        <v>Motorcyclist</v>
      </c>
      <c r="B21" s="4">
        <f ca="1">B164*'Total Distance Tables Sup #1'!B21*(1+'Other Assumptions'!D$45)</f>
        <v>43.570185572</v>
      </c>
      <c r="C21" s="4">
        <f ca="1">C164*'Total Distance Tables Sup #1'!C21*(1+'Other Assumptions'!G$45)</f>
        <v>51.041189444655664</v>
      </c>
      <c r="D21" s="4">
        <f ca="1">D164*'Total Distance Tables Sup #1'!D21*(1+'Other Assumptions'!H$45)</f>
        <v>56.514218448360459</v>
      </c>
      <c r="E21" s="56">
        <f ca="1">E164*'Total Distance Tables Sup #1'!E21*(1+'Other Assumptions'!I$45)</f>
        <v>59.527379236476094</v>
      </c>
      <c r="F21" s="4">
        <f ca="1">F164*'Total Distance Tables Sup #1'!F21*(1+'Other Assumptions'!J$45)</f>
        <v>61.936393196576304</v>
      </c>
      <c r="G21" s="4">
        <f ca="1">G164*'Total Distance Tables Sup #1'!G21*(1+'Other Assumptions'!K$45)</f>
        <v>63.191510203753779</v>
      </c>
      <c r="H21" s="4">
        <f ca="1">H164*'Total Distance Tables Sup #1'!H21*(1+'Other Assumptions'!L$45)</f>
        <v>64.070076325220157</v>
      </c>
      <c r="I21" s="1">
        <f ca="1">I164*'Total Distance Tables Sup #1'!I21*(1+'Other Assumptions'!M$45)</f>
        <v>67.286919263762243</v>
      </c>
      <c r="J21" s="1">
        <f ca="1">J164*'Total Distance Tables Sup #1'!J21*(1+'Other Assumptions'!N$45)</f>
        <v>70.443044348525518</v>
      </c>
      <c r="K21" s="1">
        <f ca="1">K164*'Total Distance Tables Sup #1'!K21*(1+'Other Assumptions'!O$45)</f>
        <v>73.591325571454732</v>
      </c>
    </row>
    <row r="22" spans="1:11" x14ac:dyDescent="0.2">
      <c r="A22" t="str">
        <f ca="1">OFFSET(Auckland_Reference,42,2)</f>
        <v>Local Train</v>
      </c>
      <c r="B22" s="4">
        <f ca="1">'Total Distance Tables Sup #1'!B22*(1+'PT Assumptions'!B9)*(1+'Other Assumptions'!D$45)</f>
        <v>158.68929399999999</v>
      </c>
      <c r="C22" s="4">
        <f ca="1">'Total Distance Tables Sup #1'!C22*(1+'PT Assumptions'!C9)*(1+'Other Assumptions'!G$45)</f>
        <v>331.03360862840913</v>
      </c>
      <c r="D22" s="4">
        <f ca="1">'Total Distance Tables Sup #1'!D22*(1+'PT Assumptions'!D9)*(1+'Other Assumptions'!H$45)</f>
        <v>675.59989177045463</v>
      </c>
      <c r="E22" s="56">
        <f ca="1">'Total Distance Tables Sup #1'!E22*(1+'PT Assumptions'!E9)*(1+'Other Assumptions'!I$45)</f>
        <v>1020.1661749125</v>
      </c>
      <c r="F22" s="4">
        <f ca="1">'Total Distance Tables Sup #1'!F22*(1+'PT Assumptions'!F9)*(1+'Other Assumptions'!J$45)</f>
        <v>1195.1627346</v>
      </c>
      <c r="G22" s="4">
        <f ca="1">'Total Distance Tables Sup #1'!G22*(1+'PT Assumptions'!G9)*(1+'Other Assumptions'!K$45)</f>
        <v>1370.1592942875</v>
      </c>
      <c r="H22" s="4">
        <f ca="1">'Total Distance Tables Sup #1'!H22*(1+'PT Assumptions'!H9)*(1+'Other Assumptions'!L$45)</f>
        <v>1545.1558539749999</v>
      </c>
      <c r="I22" s="1">
        <f ca="1">'Total Distance Tables Sup #1'!I22*(1+'PT Assumptions'!I9)*(1+'Other Assumptions'!M$45)</f>
        <v>1720.1524136625003</v>
      </c>
      <c r="J22" s="1">
        <f ca="1">'Total Distance Tables Sup #1'!J22*(1+'PT Assumptions'!J9)*(1+'Other Assumptions'!N$45)</f>
        <v>1906.3592873350085</v>
      </c>
      <c r="K22" s="1">
        <f ca="1">'Total Distance Tables Sup #1'!K22*(1+'PT Assumptions'!K9)*(1+'Other Assumptions'!O$45)</f>
        <v>2112.7230956648732</v>
      </c>
    </row>
    <row r="23" spans="1:11" x14ac:dyDescent="0.2">
      <c r="A23" t="str">
        <f ca="1">OFFSET(Auckland_Reference,49,2)</f>
        <v>Local Bus</v>
      </c>
      <c r="B23" s="4">
        <f ca="1">'Total Distance Tables Sup #1'!B23*(1+'PT Assumptions'!B21)*(1+'Other Assumptions'!D$45)</f>
        <v>438.79018300000001</v>
      </c>
      <c r="C23" s="4">
        <f ca="1">'Total Distance Tables Sup #1'!C23*(1+'PT Assumptions'!C21)*(1+'Other Assumptions'!G$45)</f>
        <v>486.44452630950911</v>
      </c>
      <c r="D23" s="4">
        <f ca="1">'Total Distance Tables Sup #1'!D23*(1+'PT Assumptions'!D21)*(1+'Other Assumptions'!H$45)</f>
        <v>659.14450785705458</v>
      </c>
      <c r="E23" s="56">
        <f ca="1">'Total Distance Tables Sup #1'!E23*(1+'PT Assumptions'!E21)*(1+'Other Assumptions'!I$45)</f>
        <v>831.84448940459993</v>
      </c>
      <c r="F23" s="4">
        <f ca="1">'Total Distance Tables Sup #1'!F23*(1+'PT Assumptions'!F21)*(1+'Other Assumptions'!J$45)</f>
        <v>937.96868805772499</v>
      </c>
      <c r="G23" s="4">
        <f ca="1">'Total Distance Tables Sup #1'!G23*(1+'PT Assumptions'!G21)*(1+'Other Assumptions'!K$45)</f>
        <v>1044.0928867108501</v>
      </c>
      <c r="H23" s="4">
        <f ca="1">'Total Distance Tables Sup #1'!H23*(1+'PT Assumptions'!H21)*(1+'Other Assumptions'!L$45)</f>
        <v>1150.217085363975</v>
      </c>
      <c r="I23" s="1">
        <f ca="1">'Total Distance Tables Sup #1'!I23*(1+'PT Assumptions'!I21)*(1+'Other Assumptions'!M$45)</f>
        <v>1256.3412840171</v>
      </c>
      <c r="J23" s="1">
        <f ca="1">'Total Distance Tables Sup #1'!J23*(1+'PT Assumptions'!J21)*(1+'Other Assumptions'!N$45)</f>
        <v>1368.0635351474684</v>
      </c>
      <c r="K23" s="1">
        <f ca="1">'Total Distance Tables Sup #1'!K23*(1+'PT Assumptions'!K21)*(1+'Other Assumptions'!O$45)</f>
        <v>1489.7208744234135</v>
      </c>
    </row>
    <row r="24" spans="1:11" x14ac:dyDescent="0.2">
      <c r="A24" t="str">
        <f ca="1">OFFSET(Auckland_Reference,56,2)</f>
        <v>Local Ferry</v>
      </c>
      <c r="B24" s="4">
        <f ca="1">B167*'Total Distance Tables Sup #1'!B24*(1+'PT Assumptions'!B32)*(1+'Other Assumptions'!D$45)</f>
        <v>0</v>
      </c>
      <c r="C24" s="4">
        <f ca="1">C167*'Total Distance Tables Sup #1'!C24*(1+'PT Assumptions'!C32)*(1+'Other Assumptions'!G$45)</f>
        <v>0</v>
      </c>
      <c r="D24" s="4">
        <f ca="1">D167*'Total Distance Tables Sup #1'!D24*(1+'PT Assumptions'!D32)*(1+'Other Assumptions'!H$45)</f>
        <v>0</v>
      </c>
      <c r="E24" s="56">
        <f ca="1">E167*'Total Distance Tables Sup #1'!E24*(1+'PT Assumptions'!E32)*(1+'Other Assumptions'!I$45)</f>
        <v>0</v>
      </c>
      <c r="F24" s="4">
        <f ca="1">F167*'Total Distance Tables Sup #1'!F24*(1+'PT Assumptions'!F32)*(1+'Other Assumptions'!J$45)</f>
        <v>0</v>
      </c>
      <c r="G24" s="4">
        <f ca="1">G167*'Total Distance Tables Sup #1'!G24*(1+'PT Assumptions'!G32)*(1+'Other Assumptions'!K$45)</f>
        <v>0</v>
      </c>
      <c r="H24" s="4">
        <f ca="1">H167*'Total Distance Tables Sup #1'!H24*(1+'PT Assumptions'!H32)*(1+'Other Assumptions'!L$45)</f>
        <v>0</v>
      </c>
      <c r="I24" s="1">
        <f ca="1">I167*'Total Distance Tables Sup #1'!I24*(1+'PT Assumptions'!I32)*(1+'Other Assumptions'!M$45)</f>
        <v>0</v>
      </c>
      <c r="J24" s="1">
        <f ca="1">J167*'Total Distance Tables Sup #1'!J24*(1+'PT Assumptions'!J32)*(1+'Other Assumptions'!N$45)</f>
        <v>0</v>
      </c>
      <c r="K24" s="1">
        <f ca="1">K167*'Total Distance Tables Sup #1'!K24*(1+'PT Assumptions'!K32)*(1+'Other Assumptions'!O$45)</f>
        <v>0</v>
      </c>
    </row>
    <row r="25" spans="1:11" x14ac:dyDescent="0.2">
      <c r="A25" t="str">
        <f ca="1">OFFSET(Auckland_Reference,63,2)</f>
        <v>Other Household Travel</v>
      </c>
      <c r="B25" s="4">
        <f ca="1">B168*'Total Distance Tables Sup #1'!B25*(1+'Other Assumptions'!D$45)</f>
        <v>1.8241938706</v>
      </c>
      <c r="C25" s="4">
        <f ca="1">C168*'Total Distance Tables Sup #1'!C25*(1+'Other Assumptions'!G$45)</f>
        <v>1.8775700838495539</v>
      </c>
      <c r="D25" s="4">
        <f ca="1">D168*'Total Distance Tables Sup #1'!D25*(1+'Other Assumptions'!H$45)</f>
        <v>1.8392730024946664</v>
      </c>
      <c r="E25" s="56">
        <f ca="1">E168*'Total Distance Tables Sup #1'!E25*(1+'Other Assumptions'!I$45)</f>
        <v>1.8119960721498671</v>
      </c>
      <c r="F25" s="4">
        <f ca="1">F168*'Total Distance Tables Sup #1'!F25*(1+'Other Assumptions'!J$45)</f>
        <v>1.6991407367202827</v>
      </c>
      <c r="G25" s="4">
        <f ca="1">G168*'Total Distance Tables Sup #1'!G25*(1+'Other Assumptions'!K$45)</f>
        <v>1.5138514155961369</v>
      </c>
      <c r="H25" s="4">
        <f ca="1">H168*'Total Distance Tables Sup #1'!H25*(1+'Other Assumptions'!L$45)</f>
        <v>1.3347282403419616</v>
      </c>
      <c r="I25" s="1">
        <f ca="1">I168*'Total Distance Tables Sup #1'!I25*(1+'Other Assumptions'!M$45)</f>
        <v>1.3659413870346355</v>
      </c>
      <c r="J25" s="1">
        <f ca="1">J168*'Total Distance Tables Sup #1'!J25*(1+'Other Assumptions'!N$45)</f>
        <v>1.3938867313659824</v>
      </c>
      <c r="K25" s="1">
        <f ca="1">K168*'Total Distance Tables Sup #1'!K25*(1+'Other Assumptions'!O$45)</f>
        <v>1.4198037845765059</v>
      </c>
    </row>
    <row r="26" spans="1:11" x14ac:dyDescent="0.2">
      <c r="A26" t="str">
        <f ca="1">OFFSET(Waikato_Reference,0,0)</f>
        <v>03 WAIKATO</v>
      </c>
      <c r="I26" s="1"/>
      <c r="J26" s="1"/>
      <c r="K26" s="1"/>
    </row>
    <row r="27" spans="1:11" x14ac:dyDescent="0.2">
      <c r="A27" t="str">
        <f ca="1">OFFSET(Waikato_Reference,0,2)</f>
        <v>Pedestrian</v>
      </c>
      <c r="B27" s="4">
        <f ca="1">B159*'Total Distance Tables Sup #1'!B27*(1+'Other Assumptions'!D$46)*(1+'Active Mode Assumptions'!B9)</f>
        <v>52.675735545000002</v>
      </c>
      <c r="C27" s="4">
        <f ca="1">C159*'Total Distance Tables Sup #1'!C27*(1+'Other Assumptions'!G$46)*(1+'Active Mode Assumptions'!C9)</f>
        <v>57.540304553768195</v>
      </c>
      <c r="D27" s="4">
        <f ca="1">D159*'Total Distance Tables Sup #1'!D27*(1+'Other Assumptions'!H$46)*(1+'Active Mode Assumptions'!D9)</f>
        <v>60.177496487373197</v>
      </c>
      <c r="E27" s="4">
        <f ca="1">E159*'Total Distance Tables Sup #1'!E27*(1+'Other Assumptions'!I$46)*(1+'Active Mode Assumptions'!E9)</f>
        <v>62.081939270027974</v>
      </c>
      <c r="F27" s="4">
        <f ca="1">F159*'Total Distance Tables Sup #1'!F27*(1+'Other Assumptions'!J$46)*(1+'Active Mode Assumptions'!F9)</f>
        <v>63.356344259514508</v>
      </c>
      <c r="G27" s="4">
        <f ca="1">G159*'Total Distance Tables Sup #1'!G27*(1+'Other Assumptions'!K$46)*(1+'Active Mode Assumptions'!G9)</f>
        <v>64.49871611553958</v>
      </c>
      <c r="H27" s="4">
        <f ca="1">H159*'Total Distance Tables Sup #1'!H27*(1+'Other Assumptions'!L$46)*(1+'Active Mode Assumptions'!H9)</f>
        <v>65.392475456316419</v>
      </c>
      <c r="I27" s="1">
        <f ca="1">I159*'Total Distance Tables Sup #1'!I27*(1+'Other Assumptions'!M$46)*(1+'Active Mode Assumptions'!I9)</f>
        <v>66.704688632330985</v>
      </c>
      <c r="J27" s="1">
        <f ca="1">J159*'Total Distance Tables Sup #1'!J27*(1+'Other Assumptions'!N$46)*(1+'Active Mode Assumptions'!J9)</f>
        <v>67.827597674810789</v>
      </c>
      <c r="K27" s="1">
        <f ca="1">K159*'Total Distance Tables Sup #1'!K27*(1+'Other Assumptions'!O$46)*(1+'Active Mode Assumptions'!K9)</f>
        <v>68.822160516030294</v>
      </c>
    </row>
    <row r="28" spans="1:11" x14ac:dyDescent="0.2">
      <c r="A28" t="str">
        <f ca="1">OFFSET(Waikato_Reference,7,2)</f>
        <v>Cyclist</v>
      </c>
      <c r="B28" s="4">
        <f ca="1">B160*'Total Distance Tables Sup #1'!B28*(1+'Other Assumptions'!D$46)*(1+'Active Mode Assumptions'!B18)</f>
        <v>21.829422874999999</v>
      </c>
      <c r="C28" s="4">
        <f ca="1">C160*'Total Distance Tables Sup #1'!C28*(1+'Other Assumptions'!G$46)*(1+'Active Mode Assumptions'!C18)</f>
        <v>24.701648721995983</v>
      </c>
      <c r="D28" s="4">
        <f ca="1">D160*'Total Distance Tables Sup #1'!D28*(1+'Other Assumptions'!H$46)*(1+'Active Mode Assumptions'!D18)</f>
        <v>26.231369908750203</v>
      </c>
      <c r="E28" s="4">
        <f ca="1">E160*'Total Distance Tables Sup #1'!E28*(1+'Other Assumptions'!I$46)*(1+'Active Mode Assumptions'!E18)</f>
        <v>27.058831884488018</v>
      </c>
      <c r="F28" s="4">
        <f ca="1">F160*'Total Distance Tables Sup #1'!F28*(1+'Other Assumptions'!J$46)*(1+'Active Mode Assumptions'!F18)</f>
        <v>28.156120579282273</v>
      </c>
      <c r="G28" s="4">
        <f ca="1">G160*'Total Distance Tables Sup #1'!G28*(1+'Other Assumptions'!K$46)*(1+'Active Mode Assumptions'!G18)</f>
        <v>29.633080644743067</v>
      </c>
      <c r="H28" s="4">
        <f ca="1">H160*'Total Distance Tables Sup #1'!H28*(1+'Other Assumptions'!L$46)*(1+'Active Mode Assumptions'!H18)</f>
        <v>31.099954949651192</v>
      </c>
      <c r="I28" s="1">
        <f ca="1">I160*'Total Distance Tables Sup #1'!I28*(1+'Other Assumptions'!M$46)*(1+'Active Mode Assumptions'!I18)</f>
        <v>31.873075518255845</v>
      </c>
      <c r="J28" s="1">
        <f ca="1">J160*'Total Distance Tables Sup #1'!J28*(1+'Other Assumptions'!N$46)*(1+'Active Mode Assumptions'!J18)</f>
        <v>32.563377682847445</v>
      </c>
      <c r="K28" s="1">
        <f ca="1">K160*'Total Distance Tables Sup #1'!K28*(1+'Other Assumptions'!O$46)*(1+'Active Mode Assumptions'!K18)</f>
        <v>33.199074294171474</v>
      </c>
    </row>
    <row r="29" spans="1:11" x14ac:dyDescent="0.2">
      <c r="A29" t="str">
        <f ca="1">OFFSET(Waikato_Reference,14,2)</f>
        <v>Light Vehicle Driver</v>
      </c>
      <c r="B29" s="4">
        <f ca="1">B161*'Total Distance Tables Sup #1'!B29*(1+'Other Assumptions'!D$46)-(B27*'Active Mode Assumptions'!B9*'Active Mode Assumptions'!B14/(1+'Active Mode Assumptions'!B9))-(B28*'Active Mode Assumptions'!B18*'Active Mode Assumptions'!B23/(1+'Active Mode Assumptions'!B18))</f>
        <v>3709.9843593000001</v>
      </c>
      <c r="C29" s="4">
        <f ca="1">C161*'Total Distance Tables Sup #1'!C29*(1+'Other Assumptions'!G$46)-(C27*'Active Mode Assumptions'!C9*'Active Mode Assumptions'!C14/(1+'Active Mode Assumptions'!C9))-(C28*'Active Mode Assumptions'!C18*'Active Mode Assumptions'!C23/(1+'Active Mode Assumptions'!C18))</f>
        <v>4201.522234621285</v>
      </c>
      <c r="D29" s="4">
        <f ca="1">D161*'Total Distance Tables Sup #1'!D29*(1+'Other Assumptions'!H$46)-(D27*'Active Mode Assumptions'!D9*'Active Mode Assumptions'!D14/(1+'Active Mode Assumptions'!D9))-(D28*'Active Mode Assumptions'!D18*'Active Mode Assumptions'!D23/(1+'Active Mode Assumptions'!D18))</f>
        <v>4499.1447838043487</v>
      </c>
      <c r="E29" s="4">
        <f ca="1">E161*'Total Distance Tables Sup #1'!E29*(1+'Other Assumptions'!I$46)-(E27*'Active Mode Assumptions'!E9*'Active Mode Assumptions'!E14/(1+'Active Mode Assumptions'!E9))-(E28*'Active Mode Assumptions'!E18*'Active Mode Assumptions'!E23/(1+'Active Mode Assumptions'!E18))</f>
        <v>4699.4565453783671</v>
      </c>
      <c r="F29" s="4">
        <f ca="1">F161*'Total Distance Tables Sup #1'!F29*(1+'Other Assumptions'!J$46)-(F27*'Active Mode Assumptions'!F9*'Active Mode Assumptions'!F14/(1+'Active Mode Assumptions'!F9))-(F28*'Active Mode Assumptions'!F18*'Active Mode Assumptions'!F23/(1+'Active Mode Assumptions'!F18))</f>
        <v>4881.2992129310978</v>
      </c>
      <c r="G29" s="4">
        <f ca="1">G161*'Total Distance Tables Sup #1'!G29*(1+'Other Assumptions'!K$46)-(G27*'Active Mode Assumptions'!G9*'Active Mode Assumptions'!G14/(1+'Active Mode Assumptions'!G9))-(G28*'Active Mode Assumptions'!G18*'Active Mode Assumptions'!G23/(1+'Active Mode Assumptions'!G18))</f>
        <v>5019.866961707904</v>
      </c>
      <c r="H29" s="4">
        <f ca="1">H161*'Total Distance Tables Sup #1'!H29*(1+'Other Assumptions'!L$46)-(H27*'Active Mode Assumptions'!H9*'Active Mode Assumptions'!H14/(1+'Active Mode Assumptions'!H9))-(H28*'Active Mode Assumptions'!H18*'Active Mode Assumptions'!H23/(1+'Active Mode Assumptions'!H18))</f>
        <v>5143.2489361511534</v>
      </c>
      <c r="I29" s="1">
        <f ca="1">I161*'Total Distance Tables Sup #1'!I29*(1+'Other Assumptions'!M$46)-(I27*'Active Mode Assumptions'!I9*'Active Mode Assumptions'!I14/(1+'Active Mode Assumptions'!I9))-(I28*'Active Mode Assumptions'!I18*'Active Mode Assumptions'!I23/(1+'Active Mode Assumptions'!I18))</f>
        <v>5256.6398215859244</v>
      </c>
      <c r="J29" s="1">
        <f ca="1">J161*'Total Distance Tables Sup #1'!J29*(1+'Other Assumptions'!N$46)-(J27*'Active Mode Assumptions'!J9*'Active Mode Assumptions'!J14/(1+'Active Mode Assumptions'!J9))-(J28*'Active Mode Assumptions'!J18*'Active Mode Assumptions'!J23/(1+'Active Mode Assumptions'!J18))</f>
        <v>5355.4711668610407</v>
      </c>
      <c r="K29" s="1">
        <f ca="1">K161*'Total Distance Tables Sup #1'!K29*(1+'Other Assumptions'!O$46)-(K27*'Active Mode Assumptions'!K9*'Active Mode Assumptions'!K14/(1+'Active Mode Assumptions'!K9))-(K28*'Active Mode Assumptions'!K18*'Active Mode Assumptions'!K23/(1+'Active Mode Assumptions'!K18))</f>
        <v>5444.4757021414362</v>
      </c>
    </row>
    <row r="30" spans="1:11" x14ac:dyDescent="0.2">
      <c r="A30" t="str">
        <f ca="1">OFFSET(Waikato_Reference,21,2)</f>
        <v>Light Vehicle Passenger</v>
      </c>
      <c r="B30" s="4">
        <f ca="1">B162*'Total Distance Tables Sup #1'!B30*(1+'Other Assumptions'!D$46)-(B27*'Active Mode Assumptions'!B9*'Active Mode Assumptions'!B15/(1+'Active Mode Assumptions'!B9))-(B28*'Active Mode Assumptions'!B18*'Active Mode Assumptions'!B24/(1+'Active Mode Assumptions'!B18))</f>
        <v>1955.0668243</v>
      </c>
      <c r="C30" s="4">
        <f ca="1">C162*'Total Distance Tables Sup #1'!C30*(1+'Other Assumptions'!G$46)-(C27*'Active Mode Assumptions'!C9*'Active Mode Assumptions'!C15/(1+'Active Mode Assumptions'!C9))-(C28*'Active Mode Assumptions'!C18*'Active Mode Assumptions'!C24/(1+'Active Mode Assumptions'!C18))</f>
        <v>2124.886470229389</v>
      </c>
      <c r="D30" s="4">
        <f ca="1">D162*'Total Distance Tables Sup #1'!D30*(1+'Other Assumptions'!H$46)-(D27*'Active Mode Assumptions'!D9*'Active Mode Assumptions'!D15/(1+'Active Mode Assumptions'!D9))-(D28*'Active Mode Assumptions'!D18*'Active Mode Assumptions'!D24/(1+'Active Mode Assumptions'!D18))</f>
        <v>2222.7746715581102</v>
      </c>
      <c r="E30" s="4">
        <f ca="1">E162*'Total Distance Tables Sup #1'!E30*(1+'Other Assumptions'!I$46)-(E27*'Active Mode Assumptions'!E9*'Active Mode Assumptions'!E15/(1+'Active Mode Assumptions'!E9))-(E28*'Active Mode Assumptions'!E18*'Active Mode Assumptions'!E24/(1+'Active Mode Assumptions'!E18))</f>
        <v>2289.8515617148241</v>
      </c>
      <c r="F30" s="4">
        <f ca="1">F162*'Total Distance Tables Sup #1'!F30*(1+'Other Assumptions'!J$46)-(F27*'Active Mode Assumptions'!F9*'Active Mode Assumptions'!F15/(1+'Active Mode Assumptions'!F9))-(F28*'Active Mode Assumptions'!F18*'Active Mode Assumptions'!F24/(1+'Active Mode Assumptions'!F18))</f>
        <v>2341.5207788280836</v>
      </c>
      <c r="G30" s="4">
        <f ca="1">G162*'Total Distance Tables Sup #1'!G30*(1+'Other Assumptions'!K$46)-(G27*'Active Mode Assumptions'!G9*'Active Mode Assumptions'!G15/(1+'Active Mode Assumptions'!G9))-(G28*'Active Mode Assumptions'!G18*'Active Mode Assumptions'!G24/(1+'Active Mode Assumptions'!G18))</f>
        <v>2381.4016988691851</v>
      </c>
      <c r="H30" s="4">
        <f ca="1">H162*'Total Distance Tables Sup #1'!H30*(1+'Other Assumptions'!L$46)-(H27*'Active Mode Assumptions'!H9*'Active Mode Assumptions'!H15/(1+'Active Mode Assumptions'!H9))-(H28*'Active Mode Assumptions'!H18*'Active Mode Assumptions'!H24/(1+'Active Mode Assumptions'!H18))</f>
        <v>2410.5770129156917</v>
      </c>
      <c r="I30" s="1">
        <f ca="1">I162*'Total Distance Tables Sup #1'!I30*(1+'Other Assumptions'!M$46)-(I27*'Active Mode Assumptions'!I9*'Active Mode Assumptions'!I15/(1+'Active Mode Assumptions'!I9))-(I28*'Active Mode Assumptions'!I18*'Active Mode Assumptions'!I24/(1+'Active Mode Assumptions'!I18))</f>
        <v>2466.437533069874</v>
      </c>
      <c r="J30" s="1">
        <f ca="1">J162*'Total Distance Tables Sup #1'!J30*(1+'Other Assumptions'!N$46)-(J27*'Active Mode Assumptions'!J9*'Active Mode Assumptions'!J15/(1+'Active Mode Assumptions'!J9))-(J28*'Active Mode Assumptions'!J18*'Active Mode Assumptions'!J24/(1+'Active Mode Assumptions'!J18))</f>
        <v>2515.5884184131187</v>
      </c>
      <c r="K30" s="1">
        <f ca="1">K162*'Total Distance Tables Sup #1'!K30*(1+'Other Assumptions'!O$46)-(K27*'Active Mode Assumptions'!K9*'Active Mode Assumptions'!K15/(1+'Active Mode Assumptions'!K9))-(K28*'Active Mode Assumptions'!K18*'Active Mode Assumptions'!K24/(1+'Active Mode Assumptions'!K18))</f>
        <v>2560.2317274882002</v>
      </c>
    </row>
    <row r="31" spans="1:11" x14ac:dyDescent="0.2">
      <c r="A31" t="str">
        <f ca="1">OFFSET(Waikato_Reference,28,2)</f>
        <v>Taxi/Vehicle Share</v>
      </c>
      <c r="B31" s="4">
        <f ca="1">B163*'Total Distance Tables Sup #1'!B31*(1+'Other Assumptions'!D$46)</f>
        <v>2.4426175743999998</v>
      </c>
      <c r="C31" s="4">
        <f ca="1">C163*'Total Distance Tables Sup #1'!C31*(1+'Other Assumptions'!G$46)</f>
        <v>2.8826686285321461</v>
      </c>
      <c r="D31" s="4">
        <f ca="1">D163*'Total Distance Tables Sup #1'!D31*(1+'Other Assumptions'!H$46)</f>
        <v>3.2449092330585461</v>
      </c>
      <c r="E31" s="4">
        <f ca="1">E163*'Total Distance Tables Sup #1'!E31*(1+'Other Assumptions'!I$46)</f>
        <v>3.5807239614660658</v>
      </c>
      <c r="F31" s="4">
        <f ca="1">F163*'Total Distance Tables Sup #1'!F31*(1+'Other Assumptions'!J$46)</f>
        <v>3.8858963662779988</v>
      </c>
      <c r="G31" s="4">
        <f ca="1">G163*'Total Distance Tables Sup #1'!G31*(1+'Other Assumptions'!K$46)</f>
        <v>4.1418323220878941</v>
      </c>
      <c r="H31" s="4">
        <f ca="1">H163*'Total Distance Tables Sup #1'!H31*(1+'Other Assumptions'!L$46)</f>
        <v>4.3937745315033734</v>
      </c>
      <c r="I31" s="1">
        <f ca="1">I163*'Total Distance Tables Sup #1'!I31*(1+'Other Assumptions'!M$46)</f>
        <v>4.4780437240934097</v>
      </c>
      <c r="J31" s="1">
        <f ca="1">J163*'Total Distance Tables Sup #1'!J31*(1+'Other Assumptions'!N$46)</f>
        <v>4.5493739380081815</v>
      </c>
      <c r="K31" s="1">
        <f ca="1">K163*'Total Distance Tables Sup #1'!K31*(1+'Other Assumptions'!O$46)</f>
        <v>4.6118858377472201</v>
      </c>
    </row>
    <row r="32" spans="1:11" x14ac:dyDescent="0.2">
      <c r="A32" t="str">
        <f ca="1">OFFSET(Waikato_Reference,35,2)</f>
        <v>Motorcyclist</v>
      </c>
      <c r="B32" s="4">
        <f ca="1">B164*'Total Distance Tables Sup #1'!B32*(1+'Other Assumptions'!D$46)</f>
        <v>38.030338682999997</v>
      </c>
      <c r="C32" s="4">
        <f ca="1">C164*'Total Distance Tables Sup #1'!C32*(1+'Other Assumptions'!G$46)</f>
        <v>43.06049535590035</v>
      </c>
      <c r="D32" s="4">
        <f ca="1">D164*'Total Distance Tables Sup #1'!D32*(1+'Other Assumptions'!H$46)</f>
        <v>46.04412121296555</v>
      </c>
      <c r="E32" s="4">
        <f ca="1">E164*'Total Distance Tables Sup #1'!E32*(1+'Other Assumptions'!I$46)</f>
        <v>47.248760469455824</v>
      </c>
      <c r="F32" s="4">
        <f ca="1">F164*'Total Distance Tables Sup #1'!F32*(1+'Other Assumptions'!J$46)</f>
        <v>47.979750036311074</v>
      </c>
      <c r="G32" s="4">
        <f ca="1">G164*'Total Distance Tables Sup #1'!G32*(1+'Other Assumptions'!K$46)</f>
        <v>47.866678425161403</v>
      </c>
      <c r="H32" s="4">
        <f ca="1">H164*'Total Distance Tables Sup #1'!H32*(1+'Other Assumptions'!L$46)</f>
        <v>47.522639050839928</v>
      </c>
      <c r="I32" s="1">
        <f ca="1">I164*'Total Distance Tables Sup #1'!I32*(1+'Other Assumptions'!M$46)</f>
        <v>48.870491270148733</v>
      </c>
      <c r="J32" s="1">
        <f ca="1">J164*'Total Distance Tables Sup #1'!J32*(1+'Other Assumptions'!N$46)</f>
        <v>50.098523712838649</v>
      </c>
      <c r="K32" s="1">
        <f ca="1">K164*'Total Distance Tables Sup #1'!K32*(1+'Other Assumptions'!O$46)</f>
        <v>51.248857613723921</v>
      </c>
    </row>
    <row r="33" spans="1:11" x14ac:dyDescent="0.2">
      <c r="A33" t="str">
        <f ca="1">OFFSET(Waikato_Reference,42,2)</f>
        <v>Local Train</v>
      </c>
      <c r="B33" s="4">
        <f ca="1">B165*'Total Distance Tables Sup #1'!B33*(1+'Other Assumptions'!D$46)</f>
        <v>0</v>
      </c>
      <c r="C33" s="4">
        <f ca="1">C165*'Total Distance Tables Sup #1'!C33*(1+'Other Assumptions'!G$46)</f>
        <v>0</v>
      </c>
      <c r="D33" s="4">
        <f ca="1">D165*'Total Distance Tables Sup #1'!D33*(1+'Other Assumptions'!H$46)</f>
        <v>0</v>
      </c>
      <c r="E33" s="4">
        <f ca="1">E165*'Total Distance Tables Sup #1'!E33*(1+'Other Assumptions'!I$46)</f>
        <v>0</v>
      </c>
      <c r="F33" s="4">
        <f ca="1">F165*'Total Distance Tables Sup #1'!F33*(1+'Other Assumptions'!J$46)</f>
        <v>0</v>
      </c>
      <c r="G33" s="4">
        <f ca="1">G165*'Total Distance Tables Sup #1'!G33*(1+'Other Assumptions'!K$46)</f>
        <v>0</v>
      </c>
      <c r="H33" s="4">
        <f ca="1">H165*'Total Distance Tables Sup #1'!H33*(1+'Other Assumptions'!L$46)</f>
        <v>0</v>
      </c>
      <c r="I33" s="1">
        <f ca="1">I165*'Total Distance Tables Sup #1'!I33*(1+'Other Assumptions'!M$46)</f>
        <v>0</v>
      </c>
      <c r="J33" s="1">
        <f ca="1">J165*'Total Distance Tables Sup #1'!J33*(1+'Other Assumptions'!N$46)</f>
        <v>0</v>
      </c>
      <c r="K33" s="1">
        <f ca="1">K165*'Total Distance Tables Sup #1'!K33*(1+'Other Assumptions'!O$46)</f>
        <v>0</v>
      </c>
    </row>
    <row r="34" spans="1:11" x14ac:dyDescent="0.2">
      <c r="A34" t="str">
        <f ca="1">OFFSET(Waikato_Reference,49,2)</f>
        <v>Local Bus</v>
      </c>
      <c r="B34" s="4">
        <f ca="1">B166*'Total Distance Tables Sup #1'!B34*(1+'Other Assumptions'!D$46)</f>
        <v>54.303948532</v>
      </c>
      <c r="C34" s="4">
        <f ca="1">C166*'Total Distance Tables Sup #1'!C34*(1+'Other Assumptions'!G$46)</f>
        <v>54.686199269744542</v>
      </c>
      <c r="D34" s="4">
        <f ca="1">D166*'Total Distance Tables Sup #1'!D34*(1+'Other Assumptions'!H$46)</f>
        <v>54.568317274941258</v>
      </c>
      <c r="E34" s="4">
        <f ca="1">E166*'Total Distance Tables Sup #1'!E34*(1+'Other Assumptions'!I$46)</f>
        <v>54.480145464987459</v>
      </c>
      <c r="F34" s="4">
        <f ca="1">F166*'Total Distance Tables Sup #1'!F34*(1+'Other Assumptions'!J$46)</f>
        <v>53.522594838227334</v>
      </c>
      <c r="G34" s="4">
        <f ca="1">G166*'Total Distance Tables Sup #1'!G34*(1+'Other Assumptions'!K$46)</f>
        <v>53.163429193695293</v>
      </c>
      <c r="H34" s="4">
        <f ca="1">H166*'Total Distance Tables Sup #1'!H34*(1+'Other Assumptions'!L$46)</f>
        <v>52.573439214473844</v>
      </c>
      <c r="I34" s="1">
        <f ca="1">I166*'Total Distance Tables Sup #1'!I34*(1+'Other Assumptions'!M$46)</f>
        <v>53.797391718814715</v>
      </c>
      <c r="J34" s="1">
        <f ca="1">J166*'Total Distance Tables Sup #1'!J34*(1+'Other Assumptions'!N$46)</f>
        <v>54.874529134792979</v>
      </c>
      <c r="K34" s="1">
        <f ca="1">K166*'Total Distance Tables Sup #1'!K34*(1+'Other Assumptions'!O$46)</f>
        <v>55.852846256031242</v>
      </c>
    </row>
    <row r="35" spans="1:11" x14ac:dyDescent="0.2">
      <c r="A35" t="str">
        <f ca="1">OFFSET(Waikato_Reference,56,2)</f>
        <v>Local Ferry</v>
      </c>
      <c r="B35" s="4">
        <f ca="1">B167*'Total Distance Tables Sup #1'!B35*(1+'Other Assumptions'!D$46)</f>
        <v>0</v>
      </c>
      <c r="C35" s="4">
        <f ca="1">C167*'Total Distance Tables Sup #1'!C35*(1+'Other Assumptions'!G$46)</f>
        <v>0</v>
      </c>
      <c r="D35" s="4">
        <f ca="1">D167*'Total Distance Tables Sup #1'!D35*(1+'Other Assumptions'!H$46)</f>
        <v>0</v>
      </c>
      <c r="E35" s="4">
        <f ca="1">E167*'Total Distance Tables Sup #1'!E35*(1+'Other Assumptions'!I$46)</f>
        <v>0</v>
      </c>
      <c r="F35" s="4">
        <f ca="1">F167*'Total Distance Tables Sup #1'!F35*(1+'Other Assumptions'!J$46)</f>
        <v>0</v>
      </c>
      <c r="G35" s="4">
        <f ca="1">G167*'Total Distance Tables Sup #1'!G35*(1+'Other Assumptions'!K$46)</f>
        <v>0</v>
      </c>
      <c r="H35" s="4">
        <f ca="1">H167*'Total Distance Tables Sup #1'!H35*(1+'Other Assumptions'!L$46)</f>
        <v>0</v>
      </c>
      <c r="I35" s="1">
        <f ca="1">I167*'Total Distance Tables Sup #1'!I35*(1+'Other Assumptions'!M$46)</f>
        <v>0</v>
      </c>
      <c r="J35" s="1">
        <f ca="1">J167*'Total Distance Tables Sup #1'!J35*(1+'Other Assumptions'!N$46)</f>
        <v>0</v>
      </c>
      <c r="K35" s="1">
        <f ca="1">K167*'Total Distance Tables Sup #1'!K35*(1+'Other Assumptions'!O$46)</f>
        <v>0</v>
      </c>
    </row>
    <row r="36" spans="1:11" x14ac:dyDescent="0.2">
      <c r="A36" t="str">
        <f ca="1">OFFSET(Waikato_Reference,63,2)</f>
        <v>Other Household Travel</v>
      </c>
      <c r="B36" s="4">
        <f ca="1">B168*'Total Distance Tables Sup #1'!B36*(1+'Other Assumptions'!D$46)</f>
        <v>0</v>
      </c>
      <c r="C36" s="4">
        <f ca="1">C168*'Total Distance Tables Sup #1'!C36*(1+'Other Assumptions'!G$46)</f>
        <v>0</v>
      </c>
      <c r="D36" s="4">
        <f ca="1">D168*'Total Distance Tables Sup #1'!D36*(1+'Other Assumptions'!H$46)</f>
        <v>0</v>
      </c>
      <c r="E36" s="4">
        <f ca="1">E168*'Total Distance Tables Sup #1'!E36*(1+'Other Assumptions'!I$46)</f>
        <v>0</v>
      </c>
      <c r="F36" s="4">
        <f ca="1">F168*'Total Distance Tables Sup #1'!F36*(1+'Other Assumptions'!J$46)</f>
        <v>0</v>
      </c>
      <c r="G36" s="4">
        <f ca="1">G168*'Total Distance Tables Sup #1'!G36*(1+'Other Assumptions'!K$46)</f>
        <v>0</v>
      </c>
      <c r="H36" s="4">
        <f ca="1">H168*'Total Distance Tables Sup #1'!H36*(1+'Other Assumptions'!L$46)</f>
        <v>0</v>
      </c>
      <c r="I36" s="1">
        <f ca="1">I168*'Total Distance Tables Sup #1'!I36*(1+'Other Assumptions'!M$46)</f>
        <v>0</v>
      </c>
      <c r="J36" s="1">
        <f ca="1">J168*'Total Distance Tables Sup #1'!J36*(1+'Other Assumptions'!N$46)</f>
        <v>0</v>
      </c>
      <c r="K36" s="1">
        <f ca="1">K168*'Total Distance Tables Sup #1'!K36*(1+'Other Assumptions'!O$46)</f>
        <v>0</v>
      </c>
    </row>
    <row r="37" spans="1:11" x14ac:dyDescent="0.2">
      <c r="A37" t="str">
        <f ca="1">OFFSET(BOP_Reference,0,0)</f>
        <v>04 BAY OF PLENTY</v>
      </c>
      <c r="I37" s="1"/>
      <c r="J37" s="1"/>
      <c r="K37" s="1"/>
    </row>
    <row r="38" spans="1:11" x14ac:dyDescent="0.2">
      <c r="A38" t="str">
        <f ca="1">OFFSET(BOP_Reference,0,2)</f>
        <v>Pedestrian</v>
      </c>
      <c r="B38" s="4">
        <f ca="1">B159*'Total Distance Tables Sup #1'!B38*(1+'Other Assumptions'!D$47)*(1+'Active Mode Assumptions'!B9)</f>
        <v>35.579183637</v>
      </c>
      <c r="C38" s="4">
        <f ca="1">C159*'Total Distance Tables Sup #1'!C38*(1+'Other Assumptions'!G$47)*(1+'Active Mode Assumptions'!C9)</f>
        <v>38.326654465227818</v>
      </c>
      <c r="D38" s="4">
        <f ca="1">D159*'Total Distance Tables Sup #1'!D38*(1+'Other Assumptions'!H$47)*(1+'Active Mode Assumptions'!D9)</f>
        <v>39.810067326126081</v>
      </c>
      <c r="E38" s="4">
        <f ca="1">E159*'Total Distance Tables Sup #1'!E38*(1+'Other Assumptions'!I$47)*(1+'Active Mode Assumptions'!E9)</f>
        <v>40.796136654227162</v>
      </c>
      <c r="F38" s="4">
        <f ca="1">F159*'Total Distance Tables Sup #1'!F38*(1+'Other Assumptions'!J$47)*(1+'Active Mode Assumptions'!F9)</f>
        <v>41.366391007651885</v>
      </c>
      <c r="G38" s="4">
        <f ca="1">G159*'Total Distance Tables Sup #1'!G38*(1+'Other Assumptions'!K$47)*(1+'Active Mode Assumptions'!G9)</f>
        <v>41.826510285303328</v>
      </c>
      <c r="H38" s="4">
        <f ca="1">H159*'Total Distance Tables Sup #1'!H38*(1+'Other Assumptions'!L$47)*(1+'Active Mode Assumptions'!H9)</f>
        <v>42.119654890887055</v>
      </c>
      <c r="I38" s="1">
        <f ca="1">I159*'Total Distance Tables Sup #1'!I38*(1+'Other Assumptions'!M$47)*(1+'Active Mode Assumptions'!I9)</f>
        <v>42.674638581560203</v>
      </c>
      <c r="J38" s="1">
        <f ca="1">J159*'Total Distance Tables Sup #1'!J38*(1+'Other Assumptions'!N$47)*(1+'Active Mode Assumptions'!J9)</f>
        <v>43.099912670803022</v>
      </c>
      <c r="K38" s="1">
        <f ca="1">K159*'Total Distance Tables Sup #1'!K38*(1+'Other Assumptions'!O$47)*(1+'Active Mode Assumptions'!K9)</f>
        <v>43.436489758521539</v>
      </c>
    </row>
    <row r="39" spans="1:11" x14ac:dyDescent="0.2">
      <c r="A39" t="str">
        <f ca="1">OFFSET(BOP_Reference,7,2)</f>
        <v>Cyclist</v>
      </c>
      <c r="B39" s="4">
        <f ca="1">B160*'Total Distance Tables Sup #1'!B39*(1+'Other Assumptions'!D$47)*(1+'Active Mode Assumptions'!B18)</f>
        <v>8.5028812633000008</v>
      </c>
      <c r="C39" s="4">
        <f ca="1">C160*'Total Distance Tables Sup #1'!C39*(1+'Other Assumptions'!G$47)*(1+'Active Mode Assumptions'!C18)</f>
        <v>9.4884044091632092</v>
      </c>
      <c r="D39" s="4">
        <f ca="1">D160*'Total Distance Tables Sup #1'!D39*(1+'Other Assumptions'!H$47)*(1+'Active Mode Assumptions'!D18)</f>
        <v>10.007330842868591</v>
      </c>
      <c r="E39" s="4">
        <f ca="1">E160*'Total Distance Tables Sup #1'!E39*(1+'Other Assumptions'!I$47)*(1+'Active Mode Assumptions'!E18)</f>
        <v>10.25418852583074</v>
      </c>
      <c r="F39" s="4">
        <f ca="1">F160*'Total Distance Tables Sup #1'!F39*(1+'Other Assumptions'!J$47)*(1+'Active Mode Assumptions'!F18)</f>
        <v>10.601536900449789</v>
      </c>
      <c r="G39" s="4">
        <f ca="1">G160*'Total Distance Tables Sup #1'!G39*(1+'Other Assumptions'!K$47)*(1+'Active Mode Assumptions'!G18)</f>
        <v>11.081941539932846</v>
      </c>
      <c r="H39" s="4">
        <f ca="1">H160*'Total Distance Tables Sup #1'!H39*(1+'Other Assumptions'!L$47)*(1+'Active Mode Assumptions'!H18)</f>
        <v>11.55194935265464</v>
      </c>
      <c r="I39" s="1">
        <f ca="1">I160*'Total Distance Tables Sup #1'!I39*(1+'Other Assumptions'!M$47)*(1+'Active Mode Assumptions'!I18)</f>
        <v>11.759150596258158</v>
      </c>
      <c r="J39" s="1">
        <f ca="1">J160*'Total Distance Tables Sup #1'!J39*(1+'Other Assumptions'!N$47)*(1+'Active Mode Assumptions'!J18)</f>
        <v>11.932677170358332</v>
      </c>
      <c r="K39" s="1">
        <f ca="1">K160*'Total Distance Tables Sup #1'!K39*(1+'Other Assumptions'!O$47)*(1+'Active Mode Assumptions'!K18)</f>
        <v>12.083448166891998</v>
      </c>
    </row>
    <row r="40" spans="1:11" x14ac:dyDescent="0.2">
      <c r="A40" t="str">
        <f ca="1">OFFSET(BOP_Reference,14,2)</f>
        <v>Light Vehicle Driver</v>
      </c>
      <c r="B40" s="4">
        <f ca="1">B161*'Total Distance Tables Sup #1'!B40*(1+'Other Assumptions'!D$47)-(B38*'Active Mode Assumptions'!B9*'Active Mode Assumptions'!B14/(1+'Active Mode Assumptions'!B9))-(B39*'Active Mode Assumptions'!B18*'Active Mode Assumptions'!B23/(1+'Active Mode Assumptions'!B18))</f>
        <v>1972.0747595</v>
      </c>
      <c r="C40" s="4">
        <f ca="1">C161*'Total Distance Tables Sup #1'!C40*(1+'Other Assumptions'!G$47)-(C38*'Active Mode Assumptions'!C9*'Active Mode Assumptions'!C14/(1+'Active Mode Assumptions'!C9))-(C39*'Active Mode Assumptions'!C18*'Active Mode Assumptions'!C23/(1+'Active Mode Assumptions'!C18))</f>
        <v>2202.4261091894841</v>
      </c>
      <c r="D40" s="4">
        <f ca="1">D161*'Total Distance Tables Sup #1'!D40*(1+'Other Assumptions'!H$47)-(D38*'Active Mode Assumptions'!D9*'Active Mode Assumptions'!D14/(1+'Active Mode Assumptions'!D9))-(D39*'Active Mode Assumptions'!D18*'Active Mode Assumptions'!D23/(1+'Active Mode Assumptions'!D18))</f>
        <v>2342.3656494592965</v>
      </c>
      <c r="E40" s="4">
        <f ca="1">E161*'Total Distance Tables Sup #1'!E40*(1+'Other Assumptions'!I$47)-(E38*'Active Mode Assumptions'!E9*'Active Mode Assumptions'!E14/(1+'Active Mode Assumptions'!E9))-(E39*'Active Mode Assumptions'!E18*'Active Mode Assumptions'!E23/(1+'Active Mode Assumptions'!E18))</f>
        <v>2430.3416347366724</v>
      </c>
      <c r="F40" s="4">
        <f ca="1">F161*'Total Distance Tables Sup #1'!F40*(1+'Other Assumptions'!J$47)-(F38*'Active Mode Assumptions'!F9*'Active Mode Assumptions'!F14/(1+'Active Mode Assumptions'!F9))-(F39*'Active Mode Assumptions'!F18*'Active Mode Assumptions'!F23/(1+'Active Mode Assumptions'!F18))</f>
        <v>2508.1810256585309</v>
      </c>
      <c r="G40" s="4">
        <f ca="1">G161*'Total Distance Tables Sup #1'!G40*(1+'Other Assumptions'!K$47)-(G38*'Active Mode Assumptions'!G9*'Active Mode Assumptions'!G14/(1+'Active Mode Assumptions'!G9))-(G39*'Active Mode Assumptions'!G18*'Active Mode Assumptions'!G23/(1+'Active Mode Assumptions'!G18))</f>
        <v>2561.8794779470059</v>
      </c>
      <c r="H40" s="4">
        <f ca="1">H161*'Total Distance Tables Sup #1'!H40*(1+'Other Assumptions'!L$47)-(H38*'Active Mode Assumptions'!H9*'Active Mode Assumptions'!H14/(1+'Active Mode Assumptions'!H9))-(H39*'Active Mode Assumptions'!H18*'Active Mode Assumptions'!H23/(1+'Active Mode Assumptions'!H18))</f>
        <v>2607.1168502751329</v>
      </c>
      <c r="I40" s="1">
        <f ca="1">I161*'Total Distance Tables Sup #1'!I40*(1+'Other Assumptions'!M$47)-(I38*'Active Mode Assumptions'!I9*'Active Mode Assumptions'!I14/(1+'Active Mode Assumptions'!I9))-(I39*'Active Mode Assumptions'!I18*'Active Mode Assumptions'!I23/(1+'Active Mode Assumptions'!I18))</f>
        <v>2646.5959080871903</v>
      </c>
      <c r="J40" s="1">
        <f ca="1">J161*'Total Distance Tables Sup #1'!J40*(1+'Other Assumptions'!N$47)-(J38*'Active Mode Assumptions'!J9*'Active Mode Assumptions'!J14/(1+'Active Mode Assumptions'!J9))-(J39*'Active Mode Assumptions'!J18*'Active Mode Assumptions'!J23/(1+'Active Mode Assumptions'!J18))</f>
        <v>2678.1417866923971</v>
      </c>
      <c r="K40" s="1">
        <f ca="1">K161*'Total Distance Tables Sup #1'!K40*(1+'Other Assumptions'!O$47)-(K38*'Active Mode Assumptions'!K9*'Active Mode Assumptions'!K14/(1+'Active Mode Assumptions'!K9))-(K39*'Active Mode Assumptions'!K18*'Active Mode Assumptions'!K23/(1+'Active Mode Assumptions'!K18))</f>
        <v>2704.2597774904752</v>
      </c>
    </row>
    <row r="41" spans="1:11" x14ac:dyDescent="0.2">
      <c r="A41" t="str">
        <f ca="1">OFFSET(BOP_Reference,21,2)</f>
        <v>Light Vehicle Passenger</v>
      </c>
      <c r="B41" s="4">
        <f ca="1">B162*'Total Distance Tables Sup #1'!B41*(1+'Other Assumptions'!D$47)-(B38*'Active Mode Assumptions'!B9*'Active Mode Assumptions'!B15/(1+'Active Mode Assumptions'!B9))-(B39*'Active Mode Assumptions'!B18*'Active Mode Assumptions'!B24/(1+'Active Mode Assumptions'!B18))</f>
        <v>1385.2330090999999</v>
      </c>
      <c r="C41" s="4">
        <f ca="1">C162*'Total Distance Tables Sup #1'!C41*(1+'Other Assumptions'!G$47)-(C38*'Active Mode Assumptions'!C9*'Active Mode Assumptions'!C15/(1+'Active Mode Assumptions'!C9))-(C39*'Active Mode Assumptions'!C18*'Active Mode Assumptions'!C24/(1+'Active Mode Assumptions'!C18))</f>
        <v>1484.7055833780921</v>
      </c>
      <c r="D41" s="4">
        <f ca="1">D162*'Total Distance Tables Sup #1'!D41*(1+'Other Assumptions'!H$47)-(D38*'Active Mode Assumptions'!D9*'Active Mode Assumptions'!D15/(1+'Active Mode Assumptions'!D9))-(D39*'Active Mode Assumptions'!D18*'Active Mode Assumptions'!D24/(1+'Active Mode Assumptions'!D18))</f>
        <v>1542.5174672277992</v>
      </c>
      <c r="E41" s="4">
        <f ca="1">E162*'Total Distance Tables Sup #1'!E41*(1+'Other Assumptions'!I$47)-(E38*'Active Mode Assumptions'!E9*'Active Mode Assumptions'!E15/(1+'Active Mode Assumptions'!E9))-(E39*'Active Mode Assumptions'!E18*'Active Mode Assumptions'!E24/(1+'Active Mode Assumptions'!E18))</f>
        <v>1578.4722416933773</v>
      </c>
      <c r="F41" s="4">
        <f ca="1">F162*'Total Distance Tables Sup #1'!F41*(1+'Other Assumptions'!J$47)-(F38*'Active Mode Assumptions'!F9*'Active Mode Assumptions'!F15/(1+'Active Mode Assumptions'!F9))-(F39*'Active Mode Assumptions'!F18*'Active Mode Assumptions'!F24/(1+'Active Mode Assumptions'!F18))</f>
        <v>1603.7305202136497</v>
      </c>
      <c r="G41" s="4">
        <f ca="1">G162*'Total Distance Tables Sup #1'!G41*(1+'Other Assumptions'!K$47)-(G38*'Active Mode Assumptions'!G9*'Active Mode Assumptions'!G15/(1+'Active Mode Assumptions'!G9))-(G39*'Active Mode Assumptions'!G18*'Active Mode Assumptions'!G24/(1+'Active Mode Assumptions'!G18))</f>
        <v>1619.9778491275695</v>
      </c>
      <c r="H41" s="4">
        <f ca="1">H162*'Total Distance Tables Sup #1'!H41*(1+'Other Assumptions'!L$47)-(H38*'Active Mode Assumptions'!H9*'Active Mode Assumptions'!H15/(1+'Active Mode Assumptions'!H9))-(H39*'Active Mode Assumptions'!H18*'Active Mode Assumptions'!H24/(1+'Active Mode Assumptions'!H18))</f>
        <v>1628.7479882467203</v>
      </c>
      <c r="I41" s="1">
        <f ca="1">I162*'Total Distance Tables Sup #1'!I41*(1+'Other Assumptions'!M$47)-(I38*'Active Mode Assumptions'!I9*'Active Mode Assumptions'!I15/(1+'Active Mode Assumptions'!I9))-(I39*'Active Mode Assumptions'!I18*'Active Mode Assumptions'!I24/(1+'Active Mode Assumptions'!I18))</f>
        <v>1655.2342587875426</v>
      </c>
      <c r="J41" s="1">
        <f ca="1">J162*'Total Distance Tables Sup #1'!J41*(1+'Other Assumptions'!N$47)-(J38*'Active Mode Assumptions'!J9*'Active Mode Assumptions'!J15/(1+'Active Mode Assumptions'!J9))-(J39*'Active Mode Assumptions'!J18*'Active Mode Assumptions'!J24/(1+'Active Mode Assumptions'!J18))</f>
        <v>1676.8159514247598</v>
      </c>
      <c r="K41" s="1">
        <f ca="1">K162*'Total Distance Tables Sup #1'!K41*(1+'Other Assumptions'!O$47)-(K38*'Active Mode Assumptions'!K9*'Active Mode Assumptions'!K15/(1+'Active Mode Assumptions'!K9))-(K39*'Active Mode Assumptions'!K18*'Active Mode Assumptions'!K24/(1+'Active Mode Assumptions'!K18))</f>
        <v>1695.0462387446539</v>
      </c>
    </row>
    <row r="42" spans="1:11" x14ac:dyDescent="0.2">
      <c r="A42" t="str">
        <f ca="1">OFFSET(BOP_Reference,28,2)</f>
        <v>Taxi/Vehicle Share</v>
      </c>
      <c r="B42" s="4">
        <f ca="1">B163*'Total Distance Tables Sup #1'!B42*(1+'Other Assumptions'!D$47)</f>
        <v>0.98369936449999995</v>
      </c>
      <c r="C42" s="4">
        <f ca="1">C163*'Total Distance Tables Sup #1'!C42*(1+'Other Assumptions'!G$47)</f>
        <v>1.1448405928655205</v>
      </c>
      <c r="D42" s="4">
        <f ca="1">D163*'Total Distance Tables Sup #1'!D42*(1+'Other Assumptions'!H$47)</f>
        <v>1.2799201963946412</v>
      </c>
      <c r="E42" s="4">
        <f ca="1">E163*'Total Distance Tables Sup #1'!E42*(1+'Other Assumptions'!I$47)</f>
        <v>1.4029627773338302</v>
      </c>
      <c r="F42" s="4">
        <f ca="1">F163*'Total Distance Tables Sup #1'!F42*(1+'Other Assumptions'!J$47)</f>
        <v>1.5127608617557429</v>
      </c>
      <c r="G42" s="4">
        <f ca="1">G163*'Total Distance Tables Sup #1'!G42*(1+'Other Assumptions'!K$47)</f>
        <v>1.6014545498747748</v>
      </c>
      <c r="H42" s="4">
        <f ca="1">H163*'Total Distance Tables Sup #1'!H42*(1+'Other Assumptions'!L$47)</f>
        <v>1.6873933616005468</v>
      </c>
      <c r="I42" s="1">
        <f ca="1">I163*'Total Distance Tables Sup #1'!I42*(1+'Other Assumptions'!M$47)</f>
        <v>1.7081396081257112</v>
      </c>
      <c r="J42" s="1">
        <f ca="1">J163*'Total Distance Tables Sup #1'!J42*(1+'Other Assumptions'!N$47)</f>
        <v>1.7236263830613472</v>
      </c>
      <c r="K42" s="1">
        <f ca="1">K163*'Total Distance Tables Sup #1'!K42*(1+'Other Assumptions'!O$47)</f>
        <v>1.7355075620753722</v>
      </c>
    </row>
    <row r="43" spans="1:11" x14ac:dyDescent="0.2">
      <c r="A43" t="str">
        <f ca="1">OFFSET(BOP_Reference,35,2)</f>
        <v>Motorcyclist</v>
      </c>
      <c r="B43" s="4">
        <f ca="1">B164*'Total Distance Tables Sup #1'!B43*(1+'Other Assumptions'!D$47)</f>
        <v>35.608960758999999</v>
      </c>
      <c r="C43" s="4">
        <f ca="1">C164*'Total Distance Tables Sup #1'!C43*(1+'Other Assumptions'!G$47)</f>
        <v>39.760470256214312</v>
      </c>
      <c r="D43" s="4">
        <f ca="1">D164*'Total Distance Tables Sup #1'!D43*(1+'Other Assumptions'!H$47)</f>
        <v>42.225686600052057</v>
      </c>
      <c r="E43" s="4">
        <f ca="1">E164*'Total Distance Tables Sup #1'!E43*(1+'Other Assumptions'!I$47)</f>
        <v>43.041551574729141</v>
      </c>
      <c r="F43" s="4">
        <f ca="1">F164*'Total Distance Tables Sup #1'!F43*(1+'Other Assumptions'!J$47)</f>
        <v>43.426941077357505</v>
      </c>
      <c r="G43" s="4">
        <f ca="1">G164*'Total Distance Tables Sup #1'!G43*(1+'Other Assumptions'!K$47)</f>
        <v>43.030618577329342</v>
      </c>
      <c r="H43" s="4">
        <f ca="1">H164*'Total Distance Tables Sup #1'!H43*(1+'Other Assumptions'!L$47)</f>
        <v>42.432763012149017</v>
      </c>
      <c r="I43" s="1">
        <f ca="1">I164*'Total Distance Tables Sup #1'!I43*(1+'Other Assumptions'!M$47)</f>
        <v>43.341499316315762</v>
      </c>
      <c r="J43" s="1">
        <f ca="1">J164*'Total Distance Tables Sup #1'!J43*(1+'Other Assumptions'!N$47)</f>
        <v>44.130476703808405</v>
      </c>
      <c r="K43" s="1">
        <f ca="1">K164*'Total Distance Tables Sup #1'!K43*(1+'Other Assumptions'!O$47)</f>
        <v>44.838837421749226</v>
      </c>
    </row>
    <row r="44" spans="1:11" x14ac:dyDescent="0.2">
      <c r="A44" t="str">
        <f ca="1">OFFSET(Auckland_Reference,42,2)</f>
        <v>Local Train</v>
      </c>
      <c r="B44" s="4">
        <f ca="1">B165*'Total Distance Tables Sup #1'!B44*(1+'Other Assumptions'!D$47)</f>
        <v>0</v>
      </c>
      <c r="C44" s="4">
        <f ca="1">C165*'Total Distance Tables Sup #1'!C44*(1+'Other Assumptions'!G$47)</f>
        <v>0</v>
      </c>
      <c r="D44" s="4">
        <f ca="1">D165*'Total Distance Tables Sup #1'!D44*(1+'Other Assumptions'!H$47)</f>
        <v>0</v>
      </c>
      <c r="E44" s="4">
        <f ca="1">E165*'Total Distance Tables Sup #1'!E44*(1+'Other Assumptions'!I$47)</f>
        <v>0</v>
      </c>
      <c r="F44" s="4">
        <f ca="1">F165*'Total Distance Tables Sup #1'!F44*(1+'Other Assumptions'!J$47)</f>
        <v>0</v>
      </c>
      <c r="G44" s="4">
        <f ca="1">G165*'Total Distance Tables Sup #1'!G44*(1+'Other Assumptions'!K$47)</f>
        <v>0</v>
      </c>
      <c r="H44" s="4">
        <f ca="1">H165*'Total Distance Tables Sup #1'!H44*(1+'Other Assumptions'!L$47)</f>
        <v>0</v>
      </c>
      <c r="I44" s="1">
        <f ca="1">I165*'Total Distance Tables Sup #1'!I44*(1+'Other Assumptions'!M$47)</f>
        <v>0</v>
      </c>
      <c r="J44" s="1">
        <f ca="1">J165*'Total Distance Tables Sup #1'!J44*(1+'Other Assumptions'!N$47)</f>
        <v>0</v>
      </c>
      <c r="K44" s="1">
        <f ca="1">K165*'Total Distance Tables Sup #1'!K44*(1+'Other Assumptions'!O$47)</f>
        <v>0</v>
      </c>
    </row>
    <row r="45" spans="1:11" x14ac:dyDescent="0.2">
      <c r="A45" t="str">
        <f ca="1">OFFSET(BOP_Reference,42,2)</f>
        <v>Local Bus</v>
      </c>
      <c r="B45" s="4">
        <f ca="1">B166*'Total Distance Tables Sup #1'!B45*(1+'Other Assumptions'!D$47)</f>
        <v>52.669440211999998</v>
      </c>
      <c r="C45" s="4">
        <f ca="1">C166*'Total Distance Tables Sup #1'!C45*(1+'Other Assumptions'!G$47)</f>
        <v>52.305627781649427</v>
      </c>
      <c r="D45" s="4">
        <f ca="1">D166*'Total Distance Tables Sup #1'!D45*(1+'Other Assumptions'!H$47)</f>
        <v>51.837169649710418</v>
      </c>
      <c r="E45" s="4">
        <f ca="1">E166*'Total Distance Tables Sup #1'!E45*(1+'Other Assumptions'!I$47)</f>
        <v>51.408383135741104</v>
      </c>
      <c r="F45" s="4">
        <f ca="1">F166*'Total Distance Tables Sup #1'!F45*(1+'Other Assumptions'!J$47)</f>
        <v>50.18068741430065</v>
      </c>
      <c r="G45" s="4">
        <f ca="1">G166*'Total Distance Tables Sup #1'!G45*(1+'Other Assumptions'!K$47)</f>
        <v>49.50573027794357</v>
      </c>
      <c r="H45" s="4">
        <f ca="1">H166*'Total Distance Tables Sup #1'!H45*(1+'Other Assumptions'!L$47)</f>
        <v>48.625640799459923</v>
      </c>
      <c r="I45" s="1">
        <f ca="1">I166*'Total Distance Tables Sup #1'!I45*(1+'Other Assumptions'!M$47)</f>
        <v>49.42158092028631</v>
      </c>
      <c r="J45" s="1">
        <f ca="1">J166*'Total Distance Tables Sup #1'!J45*(1+'Other Assumptions'!N$47)</f>
        <v>50.07058720429486</v>
      </c>
      <c r="K45" s="1">
        <f ca="1">K166*'Total Distance Tables Sup #1'!K45*(1+'Other Assumptions'!O$47)</f>
        <v>50.61901056795206</v>
      </c>
    </row>
    <row r="46" spans="1:11" x14ac:dyDescent="0.2">
      <c r="A46" t="str">
        <f ca="1">OFFSET(Waikato_Reference,56,2)</f>
        <v>Local Ferry</v>
      </c>
      <c r="B46" s="4">
        <f>B167*'Total Distance Tables Sup #1'!B46*(1+'Other Assumptions'!D$47)</f>
        <v>0</v>
      </c>
      <c r="C46" s="4">
        <f ca="1">C167*'Total Distance Tables Sup #1'!C46*(1+'Other Assumptions'!G$47)</f>
        <v>0</v>
      </c>
      <c r="D46" s="4">
        <f ca="1">D167*'Total Distance Tables Sup #1'!D46*(1+'Other Assumptions'!H$47)</f>
        <v>0</v>
      </c>
      <c r="E46" s="4">
        <f ca="1">E167*'Total Distance Tables Sup #1'!E46*(1+'Other Assumptions'!I$47)</f>
        <v>0</v>
      </c>
      <c r="F46" s="4">
        <f ca="1">F167*'Total Distance Tables Sup #1'!F46*(1+'Other Assumptions'!J$47)</f>
        <v>0</v>
      </c>
      <c r="G46" s="4">
        <f ca="1">G167*'Total Distance Tables Sup #1'!G46*(1+'Other Assumptions'!K$47)</f>
        <v>0</v>
      </c>
      <c r="H46" s="4">
        <f ca="1">H167*'Total Distance Tables Sup #1'!H46*(1+'Other Assumptions'!L$47)</f>
        <v>0</v>
      </c>
      <c r="I46" s="1">
        <f ca="1">I167*'Total Distance Tables Sup #1'!I46*(1+'Other Assumptions'!M$47)</f>
        <v>0</v>
      </c>
      <c r="J46" s="1">
        <f ca="1">J167*'Total Distance Tables Sup #1'!J46*(1+'Other Assumptions'!N$47)</f>
        <v>0</v>
      </c>
      <c r="K46" s="1">
        <f ca="1">K167*'Total Distance Tables Sup #1'!K46*(1+'Other Assumptions'!O$47)</f>
        <v>0</v>
      </c>
    </row>
    <row r="47" spans="1:11" x14ac:dyDescent="0.2">
      <c r="A47" t="str">
        <f ca="1">OFFSET(BOP_Reference,49,2)</f>
        <v>Other Household Travel</v>
      </c>
      <c r="B47" s="4">
        <f ca="1">B168*'Total Distance Tables Sup #1'!B47*(1+'Other Assumptions'!D$47)</f>
        <v>0</v>
      </c>
      <c r="C47" s="4">
        <f ca="1">C168*'Total Distance Tables Sup #1'!C47*(1+'Other Assumptions'!G$47)</f>
        <v>0</v>
      </c>
      <c r="D47" s="4">
        <f ca="1">D168*'Total Distance Tables Sup #1'!D47*(1+'Other Assumptions'!H$47)</f>
        <v>0</v>
      </c>
      <c r="E47" s="4">
        <f ca="1">E168*'Total Distance Tables Sup #1'!E47*(1+'Other Assumptions'!I$47)</f>
        <v>0</v>
      </c>
      <c r="F47" s="4">
        <f ca="1">F168*'Total Distance Tables Sup #1'!F47*(1+'Other Assumptions'!J$47)</f>
        <v>0</v>
      </c>
      <c r="G47" s="4">
        <f ca="1">G168*'Total Distance Tables Sup #1'!G47*(1+'Other Assumptions'!K$47)</f>
        <v>0</v>
      </c>
      <c r="H47" s="4">
        <f ca="1">H168*'Total Distance Tables Sup #1'!H47*(1+'Other Assumptions'!L$47)</f>
        <v>0</v>
      </c>
      <c r="I47" s="1">
        <f ca="1">I168*'Total Distance Tables Sup #1'!I47*(1+'Other Assumptions'!M$47)</f>
        <v>0</v>
      </c>
      <c r="J47" s="1">
        <f ca="1">J168*'Total Distance Tables Sup #1'!J47*(1+'Other Assumptions'!N$47)</f>
        <v>0</v>
      </c>
      <c r="K47" s="1">
        <f ca="1">K168*'Total Distance Tables Sup #1'!K47*(1+'Other Assumptions'!O$47)</f>
        <v>0</v>
      </c>
    </row>
    <row r="48" spans="1:11" x14ac:dyDescent="0.2">
      <c r="A48" t="str">
        <f ca="1">OFFSET(Gisborne_Reference,0,0)</f>
        <v>05 GISBORNE</v>
      </c>
      <c r="I48" s="1"/>
      <c r="J48" s="1"/>
      <c r="K48" s="1"/>
    </row>
    <row r="49" spans="1:11" x14ac:dyDescent="0.2">
      <c r="A49" t="str">
        <f ca="1">OFFSET(Gisborne_Reference,0,2)</f>
        <v>Pedestrian</v>
      </c>
      <c r="B49" s="4">
        <f ca="1">B159*'Total Distance Tables Sup #1'!B49*(1+'Other Assumptions'!D$48)*(1+'Active Mode Assumptions'!B9)</f>
        <v>7.5635235767999998</v>
      </c>
      <c r="C49" s="4">
        <f ca="1">C159*'Total Distance Tables Sup #1'!C49*(1+'Other Assumptions'!G$48)*(1+'Active Mode Assumptions'!C9)</f>
        <v>7.7483057361249532</v>
      </c>
      <c r="D49" s="4">
        <f ca="1">D159*'Total Distance Tables Sup #1'!D49*(1+'Other Assumptions'!H$48)*(1+'Active Mode Assumptions'!D9)</f>
        <v>7.8139314398176589</v>
      </c>
      <c r="E49" s="4">
        <f ca="1">E159*'Total Distance Tables Sup #1'!E49*(1+'Other Assumptions'!I$48)*(1+'Active Mode Assumptions'!E9)</f>
        <v>7.8245827047437482</v>
      </c>
      <c r="F49" s="4">
        <f ca="1">F159*'Total Distance Tables Sup #1'!F49*(1+'Other Assumptions'!J$48)*(1+'Active Mode Assumptions'!F9)</f>
        <v>7.7557995162320852</v>
      </c>
      <c r="G49" s="4">
        <f ca="1">G159*'Total Distance Tables Sup #1'!G49*(1+'Other Assumptions'!K$48)*(1+'Active Mode Assumptions'!G9)</f>
        <v>7.6572679276929234</v>
      </c>
      <c r="H49" s="4">
        <f ca="1">H159*'Total Distance Tables Sup #1'!H49*(1+'Other Assumptions'!L$48)*(1+'Active Mode Assumptions'!H9)</f>
        <v>7.5302678914785757</v>
      </c>
      <c r="I49" s="1">
        <f ca="1">I159*'Total Distance Tables Sup #1'!I49*(1+'Other Assumptions'!M$48)*(1+'Active Mode Assumptions'!I9)</f>
        <v>7.4507310167640295</v>
      </c>
      <c r="J49" s="1">
        <f ca="1">J159*'Total Distance Tables Sup #1'!J49*(1+'Other Assumptions'!N$48)*(1+'Active Mode Assumptions'!J9)</f>
        <v>7.3486715036748196</v>
      </c>
      <c r="K49" s="1">
        <f ca="1">K159*'Total Distance Tables Sup #1'!K49*(1+'Other Assumptions'!O$48)*(1+'Active Mode Assumptions'!K9)</f>
        <v>7.2325355341563933</v>
      </c>
    </row>
    <row r="50" spans="1:11" x14ac:dyDescent="0.2">
      <c r="A50" t="str">
        <f ca="1">OFFSET(Gisborne_Reference,7,2)</f>
        <v>Cyclist</v>
      </c>
      <c r="B50" s="4">
        <f ca="1">B160*'Total Distance Tables Sup #1'!B50*(1+'Other Assumptions'!D$48)*(1+'Active Mode Assumptions'!B18)</f>
        <v>3.8031873472000002</v>
      </c>
      <c r="C50" s="4">
        <f ca="1">C160*'Total Distance Tables Sup #1'!C50*(1+'Other Assumptions'!G$48)*(1+'Active Mode Assumptions'!C18)</f>
        <v>4.0360119487868724</v>
      </c>
      <c r="D50" s="4">
        <f ca="1">D160*'Total Distance Tables Sup #1'!D50*(1+'Other Assumptions'!H$48)*(1+'Active Mode Assumptions'!D18)</f>
        <v>4.1328378012100986</v>
      </c>
      <c r="E50" s="4">
        <f ca="1">E160*'Total Distance Tables Sup #1'!E50*(1+'Other Assumptions'!I$48)*(1+'Active Mode Assumptions'!E18)</f>
        <v>4.1380607702173586</v>
      </c>
      <c r="F50" s="4">
        <f ca="1">F160*'Total Distance Tables Sup #1'!F50*(1+'Other Assumptions'!J$48)*(1+'Active Mode Assumptions'!F18)</f>
        <v>4.1821652572443933</v>
      </c>
      <c r="G50" s="4">
        <f ca="1">G160*'Total Distance Tables Sup #1'!G50*(1+'Other Assumptions'!K$48)*(1+'Active Mode Assumptions'!G18)</f>
        <v>4.2686592243379415</v>
      </c>
      <c r="H50" s="4">
        <f ca="1">H160*'Total Distance Tables Sup #1'!H50*(1+'Other Assumptions'!L$48)*(1+'Active Mode Assumptions'!H18)</f>
        <v>4.3454456024963388</v>
      </c>
      <c r="I50" s="1">
        <f ca="1">I160*'Total Distance Tables Sup #1'!I50*(1+'Other Assumptions'!M$48)*(1+'Active Mode Assumptions'!I18)</f>
        <v>4.3197479238772702</v>
      </c>
      <c r="J50" s="1">
        <f ca="1">J160*'Total Distance Tables Sup #1'!J50*(1+'Other Assumptions'!N$48)*(1+'Active Mode Assumptions'!J18)</f>
        <v>4.2807883328472531</v>
      </c>
      <c r="K50" s="1">
        <f ca="1">K160*'Total Distance Tables Sup #1'!K50*(1+'Other Assumptions'!O$48)*(1+'Active Mode Assumptions'!K18)</f>
        <v>4.2333108264821719</v>
      </c>
    </row>
    <row r="51" spans="1:11" x14ac:dyDescent="0.2">
      <c r="A51" t="str">
        <f ca="1">OFFSET(Gisborne_Reference,14,2)</f>
        <v>Light Vehicle Driver</v>
      </c>
      <c r="B51" s="4">
        <f ca="1">B161*'Total Distance Tables Sup #1'!B51*(1+'Other Assumptions'!D$48)-(B49*'Active Mode Assumptions'!B9*'Active Mode Assumptions'!B14/(1+'Active Mode Assumptions'!B9))-(B50*'Active Mode Assumptions'!B18*'Active Mode Assumptions'!B23/(1+'Active Mode Assumptions'!B18))</f>
        <v>241.40144318</v>
      </c>
      <c r="C51" s="4">
        <f ca="1">C161*'Total Distance Tables Sup #1'!C51*(1+'Other Assumptions'!G$48)-(C49*'Active Mode Assumptions'!C9*'Active Mode Assumptions'!C14/(1+'Active Mode Assumptions'!C9))-(C50*'Active Mode Assumptions'!C18*'Active Mode Assumptions'!C23/(1+'Active Mode Assumptions'!C18))</f>
        <v>256.38669616322198</v>
      </c>
      <c r="D51" s="4">
        <f ca="1">D161*'Total Distance Tables Sup #1'!D51*(1+'Other Assumptions'!H$48)-(D49*'Active Mode Assumptions'!D9*'Active Mode Assumptions'!D14/(1+'Active Mode Assumptions'!D9))-(D50*'Active Mode Assumptions'!D18*'Active Mode Assumptions'!D23/(1+'Active Mode Assumptions'!D18))</f>
        <v>264.74006817017136</v>
      </c>
      <c r="E51" s="4">
        <f ca="1">E161*'Total Distance Tables Sup #1'!E51*(1+'Other Assumptions'!I$48)-(E49*'Active Mode Assumptions'!E9*'Active Mode Assumptions'!E14/(1+'Active Mode Assumptions'!E9))-(E50*'Active Mode Assumptions'!E18*'Active Mode Assumptions'!E23/(1+'Active Mode Assumptions'!E18))</f>
        <v>268.40943379854241</v>
      </c>
      <c r="F51" s="4">
        <f ca="1">F161*'Total Distance Tables Sup #1'!F51*(1+'Other Assumptions'!J$48)-(F49*'Active Mode Assumptions'!F9*'Active Mode Assumptions'!F14/(1+'Active Mode Assumptions'!F9))-(F50*'Active Mode Assumptions'!F18*'Active Mode Assumptions'!F23/(1+'Active Mode Assumptions'!F18))</f>
        <v>270.78594646311495</v>
      </c>
      <c r="G51" s="4">
        <f ca="1">G161*'Total Distance Tables Sup #1'!G51*(1+'Other Assumptions'!K$48)-(G49*'Active Mode Assumptions'!G9*'Active Mode Assumptions'!G14/(1+'Active Mode Assumptions'!G9))-(G50*'Active Mode Assumptions'!G18*'Active Mode Assumptions'!G23/(1+'Active Mode Assumptions'!G18))</f>
        <v>270.06556219753651</v>
      </c>
      <c r="H51" s="4">
        <f ca="1">H161*'Total Distance Tables Sup #1'!H51*(1+'Other Assumptions'!L$48)-(H49*'Active Mode Assumptions'!H9*'Active Mode Assumptions'!H14/(1+'Active Mode Assumptions'!H9))-(H50*'Active Mode Assumptions'!H18*'Active Mode Assumptions'!H23/(1+'Active Mode Assumptions'!H18))</f>
        <v>268.39499974728875</v>
      </c>
      <c r="I51" s="1">
        <f ca="1">I161*'Total Distance Tables Sup #1'!I51*(1+'Other Assumptions'!M$48)-(I49*'Active Mode Assumptions'!I9*'Active Mode Assumptions'!I14/(1+'Active Mode Assumptions'!I9))-(I50*'Active Mode Assumptions'!I18*'Active Mode Assumptions'!I23/(1+'Active Mode Assumptions'!I18))</f>
        <v>266.0755517900505</v>
      </c>
      <c r="J51" s="1">
        <f ca="1">J161*'Total Distance Tables Sup #1'!J51*(1+'Other Assumptions'!N$48)-(J49*'Active Mode Assumptions'!J9*'Active Mode Assumptions'!J14/(1+'Active Mode Assumptions'!J9))-(J50*'Active Mode Assumptions'!J18*'Active Mode Assumptions'!J23/(1+'Active Mode Assumptions'!J18))</f>
        <v>262.93857886009886</v>
      </c>
      <c r="K51" s="1">
        <f ca="1">K161*'Total Distance Tables Sup #1'!K51*(1+'Other Assumptions'!O$48)-(K49*'Active Mode Assumptions'!K9*'Active Mode Assumptions'!K14/(1+'Active Mode Assumptions'!K9))-(K50*'Active Mode Assumptions'!K18*'Active Mode Assumptions'!K23/(1+'Active Mode Assumptions'!K18))</f>
        <v>259.28211754252322</v>
      </c>
    </row>
    <row r="52" spans="1:11" x14ac:dyDescent="0.2">
      <c r="A52" t="str">
        <f ca="1">OFFSET(Gisborne_Reference,21,2)</f>
        <v>Light Vehicle Passenger</v>
      </c>
      <c r="B52" s="4">
        <f ca="1">B162*'Total Distance Tables Sup #1'!B52*(1+'Other Assumptions'!D$48)-(B49*'Active Mode Assumptions'!B9*'Active Mode Assumptions'!B15/(1+'Active Mode Assumptions'!B9))-(B50*'Active Mode Assumptions'!B18*'Active Mode Assumptions'!B24/(1+'Active Mode Assumptions'!B18))</f>
        <v>174.74236519999999</v>
      </c>
      <c r="C52" s="4">
        <f ca="1">C162*'Total Distance Tables Sup #1'!C52*(1+'Other Assumptions'!G$48)-(C49*'Active Mode Assumptions'!C9*'Active Mode Assumptions'!C15/(1+'Active Mode Assumptions'!C9))-(C50*'Active Mode Assumptions'!C18*'Active Mode Assumptions'!C24/(1+'Active Mode Assumptions'!C18))</f>
        <v>178.1120782795166</v>
      </c>
      <c r="D52" s="4">
        <f ca="1">D162*'Total Distance Tables Sup #1'!D52*(1+'Other Assumptions'!H$48)-(D49*'Active Mode Assumptions'!D9*'Active Mode Assumptions'!D15/(1+'Active Mode Assumptions'!D9))-(D50*'Active Mode Assumptions'!D18*'Active Mode Assumptions'!D24/(1+'Active Mode Assumptions'!D18))</f>
        <v>179.66106374071808</v>
      </c>
      <c r="E52" s="4">
        <f ca="1">E162*'Total Distance Tables Sup #1'!E52*(1+'Other Assumptions'!I$48)-(E49*'Active Mode Assumptions'!E9*'Active Mode Assumptions'!E15/(1+'Active Mode Assumptions'!E9))-(E50*'Active Mode Assumptions'!E18*'Active Mode Assumptions'!E24/(1+'Active Mode Assumptions'!E18))</f>
        <v>179.6496139450513</v>
      </c>
      <c r="F52" s="4">
        <f ca="1">F162*'Total Distance Tables Sup #1'!F52*(1+'Other Assumptions'!J$48)-(F49*'Active Mode Assumptions'!F9*'Active Mode Assumptions'!F15/(1+'Active Mode Assumptions'!F9))-(F50*'Active Mode Assumptions'!F18*'Active Mode Assumptions'!F24/(1+'Active Mode Assumptions'!F18))</f>
        <v>178.42574860729462</v>
      </c>
      <c r="G52" s="4">
        <f ca="1">G162*'Total Distance Tables Sup #1'!G52*(1+'Other Assumptions'!K$48)-(G49*'Active Mode Assumptions'!G9*'Active Mode Assumptions'!G15/(1+'Active Mode Assumptions'!G9))-(G50*'Active Mode Assumptions'!G18*'Active Mode Assumptions'!G24/(1+'Active Mode Assumptions'!G18))</f>
        <v>175.98614567836606</v>
      </c>
      <c r="H52" s="4">
        <f ca="1">H162*'Total Distance Tables Sup #1'!H52*(1+'Other Assumptions'!L$48)-(H49*'Active Mode Assumptions'!H9*'Active Mode Assumptions'!H15/(1+'Active Mode Assumptions'!H9))-(H50*'Active Mode Assumptions'!H18*'Active Mode Assumptions'!H24/(1+'Active Mode Assumptions'!H18))</f>
        <v>172.79322351581948</v>
      </c>
      <c r="I52" s="1">
        <f ca="1">I162*'Total Distance Tables Sup #1'!I52*(1+'Other Assumptions'!M$48)-(I49*'Active Mode Assumptions'!I9*'Active Mode Assumptions'!I15/(1+'Active Mode Assumptions'!I9))-(I50*'Active Mode Assumptions'!I18*'Active Mode Assumptions'!I24/(1+'Active Mode Assumptions'!I18))</f>
        <v>171.48877242275728</v>
      </c>
      <c r="J52" s="1">
        <f ca="1">J162*'Total Distance Tables Sup #1'!J52*(1+'Other Assumptions'!N$48)-(J49*'Active Mode Assumptions'!J9*'Active Mode Assumptions'!J15/(1+'Active Mode Assumptions'!J9))-(J50*'Active Mode Assumptions'!J18*'Active Mode Assumptions'!J24/(1+'Active Mode Assumptions'!J18))</f>
        <v>169.6543628804616</v>
      </c>
      <c r="K52" s="1">
        <f ca="1">K162*'Total Distance Tables Sup #1'!K52*(1+'Other Assumptions'!O$48)-(K49*'Active Mode Assumptions'!K9*'Active Mode Assumptions'!K15/(1+'Active Mode Assumptions'!K9))-(K50*'Active Mode Assumptions'!K18*'Active Mode Assumptions'!K24/(1+'Active Mode Assumptions'!K18))</f>
        <v>167.48063402015356</v>
      </c>
    </row>
    <row r="53" spans="1:11" x14ac:dyDescent="0.2">
      <c r="A53" t="str">
        <f ca="1">OFFSET(Gisborne_Reference,28,2)</f>
        <v>Taxi/Vehicle Share</v>
      </c>
      <c r="B53" s="4">
        <f ca="1">B163*'Total Distance Tables Sup #1'!B53*(1+'Other Assumptions'!D$48)</f>
        <v>0.1174510768</v>
      </c>
      <c r="C53" s="4">
        <f ca="1">C163*'Total Distance Tables Sup #1'!C53*(1+'Other Assumptions'!G$48)</f>
        <v>0.12999219689436925</v>
      </c>
      <c r="D53" s="4">
        <f ca="1">D163*'Total Distance Tables Sup #1'!D53*(1+'Other Assumptions'!H$48)</f>
        <v>0.14109967137812021</v>
      </c>
      <c r="E53" s="4">
        <f ca="1">E163*'Total Distance Tables Sup #1'!E53*(1+'Other Assumptions'!I$48)</f>
        <v>0.15113140580771584</v>
      </c>
      <c r="F53" s="4">
        <f ca="1">F163*'Total Distance Tables Sup #1'!F53*(1+'Other Assumptions'!J$48)</f>
        <v>0.1592999528845998</v>
      </c>
      <c r="G53" s="4">
        <f ca="1">G163*'Total Distance Tables Sup #1'!G53*(1+'Other Assumptions'!K$48)</f>
        <v>0.16466574195981762</v>
      </c>
      <c r="H53" s="4">
        <f ca="1">H163*'Total Distance Tables Sup #1'!H53*(1+'Other Assumptions'!L$48)</f>
        <v>0.16943705123144168</v>
      </c>
      <c r="I53" s="1">
        <f ca="1">I163*'Total Distance Tables Sup #1'!I53*(1+'Other Assumptions'!M$48)</f>
        <v>0.16750154698271474</v>
      </c>
      <c r="J53" s="1">
        <f ca="1">J163*'Total Distance Tables Sup #1'!J53*(1+'Other Assumptions'!N$48)</f>
        <v>0.16506006167731901</v>
      </c>
      <c r="K53" s="1">
        <f ca="1">K163*'Total Distance Tables Sup #1'!K53*(1+'Other Assumptions'!O$48)</f>
        <v>0.1623038385080337</v>
      </c>
    </row>
    <row r="54" spans="1:11" x14ac:dyDescent="0.2">
      <c r="A54" t="str">
        <f ca="1">OFFSET(Gisborne_Reference,35,2)</f>
        <v>Motorcyclist</v>
      </c>
      <c r="B54" s="4">
        <f ca="1">B164*'Total Distance Tables Sup #1'!B54*(1+'Other Assumptions'!D$48)</f>
        <v>0.95186353219999997</v>
      </c>
      <c r="C54" s="4">
        <f ca="1">C164*'Total Distance Tables Sup #1'!C54*(1+'Other Assumptions'!G$48)</f>
        <v>1.0107518694816831</v>
      </c>
      <c r="D54" s="4">
        <f ca="1">D164*'Total Distance Tables Sup #1'!D54*(1+'Other Assumptions'!H$48)</f>
        <v>1.0421748962122819</v>
      </c>
      <c r="E54" s="4">
        <f ca="1">E164*'Total Distance Tables Sup #1'!E54*(1+'Other Assumptions'!I$48)</f>
        <v>1.0380476016591977</v>
      </c>
      <c r="F54" s="4">
        <f ca="1">F164*'Total Distance Tables Sup #1'!F54*(1+'Other Assumptions'!J$48)</f>
        <v>1.023824185034113</v>
      </c>
      <c r="G54" s="4">
        <f ca="1">G164*'Total Distance Tables Sup #1'!G54*(1+'Other Assumptions'!K$48)</f>
        <v>0.99057418172506617</v>
      </c>
      <c r="H54" s="4">
        <f ca="1">H164*'Total Distance Tables Sup #1'!H54*(1+'Other Assumptions'!L$48)</f>
        <v>0.953924795672348</v>
      </c>
      <c r="I54" s="1">
        <f ca="1">I164*'Total Distance Tables Sup #1'!I54*(1+'Other Assumptions'!M$48)</f>
        <v>0.95152492160407331</v>
      </c>
      <c r="J54" s="1">
        <f ca="1">J164*'Total Distance Tables Sup #1'!J54*(1+'Other Assumptions'!N$48)</f>
        <v>0.94614623645549989</v>
      </c>
      <c r="K54" s="1">
        <f ca="1">K164*'Total Distance Tables Sup #1'!K54*(1+'Other Assumptions'!O$48)</f>
        <v>0.93880934049183107</v>
      </c>
    </row>
    <row r="55" spans="1:11" x14ac:dyDescent="0.2">
      <c r="A55" t="str">
        <f ca="1">OFFSET(Gisborne_Reference,42,2)</f>
        <v>Local Train</v>
      </c>
      <c r="B55" s="4">
        <f ca="1">B165*'Total Distance Tables Sup #1'!B55*(1+'Other Assumptions'!D$48)</f>
        <v>0</v>
      </c>
      <c r="C55" s="4">
        <f ca="1">C165*'Total Distance Tables Sup #1'!C55*(1+'Other Assumptions'!G$48)</f>
        <v>0</v>
      </c>
      <c r="D55" s="4">
        <f ca="1">D165*'Total Distance Tables Sup #1'!D55*(1+'Other Assumptions'!H$48)</f>
        <v>0</v>
      </c>
      <c r="E55" s="4">
        <f ca="1">E165*'Total Distance Tables Sup #1'!E55*(1+'Other Assumptions'!I$48)</f>
        <v>0</v>
      </c>
      <c r="F55" s="4">
        <f ca="1">F165*'Total Distance Tables Sup #1'!F55*(1+'Other Assumptions'!J$48)</f>
        <v>0</v>
      </c>
      <c r="G55" s="4">
        <f ca="1">G165*'Total Distance Tables Sup #1'!G55*(1+'Other Assumptions'!K$48)</f>
        <v>0</v>
      </c>
      <c r="H55" s="4">
        <f ca="1">H165*'Total Distance Tables Sup #1'!H55*(1+'Other Assumptions'!L$48)</f>
        <v>0</v>
      </c>
      <c r="I55" s="1">
        <f ca="1">I165*'Total Distance Tables Sup #1'!I55*(1+'Other Assumptions'!M$48)</f>
        <v>0</v>
      </c>
      <c r="J55" s="1">
        <f ca="1">J165*'Total Distance Tables Sup #1'!J55*(1+'Other Assumptions'!N$48)</f>
        <v>0</v>
      </c>
      <c r="K55" s="1">
        <f ca="1">K165*'Total Distance Tables Sup #1'!K55*(1+'Other Assumptions'!O$48)</f>
        <v>0</v>
      </c>
    </row>
    <row r="56" spans="1:11" x14ac:dyDescent="0.2">
      <c r="A56" t="str">
        <f ca="1">OFFSET(Gisborne_Reference,49,2)</f>
        <v>Local Bus</v>
      </c>
      <c r="B56" s="4">
        <f ca="1">B166*'Total Distance Tables Sup #1'!B56*(1+'Other Assumptions'!D$48)</f>
        <v>4.8778387282000004</v>
      </c>
      <c r="C56" s="4">
        <f ca="1">C166*'Total Distance Tables Sup #1'!C56*(1+'Other Assumptions'!G$48)</f>
        <v>4.6067517078632774</v>
      </c>
      <c r="D56" s="4">
        <f ca="1">D166*'Total Distance Tables Sup #1'!D56*(1+'Other Assumptions'!H$48)</f>
        <v>4.4325997123120198</v>
      </c>
      <c r="E56" s="4">
        <f ca="1">E166*'Total Distance Tables Sup #1'!E56*(1+'Other Assumptions'!I$48)</f>
        <v>4.2955288609824418</v>
      </c>
      <c r="F56" s="4">
        <f ca="1">F166*'Total Distance Tables Sup #1'!F56*(1+'Other Assumptions'!J$48)</f>
        <v>4.0987940470971456</v>
      </c>
      <c r="G56" s="4">
        <f ca="1">G166*'Total Distance Tables Sup #1'!G56*(1+'Other Assumptions'!K$48)</f>
        <v>3.948373532762397</v>
      </c>
      <c r="H56" s="4">
        <f ca="1">H166*'Total Distance Tables Sup #1'!H56*(1+'Other Assumptions'!L$48)</f>
        <v>3.7873157074021599</v>
      </c>
      <c r="I56" s="1">
        <f ca="1">I166*'Total Distance Tables Sup #1'!I56*(1+'Other Assumptions'!M$48)</f>
        <v>3.7591202273158206</v>
      </c>
      <c r="J56" s="1">
        <f ca="1">J166*'Total Distance Tables Sup #1'!J56*(1+'Other Assumptions'!N$48)</f>
        <v>3.7192526197681022</v>
      </c>
      <c r="K56" s="1">
        <f ca="1">K166*'Total Distance Tables Sup #1'!K56*(1+'Other Assumptions'!O$48)</f>
        <v>3.6718933244308287</v>
      </c>
    </row>
    <row r="57" spans="1:11" x14ac:dyDescent="0.2">
      <c r="A57" t="str">
        <f ca="1">OFFSET(Gisborne_Reference,56,2)</f>
        <v>Local Ferry</v>
      </c>
      <c r="B57" s="4">
        <f ca="1">B167*'Total Distance Tables Sup #1'!B57*(1+'Other Assumptions'!D$48)</f>
        <v>0</v>
      </c>
      <c r="C57" s="4">
        <f ca="1">C167*'Total Distance Tables Sup #1'!C57*(1+'Other Assumptions'!G$48)</f>
        <v>0</v>
      </c>
      <c r="D57" s="4">
        <f ca="1">D167*'Total Distance Tables Sup #1'!D57*(1+'Other Assumptions'!H$48)</f>
        <v>0</v>
      </c>
      <c r="E57" s="4">
        <f ca="1">E167*'Total Distance Tables Sup #1'!E57*(1+'Other Assumptions'!I$48)</f>
        <v>0</v>
      </c>
      <c r="F57" s="4">
        <f ca="1">F167*'Total Distance Tables Sup #1'!F57*(1+'Other Assumptions'!J$48)</f>
        <v>0</v>
      </c>
      <c r="G57" s="4">
        <f ca="1">G167*'Total Distance Tables Sup #1'!G57*(1+'Other Assumptions'!K$48)</f>
        <v>0</v>
      </c>
      <c r="H57" s="4">
        <f ca="1">H167*'Total Distance Tables Sup #1'!H57*(1+'Other Assumptions'!L$48)</f>
        <v>0</v>
      </c>
      <c r="I57" s="1">
        <f ca="1">I167*'Total Distance Tables Sup #1'!I57*(1+'Other Assumptions'!M$48)</f>
        <v>0</v>
      </c>
      <c r="J57" s="1">
        <f ca="1">J167*'Total Distance Tables Sup #1'!J57*(1+'Other Assumptions'!N$48)</f>
        <v>0</v>
      </c>
      <c r="K57" s="1">
        <f ca="1">K167*'Total Distance Tables Sup #1'!K57*(1+'Other Assumptions'!O$48)</f>
        <v>0</v>
      </c>
    </row>
    <row r="58" spans="1:11" x14ac:dyDescent="0.2">
      <c r="A58" t="str">
        <f ca="1">OFFSET(Gisborne_Reference,63,2)</f>
        <v>Other Household Travel</v>
      </c>
      <c r="B58" s="4">
        <f ca="1">B168*'Total Distance Tables Sup #1'!B58*(1+'Other Assumptions'!D$48)</f>
        <v>0</v>
      </c>
      <c r="C58" s="4">
        <f ca="1">C168*'Total Distance Tables Sup #1'!C58*(1+'Other Assumptions'!G$48)</f>
        <v>0</v>
      </c>
      <c r="D58" s="4">
        <f ca="1">D168*'Total Distance Tables Sup #1'!D58*(1+'Other Assumptions'!H$48)</f>
        <v>0</v>
      </c>
      <c r="E58" s="4">
        <f ca="1">E168*'Total Distance Tables Sup #1'!E58*(1+'Other Assumptions'!I$48)</f>
        <v>0</v>
      </c>
      <c r="F58" s="4">
        <f ca="1">F168*'Total Distance Tables Sup #1'!F58*(1+'Other Assumptions'!J$48)</f>
        <v>0</v>
      </c>
      <c r="G58" s="4">
        <f ca="1">G168*'Total Distance Tables Sup #1'!G58*(1+'Other Assumptions'!K$48)</f>
        <v>0</v>
      </c>
      <c r="H58" s="4">
        <f ca="1">H168*'Total Distance Tables Sup #1'!H58*(1+'Other Assumptions'!L$48)</f>
        <v>0</v>
      </c>
      <c r="I58" s="1">
        <f ca="1">I168*'Total Distance Tables Sup #1'!I58*(1+'Other Assumptions'!M$48)</f>
        <v>0</v>
      </c>
      <c r="J58" s="1">
        <f ca="1">J168*'Total Distance Tables Sup #1'!J58*(1+'Other Assumptions'!N$48)</f>
        <v>0</v>
      </c>
      <c r="K58" s="1">
        <f ca="1">K168*'Total Distance Tables Sup #1'!K58*(1+'Other Assumptions'!O$48)</f>
        <v>0</v>
      </c>
    </row>
    <row r="59" spans="1:11" x14ac:dyDescent="0.2">
      <c r="A59" t="str">
        <f ca="1">OFFSET(Hawkes_Bay_Reference,0,0)</f>
        <v>06 HAWKE`S BAY</v>
      </c>
      <c r="I59" s="1"/>
      <c r="J59" s="1"/>
      <c r="K59" s="1"/>
    </row>
    <row r="60" spans="1:11" x14ac:dyDescent="0.2">
      <c r="A60" t="str">
        <f ca="1">OFFSET(Hawkes_Bay_Reference,0,2)</f>
        <v>Pedestrian</v>
      </c>
      <c r="B60" s="4">
        <f ca="1">B159*'Total Distance Tables Sup #1'!B60*(1+'Other Assumptions'!D$49)*(1+'Active Mode Assumptions'!B9)</f>
        <v>22.691613215</v>
      </c>
      <c r="C60" s="4">
        <f ca="1">C159*'Total Distance Tables Sup #1'!C60*(1+'Other Assumptions'!G$49)*(1+'Active Mode Assumptions'!C9)</f>
        <v>23.396751892976802</v>
      </c>
      <c r="D60" s="4">
        <f ca="1">D159*'Total Distance Tables Sup #1'!D60*(1+'Other Assumptions'!H$49)*(1+'Active Mode Assumptions'!D9)</f>
        <v>23.630890041897796</v>
      </c>
      <c r="E60" s="4">
        <f ca="1">E159*'Total Distance Tables Sup #1'!E60*(1+'Other Assumptions'!I$49)*(1+'Active Mode Assumptions'!E9)</f>
        <v>23.728295277885362</v>
      </c>
      <c r="F60" s="4">
        <f ca="1">F159*'Total Distance Tables Sup #1'!F60*(1+'Other Assumptions'!J$49)*(1+'Active Mode Assumptions'!F9)</f>
        <v>23.558320604470577</v>
      </c>
      <c r="G60" s="4">
        <f ca="1">G159*'Total Distance Tables Sup #1'!G60*(1+'Other Assumptions'!K$49)*(1+'Active Mode Assumptions'!G9)</f>
        <v>23.332588513141271</v>
      </c>
      <c r="H60" s="4">
        <f ca="1">H159*'Total Distance Tables Sup #1'!H60*(1+'Other Assumptions'!L$49)*(1+'Active Mode Assumptions'!H9)</f>
        <v>23.002748209148912</v>
      </c>
      <c r="I60" s="1">
        <f ca="1">I159*'Total Distance Tables Sup #1'!I60*(1+'Other Assumptions'!M$49)*(1+'Active Mode Assumptions'!I9)</f>
        <v>22.816467366390501</v>
      </c>
      <c r="J60" s="1">
        <f ca="1">J159*'Total Distance Tables Sup #1'!J60*(1+'Other Assumptions'!N$49)*(1+'Active Mode Assumptions'!J9)</f>
        <v>22.559972908378807</v>
      </c>
      <c r="K60" s="1">
        <f ca="1">K159*'Total Distance Tables Sup #1'!K60*(1+'Other Assumptions'!O$49)*(1+'Active Mode Assumptions'!K9)</f>
        <v>22.25873791454292</v>
      </c>
    </row>
    <row r="61" spans="1:11" x14ac:dyDescent="0.2">
      <c r="A61" t="str">
        <f ca="1">OFFSET(Hawkes_Bay_Reference,7,2)</f>
        <v>Cyclist</v>
      </c>
      <c r="B61" s="4">
        <f ca="1">B160*'Total Distance Tables Sup #1'!B61*(1+'Other Assumptions'!D$49)*(1+'Active Mode Assumptions'!B18)</f>
        <v>9.5482363540000001</v>
      </c>
      <c r="C61" s="4">
        <f ca="1">C160*'Total Distance Tables Sup #1'!C61*(1+'Other Assumptions'!G$49)*(1+'Active Mode Assumptions'!C18)</f>
        <v>10.198481162884152</v>
      </c>
      <c r="D61" s="4">
        <f ca="1">D160*'Total Distance Tables Sup #1'!D61*(1+'Other Assumptions'!H$49)*(1+'Active Mode Assumptions'!D18)</f>
        <v>10.459070205781506</v>
      </c>
      <c r="E61" s="4">
        <f ca="1">E160*'Total Distance Tables Sup #1'!E61*(1+'Other Assumptions'!I$49)*(1+'Active Mode Assumptions'!E18)</f>
        <v>10.501140063736734</v>
      </c>
      <c r="F61" s="4">
        <f ca="1">F160*'Total Distance Tables Sup #1'!F61*(1+'Other Assumptions'!J$49)*(1+'Active Mode Assumptions'!F18)</f>
        <v>10.630487409474069</v>
      </c>
      <c r="G61" s="4">
        <f ca="1">G160*'Total Distance Tables Sup #1'!G61*(1+'Other Assumptions'!K$49)*(1+'Active Mode Assumptions'!G18)</f>
        <v>10.884658261425026</v>
      </c>
      <c r="H61" s="4">
        <f ca="1">H160*'Total Distance Tables Sup #1'!H61*(1+'Other Assumptions'!L$49)*(1+'Active Mode Assumptions'!H18)</f>
        <v>11.108050633247304</v>
      </c>
      <c r="I61" s="1">
        <f ca="1">I160*'Total Distance Tables Sup #1'!I61*(1+'Other Assumptions'!M$49)*(1+'Active Mode Assumptions'!I18)</f>
        <v>11.069860751549541</v>
      </c>
      <c r="J61" s="1">
        <f ca="1">J160*'Total Distance Tables Sup #1'!J61*(1+'Other Assumptions'!N$49)*(1+'Active Mode Assumptions'!J18)</f>
        <v>10.99734191845684</v>
      </c>
      <c r="K61" s="1">
        <f ca="1">K160*'Total Distance Tables Sup #1'!K61*(1+'Other Assumptions'!O$49)*(1+'Active Mode Assumptions'!K18)</f>
        <v>10.902456214233379</v>
      </c>
    </row>
    <row r="62" spans="1:11" x14ac:dyDescent="0.2">
      <c r="A62" t="str">
        <f ca="1">OFFSET(Hawkes_Bay_Reference,14,2)</f>
        <v>Light Vehicle Driver</v>
      </c>
      <c r="B62" s="4">
        <f ca="1">B161*'Total Distance Tables Sup #1'!B62*(1+'Other Assumptions'!D$49)-(B60*'Active Mode Assumptions'!B9*'Active Mode Assumptions'!B14/(1+'Active Mode Assumptions'!B9))-(B61*'Active Mode Assumptions'!B18*'Active Mode Assumptions'!B23/(1+'Active Mode Assumptions'!B18))</f>
        <v>1001.7566771</v>
      </c>
      <c r="C62" s="4">
        <f ca="1">C161*'Total Distance Tables Sup #1'!C62*(1+'Other Assumptions'!G$49)-(C60*'Active Mode Assumptions'!C9*'Active Mode Assumptions'!C14/(1+'Active Mode Assumptions'!C9))-(C61*'Active Mode Assumptions'!C18*'Active Mode Assumptions'!C23/(1+'Active Mode Assumptions'!C18))</f>
        <v>1070.8422136513325</v>
      </c>
      <c r="D62" s="4">
        <f ca="1">D161*'Total Distance Tables Sup #1'!D62*(1+'Other Assumptions'!H$49)-(D60*'Active Mode Assumptions'!D9*'Active Mode Assumptions'!D14/(1+'Active Mode Assumptions'!D9))-(D61*'Active Mode Assumptions'!D18*'Active Mode Assumptions'!D23/(1+'Active Mode Assumptions'!D18))</f>
        <v>1107.4173817181668</v>
      </c>
      <c r="E62" s="4">
        <f ca="1">E161*'Total Distance Tables Sup #1'!E62*(1+'Other Assumptions'!I$49)-(E60*'Active Mode Assumptions'!E9*'Active Mode Assumptions'!E14/(1+'Active Mode Assumptions'!E9))-(E61*'Active Mode Assumptions'!E18*'Active Mode Assumptions'!E23/(1+'Active Mode Assumptions'!E18))</f>
        <v>1125.8597810845124</v>
      </c>
      <c r="F62" s="4">
        <f ca="1">F161*'Total Distance Tables Sup #1'!F62*(1+'Other Assumptions'!J$49)-(F60*'Active Mode Assumptions'!F9*'Active Mode Assumptions'!F14/(1+'Active Mode Assumptions'!F9))-(F61*'Active Mode Assumptions'!F18*'Active Mode Assumptions'!F23/(1+'Active Mode Assumptions'!F18))</f>
        <v>1137.6929087028041</v>
      </c>
      <c r="G62" s="4">
        <f ca="1">G161*'Total Distance Tables Sup #1'!G62*(1+'Other Assumptions'!K$49)-(G60*'Active Mode Assumptions'!G9*'Active Mode Assumptions'!G14/(1+'Active Mode Assumptions'!G9))-(G61*'Active Mode Assumptions'!G18*'Active Mode Assumptions'!G23/(1+'Active Mode Assumptions'!G18))</f>
        <v>1138.2547286617348</v>
      </c>
      <c r="H62" s="4">
        <f ca="1">H161*'Total Distance Tables Sup #1'!H62*(1+'Other Assumptions'!L$49)-(H60*'Active Mode Assumptions'!H9*'Active Mode Assumptions'!H14/(1+'Active Mode Assumptions'!H9))-(H61*'Active Mode Assumptions'!H18*'Active Mode Assumptions'!H23/(1+'Active Mode Assumptions'!H18))</f>
        <v>1134.0309200321788</v>
      </c>
      <c r="I62" s="1">
        <f ca="1">I161*'Total Distance Tables Sup #1'!I62*(1+'Other Assumptions'!M$49)-(I60*'Active Mode Assumptions'!I9*'Active Mode Assumptions'!I14/(1+'Active Mode Assumptions'!I9))-(I61*'Active Mode Assumptions'!I18*'Active Mode Assumptions'!I23/(1+'Active Mode Assumptions'!I18))</f>
        <v>1127.0304947989191</v>
      </c>
      <c r="J62" s="1">
        <f ca="1">J161*'Total Distance Tables Sup #1'!J62*(1+'Other Assumptions'!N$49)-(J60*'Active Mode Assumptions'!J9*'Active Mode Assumptions'!J14/(1+'Active Mode Assumptions'!J9))-(J61*'Active Mode Assumptions'!J18*'Active Mode Assumptions'!J23/(1+'Active Mode Assumptions'!J18))</f>
        <v>1116.5167103526528</v>
      </c>
      <c r="K62" s="1">
        <f ca="1">K161*'Total Distance Tables Sup #1'!K62*(1+'Other Assumptions'!O$49)-(K60*'Active Mode Assumptions'!K9*'Active Mode Assumptions'!K14/(1+'Active Mode Assumptions'!K9))-(K61*'Active Mode Assumptions'!K18*'Active Mode Assumptions'!K23/(1+'Active Mode Assumptions'!K18))</f>
        <v>1103.7321706889609</v>
      </c>
    </row>
    <row r="63" spans="1:11" x14ac:dyDescent="0.2">
      <c r="A63" t="str">
        <f ca="1">OFFSET(Hawkes_Bay_Reference,21,2)</f>
        <v>Light Vehicle Passenger</v>
      </c>
      <c r="B63" s="4">
        <f ca="1">B162*'Total Distance Tables Sup #1'!B63*(1+'Other Assumptions'!D$49)-(B60*'Active Mode Assumptions'!B9*'Active Mode Assumptions'!B15/(1+'Active Mode Assumptions'!B9))-(B61*'Active Mode Assumptions'!B18*'Active Mode Assumptions'!B24/(1+'Active Mode Assumptions'!B18))</f>
        <v>607.82570181000006</v>
      </c>
      <c r="C63" s="4">
        <f ca="1">C162*'Total Distance Tables Sup #1'!C63*(1+'Other Assumptions'!G$49)-(C60*'Active Mode Assumptions'!C9*'Active Mode Assumptions'!C15/(1+'Active Mode Assumptions'!C9))-(C61*'Active Mode Assumptions'!C18*'Active Mode Assumptions'!C24/(1+'Active Mode Assumptions'!C18))</f>
        <v>623.56514980766099</v>
      </c>
      <c r="D63" s="4">
        <f ca="1">D162*'Total Distance Tables Sup #1'!D63*(1+'Other Assumptions'!H$49)-(D60*'Active Mode Assumptions'!D9*'Active Mode Assumptions'!D15/(1+'Active Mode Assumptions'!D9))-(D61*'Active Mode Assumptions'!D18*'Active Mode Assumptions'!D24/(1+'Active Mode Assumptions'!D18))</f>
        <v>629.94711730603649</v>
      </c>
      <c r="E63" s="4">
        <f ca="1">E162*'Total Distance Tables Sup #1'!E63*(1+'Other Assumptions'!I$49)-(E60*'Active Mode Assumptions'!E9*'Active Mode Assumptions'!E15/(1+'Active Mode Assumptions'!E9))-(E61*'Active Mode Assumptions'!E18*'Active Mode Assumptions'!E24/(1+'Active Mode Assumptions'!E18))</f>
        <v>631.6424134120474</v>
      </c>
      <c r="F63" s="4">
        <f ca="1">F162*'Total Distance Tables Sup #1'!F63*(1+'Other Assumptions'!J$49)-(F60*'Active Mode Assumptions'!F9*'Active Mode Assumptions'!F15/(1+'Active Mode Assumptions'!F9))-(F61*'Active Mode Assumptions'!F18*'Active Mode Assumptions'!F24/(1+'Active Mode Assumptions'!F18))</f>
        <v>628.36925017988563</v>
      </c>
      <c r="G63" s="4">
        <f ca="1">G162*'Total Distance Tables Sup #1'!G63*(1+'Other Assumptions'!K$49)-(G60*'Active Mode Assumptions'!G9*'Active Mode Assumptions'!G15/(1+'Active Mode Assumptions'!G9))-(G61*'Active Mode Assumptions'!G18*'Active Mode Assumptions'!G24/(1+'Active Mode Assumptions'!G18))</f>
        <v>621.73769914887066</v>
      </c>
      <c r="H63" s="4">
        <f ca="1">H162*'Total Distance Tables Sup #1'!H63*(1+'Other Assumptions'!L$49)-(H60*'Active Mode Assumptions'!H9*'Active Mode Assumptions'!H15/(1+'Active Mode Assumptions'!H9))-(H61*'Active Mode Assumptions'!H18*'Active Mode Assumptions'!H24/(1+'Active Mode Assumptions'!H18))</f>
        <v>611.97777286933285</v>
      </c>
      <c r="I63" s="1">
        <f ca="1">I162*'Total Distance Tables Sup #1'!I63*(1+'Other Assumptions'!M$49)-(I60*'Active Mode Assumptions'!I9*'Active Mode Assumptions'!I15/(1+'Active Mode Assumptions'!I9))-(I61*'Active Mode Assumptions'!I18*'Active Mode Assumptions'!I24/(1+'Active Mode Assumptions'!I18))</f>
        <v>608.87038944565154</v>
      </c>
      <c r="J63" s="1">
        <f ca="1">J162*'Total Distance Tables Sup #1'!J63*(1+'Other Assumptions'!N$49)-(J60*'Active Mode Assumptions'!J9*'Active Mode Assumptions'!J15/(1+'Active Mode Assumptions'!J9))-(J61*'Active Mode Assumptions'!J18*'Active Mode Assumptions'!J24/(1+'Active Mode Assumptions'!J18))</f>
        <v>603.85743136519261</v>
      </c>
      <c r="K63" s="1">
        <f ca="1">K162*'Total Distance Tables Sup #1'!K63*(1+'Other Assumptions'!O$49)-(K60*'Active Mode Assumptions'!K9*'Active Mode Assumptions'!K15/(1+'Active Mode Assumptions'!K9))-(K61*'Active Mode Assumptions'!K18*'Active Mode Assumptions'!K24/(1+'Active Mode Assumptions'!K18))</f>
        <v>597.60496819268963</v>
      </c>
    </row>
    <row r="64" spans="1:11" x14ac:dyDescent="0.2">
      <c r="A64" t="str">
        <f ca="1">OFFSET(Hawkes_Bay_Reference,28,2)</f>
        <v>Taxi/Vehicle Share</v>
      </c>
      <c r="B64" s="4">
        <f ca="1">B163*'Total Distance Tables Sup #1'!B64*(1+'Other Assumptions'!D$49)</f>
        <v>1.7589425135000001</v>
      </c>
      <c r="C64" s="4">
        <f ca="1">C163*'Total Distance Tables Sup #1'!C64*(1+'Other Assumptions'!G$49)</f>
        <v>1.9593839218579061</v>
      </c>
      <c r="D64" s="4">
        <f ca="1">D163*'Total Distance Tables Sup #1'!D64*(1+'Other Assumptions'!H$49)</f>
        <v>2.1300506037102349</v>
      </c>
      <c r="E64" s="4">
        <f ca="1">E163*'Total Distance Tables Sup #1'!E64*(1+'Other Assumptions'!I$49)</f>
        <v>2.2877760582696478</v>
      </c>
      <c r="F64" s="4">
        <f ca="1">F163*'Total Distance Tables Sup #1'!F64*(1+'Other Assumptions'!J$49)</f>
        <v>2.4153876240665682</v>
      </c>
      <c r="G64" s="4">
        <f ca="1">G163*'Total Distance Tables Sup #1'!G64*(1+'Other Assumptions'!K$49)</f>
        <v>2.5046426399894677</v>
      </c>
      <c r="H64" s="4">
        <f ca="1">H163*'Total Distance Tables Sup #1'!H64*(1+'Other Assumptions'!L$49)</f>
        <v>2.583634763681101</v>
      </c>
      <c r="I64" s="1">
        <f ca="1">I163*'Total Distance Tables Sup #1'!I64*(1+'Other Assumptions'!M$49)</f>
        <v>2.5604822969679346</v>
      </c>
      <c r="J64" s="1">
        <f ca="1">J163*'Total Distance Tables Sup #1'!J64*(1+'Other Assumptions'!N$49)</f>
        <v>2.5294446381261939</v>
      </c>
      <c r="K64" s="1">
        <f ca="1">K163*'Total Distance Tables Sup #1'!K64*(1+'Other Assumptions'!O$49)</f>
        <v>2.4934013298064981</v>
      </c>
    </row>
    <row r="65" spans="1:11" x14ac:dyDescent="0.2">
      <c r="A65" t="str">
        <f ca="1">OFFSET(Hawkes_Bay_Reference,35,2)</f>
        <v>Motorcyclist</v>
      </c>
      <c r="B65" s="4">
        <f ca="1">B164*'Total Distance Tables Sup #1'!B65*(1+'Other Assumptions'!D$49)</f>
        <v>3.0321841239</v>
      </c>
      <c r="C65" s="4">
        <f ca="1">C164*'Total Distance Tables Sup #1'!C65*(1+'Other Assumptions'!G$49)</f>
        <v>3.2406568598664962</v>
      </c>
      <c r="D65" s="4">
        <f ca="1">D164*'Total Distance Tables Sup #1'!D65*(1+'Other Assumptions'!H$49)</f>
        <v>3.3464995003583162</v>
      </c>
      <c r="E65" s="4">
        <f ca="1">E164*'Total Distance Tables Sup #1'!E65*(1+'Other Assumptions'!I$49)</f>
        <v>3.3424298097727942</v>
      </c>
      <c r="F65" s="4">
        <f ca="1">F164*'Total Distance Tables Sup #1'!F65*(1+'Other Assumptions'!J$49)</f>
        <v>3.3020436632042034</v>
      </c>
      <c r="G65" s="4">
        <f ca="1">G164*'Total Distance Tables Sup #1'!G65*(1+'Other Assumptions'!K$49)</f>
        <v>3.2049093996194458</v>
      </c>
      <c r="H65" s="4">
        <f ca="1">H164*'Total Distance Tables Sup #1'!H65*(1+'Other Assumptions'!L$49)</f>
        <v>3.0940199556458654</v>
      </c>
      <c r="I65" s="1">
        <f ca="1">I164*'Total Distance Tables Sup #1'!I65*(1+'Other Assumptions'!M$49)</f>
        <v>3.0939219993710809</v>
      </c>
      <c r="J65" s="1">
        <f ca="1">J164*'Total Distance Tables Sup #1'!J65*(1+'Other Assumptions'!N$49)</f>
        <v>3.0840945191609705</v>
      </c>
      <c r="K65" s="1">
        <f ca="1">K164*'Total Distance Tables Sup #1'!K65*(1+'Other Assumptions'!O$49)</f>
        <v>3.0677999462922809</v>
      </c>
    </row>
    <row r="66" spans="1:11" x14ac:dyDescent="0.2">
      <c r="A66" t="str">
        <f ca="1">OFFSET(Auckland_Reference,42,2)</f>
        <v>Local Train</v>
      </c>
      <c r="B66" s="4">
        <f ca="1">B165*'Total Distance Tables Sup #1'!B66*(1+'Other Assumptions'!D$49)</f>
        <v>0</v>
      </c>
      <c r="C66" s="4">
        <f ca="1">C165*'Total Distance Tables Sup #1'!C66*(1+'Other Assumptions'!G$49)</f>
        <v>0</v>
      </c>
      <c r="D66" s="4">
        <f ca="1">D165*'Total Distance Tables Sup #1'!D66*(1+'Other Assumptions'!H$49)</f>
        <v>0</v>
      </c>
      <c r="E66" s="4">
        <f ca="1">E165*'Total Distance Tables Sup #1'!E66*(1+'Other Assumptions'!I$49)</f>
        <v>0</v>
      </c>
      <c r="F66" s="4">
        <f ca="1">F165*'Total Distance Tables Sup #1'!F66*(1+'Other Assumptions'!J$49)</f>
        <v>0</v>
      </c>
      <c r="G66" s="4">
        <f ca="1">G165*'Total Distance Tables Sup #1'!G66*(1+'Other Assumptions'!K$49)</f>
        <v>0</v>
      </c>
      <c r="H66" s="4">
        <f ca="1">H165*'Total Distance Tables Sup #1'!H66*(1+'Other Assumptions'!L$49)</f>
        <v>0</v>
      </c>
      <c r="I66" s="1">
        <f ca="1">I165*'Total Distance Tables Sup #1'!I66*(1+'Other Assumptions'!M$49)</f>
        <v>0</v>
      </c>
      <c r="J66" s="1">
        <f ca="1">J165*'Total Distance Tables Sup #1'!J66*(1+'Other Assumptions'!N$49)</f>
        <v>0</v>
      </c>
      <c r="K66" s="1">
        <f ca="1">K165*'Total Distance Tables Sup #1'!K66*(1+'Other Assumptions'!O$49)</f>
        <v>0</v>
      </c>
    </row>
    <row r="67" spans="1:11" x14ac:dyDescent="0.2">
      <c r="A67" t="str">
        <f ca="1">OFFSET(Hawkes_Bay_Reference,42,2)</f>
        <v>Local Bus</v>
      </c>
      <c r="B67" s="4">
        <f ca="1">B166*'Total Distance Tables Sup #1'!B67*(1+'Other Assumptions'!D$49)</f>
        <v>39.591997026999998</v>
      </c>
      <c r="C67" s="4">
        <f ca="1">C166*'Total Distance Tables Sup #1'!C67*(1+'Other Assumptions'!G$49)</f>
        <v>37.634174096705294</v>
      </c>
      <c r="D67" s="4">
        <f ca="1">D166*'Total Distance Tables Sup #1'!D67*(1+'Other Assumptions'!H$49)</f>
        <v>36.266676661492831</v>
      </c>
      <c r="E67" s="4">
        <f ca="1">E166*'Total Distance Tables Sup #1'!E67*(1+'Other Assumptions'!I$49)</f>
        <v>35.242017096199206</v>
      </c>
      <c r="F67" s="4">
        <f ca="1">F166*'Total Distance Tables Sup #1'!F67*(1+'Other Assumptions'!J$49)</f>
        <v>33.683143361699791</v>
      </c>
      <c r="G67" s="4">
        <f ca="1">G166*'Total Distance Tables Sup #1'!G67*(1+'Other Assumptions'!K$49)</f>
        <v>32.549631344464785</v>
      </c>
      <c r="H67" s="4">
        <f ca="1">H166*'Total Distance Tables Sup #1'!H67*(1+'Other Assumptions'!L$49)</f>
        <v>31.299656504261826</v>
      </c>
      <c r="I67" s="1">
        <f ca="1">I166*'Total Distance Tables Sup #1'!I67*(1+'Other Assumptions'!M$49)</f>
        <v>31.144007735886053</v>
      </c>
      <c r="J67" s="1">
        <f ca="1">J166*'Total Distance Tables Sup #1'!J67*(1+'Other Assumptions'!N$49)</f>
        <v>30.890446129216475</v>
      </c>
      <c r="K67" s="1">
        <f ca="1">K166*'Total Distance Tables Sup #1'!K67*(1+'Other Assumptions'!O$49)</f>
        <v>30.573050866629668</v>
      </c>
    </row>
    <row r="68" spans="1:11" x14ac:dyDescent="0.2">
      <c r="A68" t="str">
        <f ca="1">OFFSET(Waikato_Reference,56,2)</f>
        <v>Local Ferry</v>
      </c>
      <c r="B68" s="4">
        <f>B167*'Total Distance Tables Sup #1'!B68*(1+'Other Assumptions'!D$49)</f>
        <v>0</v>
      </c>
      <c r="C68" s="4">
        <f ca="1">C167*'Total Distance Tables Sup #1'!C68*(1+'Other Assumptions'!G$49)</f>
        <v>0</v>
      </c>
      <c r="D68" s="4">
        <f ca="1">D167*'Total Distance Tables Sup #1'!D68*(1+'Other Assumptions'!H$49)</f>
        <v>0</v>
      </c>
      <c r="E68" s="4">
        <f ca="1">E167*'Total Distance Tables Sup #1'!E68*(1+'Other Assumptions'!I$49)</f>
        <v>0</v>
      </c>
      <c r="F68" s="4">
        <f ca="1">F167*'Total Distance Tables Sup #1'!F68*(1+'Other Assumptions'!J$49)</f>
        <v>0</v>
      </c>
      <c r="G68" s="4">
        <f ca="1">G167*'Total Distance Tables Sup #1'!G68*(1+'Other Assumptions'!K$49)</f>
        <v>0</v>
      </c>
      <c r="H68" s="4">
        <f ca="1">H167*'Total Distance Tables Sup #1'!H68*(1+'Other Assumptions'!L$49)</f>
        <v>0</v>
      </c>
      <c r="I68" s="1">
        <f ca="1">I167*'Total Distance Tables Sup #1'!I68*(1+'Other Assumptions'!M$49)</f>
        <v>0</v>
      </c>
      <c r="J68" s="1">
        <f ca="1">J167*'Total Distance Tables Sup #1'!J68*(1+'Other Assumptions'!N$49)</f>
        <v>0</v>
      </c>
      <c r="K68" s="1">
        <f ca="1">K167*'Total Distance Tables Sup #1'!K68*(1+'Other Assumptions'!O$49)</f>
        <v>0</v>
      </c>
    </row>
    <row r="69" spans="1:11" x14ac:dyDescent="0.2">
      <c r="A69" t="str">
        <f ca="1">OFFSET(Hawkes_Bay_Reference,49,2)</f>
        <v>Other Household Travel</v>
      </c>
      <c r="B69" s="4">
        <f ca="1">B168*'Total Distance Tables Sup #1'!B69*(1+'Other Assumptions'!D$49)</f>
        <v>0</v>
      </c>
      <c r="C69" s="4">
        <f ca="1">C168*'Total Distance Tables Sup #1'!C69*(1+'Other Assumptions'!G$49)</f>
        <v>0</v>
      </c>
      <c r="D69" s="4">
        <f ca="1">D168*'Total Distance Tables Sup #1'!D69*(1+'Other Assumptions'!H$49)</f>
        <v>0</v>
      </c>
      <c r="E69" s="4">
        <f ca="1">E168*'Total Distance Tables Sup #1'!E69*(1+'Other Assumptions'!I$49)</f>
        <v>0</v>
      </c>
      <c r="F69" s="4">
        <f ca="1">F168*'Total Distance Tables Sup #1'!F69*(1+'Other Assumptions'!J$49)</f>
        <v>0</v>
      </c>
      <c r="G69" s="4">
        <f ca="1">G168*'Total Distance Tables Sup #1'!G69*(1+'Other Assumptions'!K$49)</f>
        <v>0</v>
      </c>
      <c r="H69" s="4">
        <f ca="1">H168*'Total Distance Tables Sup #1'!H69*(1+'Other Assumptions'!L$49)</f>
        <v>0</v>
      </c>
      <c r="I69" s="1">
        <f ca="1">I168*'Total Distance Tables Sup #1'!I69*(1+'Other Assumptions'!M$49)</f>
        <v>0</v>
      </c>
      <c r="J69" s="1">
        <f ca="1">J168*'Total Distance Tables Sup #1'!J69*(1+'Other Assumptions'!N$49)</f>
        <v>0</v>
      </c>
      <c r="K69" s="1">
        <f ca="1">K168*'Total Distance Tables Sup #1'!K69*(1+'Other Assumptions'!O$49)</f>
        <v>0</v>
      </c>
    </row>
    <row r="70" spans="1:11" x14ac:dyDescent="0.2">
      <c r="A70" t="str">
        <f ca="1">OFFSET(Taranaki_Reference,0,0)</f>
        <v>07 TARANAKI</v>
      </c>
      <c r="I70" s="1"/>
      <c r="J70" s="1"/>
      <c r="K70" s="1"/>
    </row>
    <row r="71" spans="1:11" x14ac:dyDescent="0.2">
      <c r="A71" t="str">
        <f ca="1">OFFSET(Taranaki_Reference,0,2)</f>
        <v>Pedestrian</v>
      </c>
      <c r="B71" s="4">
        <f ca="1">B159*'Total Distance Tables Sup #1'!B71*(1+'Other Assumptions'!D$50)*(1+'Active Mode Assumptions'!B9)</f>
        <v>16.820589198</v>
      </c>
      <c r="C71" s="4">
        <f ca="1">C159*'Total Distance Tables Sup #1'!C71*(1+'Other Assumptions'!G$50)*(1+'Active Mode Assumptions'!C9)</f>
        <v>17.50706474108426</v>
      </c>
      <c r="D71" s="4">
        <f ca="1">D159*'Total Distance Tables Sup #1'!D71*(1+'Other Assumptions'!H$50)*(1+'Active Mode Assumptions'!D9)</f>
        <v>17.828520389937093</v>
      </c>
      <c r="E71" s="4">
        <f ca="1">E159*'Total Distance Tables Sup #1'!E71*(1+'Other Assumptions'!I$50)*(1+'Active Mode Assumptions'!E9)</f>
        <v>18.070554230613279</v>
      </c>
      <c r="F71" s="4">
        <f ca="1">F159*'Total Distance Tables Sup #1'!F71*(1+'Other Assumptions'!J$50)*(1+'Active Mode Assumptions'!F9)</f>
        <v>18.131177473343961</v>
      </c>
      <c r="G71" s="4">
        <f ca="1">G159*'Total Distance Tables Sup #1'!G71*(1+'Other Assumptions'!K$50)*(1+'Active Mode Assumptions'!G9)</f>
        <v>18.175085413909567</v>
      </c>
      <c r="H71" s="4">
        <f ca="1">H159*'Total Distance Tables Sup #1'!H71*(1+'Other Assumptions'!L$50)*(1+'Active Mode Assumptions'!H9)</f>
        <v>18.161603536947943</v>
      </c>
      <c r="I71" s="1">
        <f ca="1">I159*'Total Distance Tables Sup #1'!I71*(1+'Other Assumptions'!M$50)*(1+'Active Mode Assumptions'!I9)</f>
        <v>18.259286218157214</v>
      </c>
      <c r="J71" s="1">
        <f ca="1">J159*'Total Distance Tables Sup #1'!J71*(1+'Other Assumptions'!N$50)*(1+'Active Mode Assumptions'!J9)</f>
        <v>18.29931751275678</v>
      </c>
      <c r="K71" s="1">
        <f ca="1">K159*'Total Distance Tables Sup #1'!K71*(1+'Other Assumptions'!O$50)*(1+'Active Mode Assumptions'!K9)</f>
        <v>18.300281980158815</v>
      </c>
    </row>
    <row r="72" spans="1:11" x14ac:dyDescent="0.2">
      <c r="A72" t="str">
        <f ca="1">OFFSET(Taranaki_Reference,7,2)</f>
        <v>Cyclist</v>
      </c>
      <c r="B72" s="4">
        <f ca="1">B160*'Total Distance Tables Sup #1'!B72*(1+'Other Assumptions'!D$50)*(1+'Active Mode Assumptions'!B18)</f>
        <v>5.5737915155</v>
      </c>
      <c r="C72" s="4">
        <f ca="1">C160*'Total Distance Tables Sup #1'!C72*(1+'Other Assumptions'!G$50)*(1+'Active Mode Assumptions'!C18)</f>
        <v>6.0095920726245824</v>
      </c>
      <c r="D72" s="4">
        <f ca="1">D160*'Total Distance Tables Sup #1'!D72*(1+'Other Assumptions'!H$50)*(1+'Active Mode Assumptions'!D18)</f>
        <v>6.2141256159598601</v>
      </c>
      <c r="E72" s="4">
        <f ca="1">E160*'Total Distance Tables Sup #1'!E72*(1+'Other Assumptions'!I$50)*(1+'Active Mode Assumptions'!E18)</f>
        <v>6.2978616066684756</v>
      </c>
      <c r="F72" s="4">
        <f ca="1">F160*'Total Distance Tables Sup #1'!F72*(1+'Other Assumptions'!J$50)*(1+'Active Mode Assumptions'!F18)</f>
        <v>6.442977070957955</v>
      </c>
      <c r="G72" s="4">
        <f ca="1">G160*'Total Distance Tables Sup #1'!G72*(1+'Other Assumptions'!K$50)*(1+'Active Mode Assumptions'!G18)</f>
        <v>6.6769798256773223</v>
      </c>
      <c r="H72" s="4">
        <f ca="1">H160*'Total Distance Tables Sup #1'!H72*(1+'Other Assumptions'!L$50)*(1+'Active Mode Assumptions'!H18)</f>
        <v>6.9065958478110989</v>
      </c>
      <c r="I72" s="1">
        <f ca="1">I160*'Total Distance Tables Sup #1'!I72*(1+'Other Assumptions'!M$50)*(1+'Active Mode Assumptions'!I18)</f>
        <v>6.9763663270345395</v>
      </c>
      <c r="J72" s="1">
        <f ca="1">J160*'Total Distance Tables Sup #1'!J72*(1+'Other Assumptions'!N$50)*(1+'Active Mode Assumptions'!J18)</f>
        <v>7.0248292753214292</v>
      </c>
      <c r="K72" s="1">
        <f ca="1">K160*'Total Distance Tables Sup #1'!K72*(1+'Other Assumptions'!O$50)*(1+'Active Mode Assumptions'!K18)</f>
        <v>7.0588397734063548</v>
      </c>
    </row>
    <row r="73" spans="1:11" x14ac:dyDescent="0.2">
      <c r="A73" t="str">
        <f ca="1">OFFSET(Taranaki_Reference,14,2)</f>
        <v>Light Vehicle Driver</v>
      </c>
      <c r="B73" s="4">
        <f ca="1">B161*'Total Distance Tables Sup #1'!B73*(1+'Other Assumptions'!D$50)-(B71*'Active Mode Assumptions'!B9*'Active Mode Assumptions'!B14/(1+'Active Mode Assumptions'!B9))-(B72*'Active Mode Assumptions'!B18*'Active Mode Assumptions'!B23/(1+'Active Mode Assumptions'!B18))</f>
        <v>933.36875414999997</v>
      </c>
      <c r="C73" s="4">
        <f ca="1">C161*'Total Distance Tables Sup #1'!C73*(1+'Other Assumptions'!G$50)-(C71*'Active Mode Assumptions'!C9*'Active Mode Assumptions'!C14/(1+'Active Mode Assumptions'!C9))-(C72*'Active Mode Assumptions'!C18*'Active Mode Assumptions'!C23/(1+'Active Mode Assumptions'!C18))</f>
        <v>1007.1599126267363</v>
      </c>
      <c r="D73" s="4">
        <f ca="1">D161*'Total Distance Tables Sup #1'!D73*(1+'Other Assumptions'!H$50)-(D71*'Active Mode Assumptions'!D9*'Active Mode Assumptions'!D14/(1+'Active Mode Assumptions'!D9))-(D72*'Active Mode Assumptions'!D18*'Active Mode Assumptions'!D23/(1+'Active Mode Assumptions'!D18))</f>
        <v>1050.1751530058386</v>
      </c>
      <c r="E73" s="4">
        <f ca="1">E161*'Total Distance Tables Sup #1'!E73*(1+'Other Assumptions'!I$50)-(E71*'Active Mode Assumptions'!E9*'Active Mode Assumptions'!E14/(1+'Active Mode Assumptions'!E9))-(E72*'Active Mode Assumptions'!E18*'Active Mode Assumptions'!E23/(1+'Active Mode Assumptions'!E18))</f>
        <v>1077.7162220427381</v>
      </c>
      <c r="F73" s="4">
        <f ca="1">F161*'Total Distance Tables Sup #1'!F73*(1+'Other Assumptions'!J$50)-(F71*'Active Mode Assumptions'!F9*'Active Mode Assumptions'!F14/(1+'Active Mode Assumptions'!F9))-(F72*'Active Mode Assumptions'!F18*'Active Mode Assumptions'!F23/(1+'Active Mode Assumptions'!F18))</f>
        <v>1100.5807502179537</v>
      </c>
      <c r="G73" s="4">
        <f ca="1">G161*'Total Distance Tables Sup #1'!G73*(1+'Other Assumptions'!K$50)-(G71*'Active Mode Assumptions'!G9*'Active Mode Assumptions'!G14/(1+'Active Mode Assumptions'!G9))-(G72*'Active Mode Assumptions'!G18*'Active Mode Assumptions'!G23/(1+'Active Mode Assumptions'!G18))</f>
        <v>1114.4694855669532</v>
      </c>
      <c r="H73" s="4">
        <f ca="1">H161*'Total Distance Tables Sup #1'!H73*(1+'Other Assumptions'!L$50)-(H71*'Active Mode Assumptions'!H9*'Active Mode Assumptions'!H14/(1+'Active Mode Assumptions'!H9))-(H72*'Active Mode Assumptions'!H18*'Active Mode Assumptions'!H23/(1+'Active Mode Assumptions'!H18))</f>
        <v>1125.4197738885905</v>
      </c>
      <c r="I73" s="1">
        <f ca="1">I161*'Total Distance Tables Sup #1'!I73*(1+'Other Assumptions'!M$50)-(I71*'Active Mode Assumptions'!I9*'Active Mode Assumptions'!I14/(1+'Active Mode Assumptions'!I9))-(I72*'Active Mode Assumptions'!I18*'Active Mode Assumptions'!I23/(1+'Active Mode Assumptions'!I18))</f>
        <v>1133.668917610044</v>
      </c>
      <c r="J73" s="1">
        <f ca="1">J161*'Total Distance Tables Sup #1'!J73*(1+'Other Assumptions'!N$50)-(J71*'Active Mode Assumptions'!J9*'Active Mode Assumptions'!J14/(1+'Active Mode Assumptions'!J9))-(J72*'Active Mode Assumptions'!J18*'Active Mode Assumptions'!J23/(1+'Active Mode Assumptions'!J18))</f>
        <v>1138.3523972463347</v>
      </c>
      <c r="K73" s="1">
        <f ca="1">K161*'Total Distance Tables Sup #1'!K73*(1+'Other Assumptions'!O$50)-(K71*'Active Mode Assumptions'!K9*'Active Mode Assumptions'!K14/(1+'Active Mode Assumptions'!K9))-(K72*'Active Mode Assumptions'!K18*'Active Mode Assumptions'!K23/(1+'Active Mode Assumptions'!K18))</f>
        <v>1140.6072483949533</v>
      </c>
    </row>
    <row r="74" spans="1:11" x14ac:dyDescent="0.2">
      <c r="A74" t="str">
        <f ca="1">OFFSET(Taranaki_Reference,21,2)</f>
        <v>Light Vehicle Passenger</v>
      </c>
      <c r="B74" s="4">
        <f ca="1">B162*'Total Distance Tables Sup #1'!B74*(1+'Other Assumptions'!D$50)-(B71*'Active Mode Assumptions'!B9*'Active Mode Assumptions'!B15/(1+'Active Mode Assumptions'!B9))-(B72*'Active Mode Assumptions'!B18*'Active Mode Assumptions'!B24/(1+'Active Mode Assumptions'!B18))</f>
        <v>656.25872372000003</v>
      </c>
      <c r="C74" s="4">
        <f ca="1">C162*'Total Distance Tables Sup #1'!C74*(1+'Other Assumptions'!G$50)-(C71*'Active Mode Assumptions'!C9*'Active Mode Assumptions'!C15/(1+'Active Mode Assumptions'!C9))-(C72*'Active Mode Assumptions'!C18*'Active Mode Assumptions'!C24/(1+'Active Mode Assumptions'!C18))</f>
        <v>679.61006238883851</v>
      </c>
      <c r="D74" s="4">
        <f ca="1">D162*'Total Distance Tables Sup #1'!D74*(1+'Other Assumptions'!H$50)-(D71*'Active Mode Assumptions'!D9*'Active Mode Assumptions'!D15/(1+'Active Mode Assumptions'!D9))-(D72*'Active Mode Assumptions'!D18*'Active Mode Assumptions'!D24/(1+'Active Mode Assumptions'!D18))</f>
        <v>692.24449842666991</v>
      </c>
      <c r="E74" s="4">
        <f ca="1">E162*'Total Distance Tables Sup #1'!E74*(1+'Other Assumptions'!I$50)-(E71*'Active Mode Assumptions'!E9*'Active Mode Assumptions'!E15/(1+'Active Mode Assumptions'!E9))-(E72*'Active Mode Assumptions'!E18*'Active Mode Assumptions'!E24/(1+'Active Mode Assumptions'!E18))</f>
        <v>700.64240104896851</v>
      </c>
      <c r="F74" s="4">
        <f ca="1">F162*'Total Distance Tables Sup #1'!F74*(1+'Other Assumptions'!J$50)-(F71*'Active Mode Assumptions'!F9*'Active Mode Assumptions'!F15/(1+'Active Mode Assumptions'!F9))-(F72*'Active Mode Assumptions'!F18*'Active Mode Assumptions'!F24/(1+'Active Mode Assumptions'!F18))</f>
        <v>704.39587287370284</v>
      </c>
      <c r="G74" s="4">
        <f ca="1">G162*'Total Distance Tables Sup #1'!G74*(1+'Other Assumptions'!K$50)-(G71*'Active Mode Assumptions'!G9*'Active Mode Assumptions'!G15/(1+'Active Mode Assumptions'!G9))-(G72*'Active Mode Assumptions'!G18*'Active Mode Assumptions'!G24/(1+'Active Mode Assumptions'!G18))</f>
        <v>705.40890435877077</v>
      </c>
      <c r="H74" s="4">
        <f ca="1">H162*'Total Distance Tables Sup #1'!H74*(1+'Other Assumptions'!L$50)-(H71*'Active Mode Assumptions'!H9*'Active Mode Assumptions'!H15/(1+'Active Mode Assumptions'!H9))-(H72*'Active Mode Assumptions'!H18*'Active Mode Assumptions'!H24/(1+'Active Mode Assumptions'!H18))</f>
        <v>703.76928924889319</v>
      </c>
      <c r="I74" s="1">
        <f ca="1">I162*'Total Distance Tables Sup #1'!I74*(1+'Other Assumptions'!M$50)-(I71*'Active Mode Assumptions'!I9*'Active Mode Assumptions'!I15/(1+'Active Mode Assumptions'!I9))-(I72*'Active Mode Assumptions'!I18*'Active Mode Assumptions'!I24/(1+'Active Mode Assumptions'!I18))</f>
        <v>709.70921360513978</v>
      </c>
      <c r="J74" s="1">
        <f ca="1">J162*'Total Distance Tables Sup #1'!J74*(1+'Other Assumptions'!N$50)-(J71*'Active Mode Assumptions'!J9*'Active Mode Assumptions'!J15/(1+'Active Mode Assumptions'!J9))-(J72*'Active Mode Assumptions'!J18*'Active Mode Assumptions'!J24/(1+'Active Mode Assumptions'!J18))</f>
        <v>713.42928356536504</v>
      </c>
      <c r="K74" s="1">
        <f ca="1">K162*'Total Distance Tables Sup #1'!K74*(1+'Other Assumptions'!O$50)-(K71*'Active Mode Assumptions'!K9*'Active Mode Assumptions'!K15/(1+'Active Mode Assumptions'!K9))-(K72*'Active Mode Assumptions'!K18*'Active Mode Assumptions'!K24/(1+'Active Mode Assumptions'!K18))</f>
        <v>715.63511471248137</v>
      </c>
    </row>
    <row r="75" spans="1:11" x14ac:dyDescent="0.2">
      <c r="A75" t="str">
        <f ca="1">OFFSET(Taranaki_Reference,28,2)</f>
        <v>Taxi/Vehicle Share</v>
      </c>
      <c r="B75" s="4">
        <f ca="1">B163*'Total Distance Tables Sup #1'!B75*(1+'Other Assumptions'!D$50)</f>
        <v>1.1335038904000001</v>
      </c>
      <c r="C75" s="4">
        <f ca="1">C163*'Total Distance Tables Sup #1'!C75*(1+'Other Assumptions'!G$50)</f>
        <v>1.2745968627652697</v>
      </c>
      <c r="D75" s="4">
        <f ca="1">D163*'Total Distance Tables Sup #1'!D75*(1+'Other Assumptions'!H$50)</f>
        <v>1.3970780871291077</v>
      </c>
      <c r="E75" s="4">
        <f ca="1">E163*'Total Distance Tables Sup #1'!E75*(1+'Other Assumptions'!I$50)</f>
        <v>1.5146559054108555</v>
      </c>
      <c r="F75" s="4">
        <f ca="1">F163*'Total Distance Tables Sup #1'!F75*(1+'Other Assumptions'!J$50)</f>
        <v>1.6160844628572395</v>
      </c>
      <c r="G75" s="4">
        <f ca="1">G163*'Total Distance Tables Sup #1'!G75*(1+'Other Assumptions'!K$50)</f>
        <v>1.6961132445333309</v>
      </c>
      <c r="H75" s="4">
        <f ca="1">H163*'Total Distance Tables Sup #1'!H75*(1+'Other Assumptions'!L$50)</f>
        <v>1.773377205470567</v>
      </c>
      <c r="I75" s="1">
        <f ca="1">I163*'Total Distance Tables Sup #1'!I75*(1+'Other Assumptions'!M$50)</f>
        <v>1.7813641450150726</v>
      </c>
      <c r="J75" s="1">
        <f ca="1">J163*'Total Distance Tables Sup #1'!J75*(1+'Other Assumptions'!N$50)</f>
        <v>1.7836803767780824</v>
      </c>
      <c r="K75" s="1">
        <f ca="1">K163*'Total Distance Tables Sup #1'!K75*(1+'Other Assumptions'!O$50)</f>
        <v>1.7821529324375331</v>
      </c>
    </row>
    <row r="76" spans="1:11" x14ac:dyDescent="0.2">
      <c r="A76" t="str">
        <f ca="1">OFFSET(Taranaki_Reference,35,2)</f>
        <v>Motorcyclist</v>
      </c>
      <c r="B76" s="4">
        <f ca="1">B164*'Total Distance Tables Sup #1'!B76*(1+'Other Assumptions'!D$50)</f>
        <v>7.0100687938000004</v>
      </c>
      <c r="C76" s="4">
        <f ca="1">C164*'Total Distance Tables Sup #1'!C76*(1+'Other Assumptions'!G$50)</f>
        <v>7.5627839566320754</v>
      </c>
      <c r="D76" s="4">
        <f ca="1">D164*'Total Distance Tables Sup #1'!D76*(1+'Other Assumptions'!H$50)</f>
        <v>7.874389002939659</v>
      </c>
      <c r="E76" s="4">
        <f ca="1">E164*'Total Distance Tables Sup #1'!E76*(1+'Other Assumptions'!I$50)</f>
        <v>7.9388593713285784</v>
      </c>
      <c r="F76" s="4">
        <f ca="1">F164*'Total Distance Tables Sup #1'!F76*(1+'Other Assumptions'!J$50)</f>
        <v>7.9260237837911109</v>
      </c>
      <c r="G76" s="4">
        <f ca="1">G164*'Total Distance Tables Sup #1'!G76*(1+'Other Assumptions'!K$50)</f>
        <v>7.7861035225611985</v>
      </c>
      <c r="H76" s="4">
        <f ca="1">H164*'Total Distance Tables Sup #1'!H76*(1+'Other Assumptions'!L$50)</f>
        <v>7.6188329985661944</v>
      </c>
      <c r="I76" s="1">
        <f ca="1">I164*'Total Distance Tables Sup #1'!I76*(1+'Other Assumptions'!M$50)</f>
        <v>7.722103727645198</v>
      </c>
      <c r="J76" s="1">
        <f ca="1">J164*'Total Distance Tables Sup #1'!J76*(1+'Other Assumptions'!N$50)</f>
        <v>7.8021604421772777</v>
      </c>
      <c r="K76" s="1">
        <f ca="1">K164*'Total Distance Tables Sup #1'!K76*(1+'Other Assumptions'!O$50)</f>
        <v>7.8663843039997632</v>
      </c>
    </row>
    <row r="77" spans="1:11" x14ac:dyDescent="0.2">
      <c r="A77" t="str">
        <f ca="1">OFFSET(Taranaki_Reference,42,2)</f>
        <v>Local Train</v>
      </c>
      <c r="B77" s="4">
        <f ca="1">B165*'Total Distance Tables Sup #1'!B77*(1+'Other Assumptions'!D$50)</f>
        <v>0</v>
      </c>
      <c r="C77" s="4">
        <f ca="1">C165*'Total Distance Tables Sup #1'!C77*(1+'Other Assumptions'!G$50)</f>
        <v>0</v>
      </c>
      <c r="D77" s="4">
        <f ca="1">D165*'Total Distance Tables Sup #1'!D77*(1+'Other Assumptions'!H$50)</f>
        <v>0</v>
      </c>
      <c r="E77" s="4">
        <f ca="1">E165*'Total Distance Tables Sup #1'!E77*(1+'Other Assumptions'!I$50)</f>
        <v>0</v>
      </c>
      <c r="F77" s="4">
        <f ca="1">F165*'Total Distance Tables Sup #1'!F77*(1+'Other Assumptions'!J$50)</f>
        <v>0</v>
      </c>
      <c r="G77" s="4">
        <f ca="1">G165*'Total Distance Tables Sup #1'!G77*(1+'Other Assumptions'!K$50)</f>
        <v>0</v>
      </c>
      <c r="H77" s="4">
        <f ca="1">H165*'Total Distance Tables Sup #1'!H77*(1+'Other Assumptions'!L$50)</f>
        <v>0</v>
      </c>
      <c r="I77" s="1">
        <f ca="1">I165*'Total Distance Tables Sup #1'!I77*(1+'Other Assumptions'!M$50)</f>
        <v>0</v>
      </c>
      <c r="J77" s="1">
        <f ca="1">J165*'Total Distance Tables Sup #1'!J77*(1+'Other Assumptions'!N$50)</f>
        <v>0</v>
      </c>
      <c r="K77" s="1">
        <f ca="1">K165*'Total Distance Tables Sup #1'!K77*(1+'Other Assumptions'!O$50)</f>
        <v>0</v>
      </c>
    </row>
    <row r="78" spans="1:11" x14ac:dyDescent="0.2">
      <c r="A78" t="str">
        <f ca="1">OFFSET(Taranaki_Reference,49,2)</f>
        <v>Local Bus</v>
      </c>
      <c r="B78" s="4">
        <f ca="1">B166*'Total Distance Tables Sup #1'!B78*(1+'Other Assumptions'!D$50)</f>
        <v>14.084735078</v>
      </c>
      <c r="C78" s="4">
        <f ca="1">C166*'Total Distance Tables Sup #1'!C78*(1+'Other Assumptions'!G$50)</f>
        <v>13.514674809036247</v>
      </c>
      <c r="D78" s="4">
        <f ca="1">D166*'Total Distance Tables Sup #1'!D78*(1+'Other Assumptions'!H$50)</f>
        <v>13.1313212266351</v>
      </c>
      <c r="E78" s="4">
        <f ca="1">E166*'Total Distance Tables Sup #1'!E78*(1+'Other Assumptions'!I$50)</f>
        <v>12.880452920306872</v>
      </c>
      <c r="F78" s="4">
        <f ca="1">F166*'Total Distance Tables Sup #1'!F78*(1+'Other Assumptions'!J$50)</f>
        <v>12.441127397342347</v>
      </c>
      <c r="G78" s="4">
        <f ca="1">G166*'Total Distance Tables Sup #1'!G78*(1+'Other Assumptions'!K$50)</f>
        <v>12.168164017416238</v>
      </c>
      <c r="H78" s="4">
        <f ca="1">H166*'Total Distance Tables Sup #1'!H78*(1+'Other Assumptions'!L$50)</f>
        <v>11.859857726030752</v>
      </c>
      <c r="I78" s="1">
        <f ca="1">I166*'Total Distance Tables Sup #1'!I78*(1+'Other Assumptions'!M$50)</f>
        <v>11.961215999932602</v>
      </c>
      <c r="J78" s="1">
        <f ca="1">J166*'Total Distance Tables Sup #1'!J78*(1+'Other Assumptions'!N$50)</f>
        <v>12.025023724508154</v>
      </c>
      <c r="K78" s="1">
        <f ca="1">K166*'Total Distance Tables Sup #1'!K78*(1+'Other Assumptions'!O$50)</f>
        <v>12.063170523556442</v>
      </c>
    </row>
    <row r="79" spans="1:11" x14ac:dyDescent="0.2">
      <c r="A79" t="str">
        <f ca="1">OFFSET(Waikato_Reference,56,2)</f>
        <v>Local Ferry</v>
      </c>
      <c r="B79" s="4">
        <f>B167*'Total Distance Tables Sup #1'!B79*(1+'Other Assumptions'!D$50)</f>
        <v>0</v>
      </c>
      <c r="C79" s="4">
        <f ca="1">C167*'Total Distance Tables Sup #1'!C79*(1+'Other Assumptions'!G$50)</f>
        <v>0</v>
      </c>
      <c r="D79" s="4">
        <f ca="1">D167*'Total Distance Tables Sup #1'!D79*(1+'Other Assumptions'!H$50)</f>
        <v>0</v>
      </c>
      <c r="E79" s="4">
        <f ca="1">E167*'Total Distance Tables Sup #1'!E79*(1+'Other Assumptions'!I$50)</f>
        <v>0</v>
      </c>
      <c r="F79" s="4">
        <f ca="1">F167*'Total Distance Tables Sup #1'!F79*(1+'Other Assumptions'!J$50)</f>
        <v>0</v>
      </c>
      <c r="G79" s="4">
        <f ca="1">G167*'Total Distance Tables Sup #1'!G79*(1+'Other Assumptions'!K$50)</f>
        <v>0</v>
      </c>
      <c r="H79" s="4">
        <f ca="1">H167*'Total Distance Tables Sup #1'!H79*(1+'Other Assumptions'!L$50)</f>
        <v>0</v>
      </c>
      <c r="I79" s="1">
        <f ca="1">I167*'Total Distance Tables Sup #1'!I79*(1+'Other Assumptions'!M$50)</f>
        <v>0</v>
      </c>
      <c r="J79" s="1">
        <f ca="1">J167*'Total Distance Tables Sup #1'!J79*(1+'Other Assumptions'!N$50)</f>
        <v>0</v>
      </c>
      <c r="K79" s="1">
        <f ca="1">K167*'Total Distance Tables Sup #1'!K79*(1+'Other Assumptions'!O$50)</f>
        <v>0</v>
      </c>
    </row>
    <row r="80" spans="1:11" x14ac:dyDescent="0.2">
      <c r="A80" t="str">
        <f ca="1">OFFSET(Taranaki_Reference,56,2)</f>
        <v>Other Household Travel</v>
      </c>
      <c r="B80" s="4">
        <f ca="1">B168*'Total Distance Tables Sup #1'!B80*(1+'Other Assumptions'!D$50)</f>
        <v>0</v>
      </c>
      <c r="C80" s="4">
        <f ca="1">C168*'Total Distance Tables Sup #1'!C80*(1+'Other Assumptions'!G$50)</f>
        <v>0</v>
      </c>
      <c r="D80" s="4">
        <f ca="1">D168*'Total Distance Tables Sup #1'!D80*(1+'Other Assumptions'!H$50)</f>
        <v>0</v>
      </c>
      <c r="E80" s="4">
        <f ca="1">E168*'Total Distance Tables Sup #1'!E80*(1+'Other Assumptions'!I$50)</f>
        <v>0</v>
      </c>
      <c r="F80" s="4">
        <f ca="1">F168*'Total Distance Tables Sup #1'!F80*(1+'Other Assumptions'!J$50)</f>
        <v>0</v>
      </c>
      <c r="G80" s="4">
        <f ca="1">G168*'Total Distance Tables Sup #1'!G80*(1+'Other Assumptions'!K$50)</f>
        <v>0</v>
      </c>
      <c r="H80" s="4">
        <f ca="1">H168*'Total Distance Tables Sup #1'!H80*(1+'Other Assumptions'!L$50)</f>
        <v>0</v>
      </c>
      <c r="I80" s="1">
        <f ca="1">I168*'Total Distance Tables Sup #1'!I80*(1+'Other Assumptions'!M$50)</f>
        <v>0</v>
      </c>
      <c r="J80" s="1">
        <f ca="1">J168*'Total Distance Tables Sup #1'!J80*(1+'Other Assumptions'!N$50)</f>
        <v>0</v>
      </c>
      <c r="K80" s="1">
        <f ca="1">K168*'Total Distance Tables Sup #1'!K80*(1+'Other Assumptions'!O$50)</f>
        <v>0</v>
      </c>
    </row>
    <row r="81" spans="1:11" x14ac:dyDescent="0.2">
      <c r="A81" t="str">
        <f ca="1">OFFSET(Manawatu_Reference,0,0)</f>
        <v>08 MANAWATU-WANGANUI</v>
      </c>
      <c r="I81" s="1"/>
      <c r="J81" s="1"/>
      <c r="K81" s="1"/>
    </row>
    <row r="82" spans="1:11" x14ac:dyDescent="0.2">
      <c r="A82" t="str">
        <f ca="1">OFFSET(Manawatu_Reference,0,2)</f>
        <v>Pedestrian</v>
      </c>
      <c r="B82" s="4">
        <f ca="1">B159*'Total Distance Tables Sup #1'!B82*(1+'Other Assumptions'!D$51)*(1+'Active Mode Assumptions'!B9)</f>
        <v>32.265609755</v>
      </c>
      <c r="C82" s="4">
        <f ca="1">C159*'Total Distance Tables Sup #1'!C82*(1+'Other Assumptions'!G$51)*(1+'Active Mode Assumptions'!C9)</f>
        <v>33.320064319065139</v>
      </c>
      <c r="D82" s="4">
        <f ca="1">D159*'Total Distance Tables Sup #1'!D82*(1+'Other Assumptions'!H$51)*(1+'Active Mode Assumptions'!D9)</f>
        <v>33.552496531057422</v>
      </c>
      <c r="E82" s="4">
        <f ca="1">E159*'Total Distance Tables Sup #1'!E82*(1+'Other Assumptions'!I$51)*(1+'Active Mode Assumptions'!E9)</f>
        <v>33.588617153687757</v>
      </c>
      <c r="F82" s="4">
        <f ca="1">F159*'Total Distance Tables Sup #1'!F82*(1+'Other Assumptions'!J$51)*(1+'Active Mode Assumptions'!F9)</f>
        <v>33.281985403124629</v>
      </c>
      <c r="G82" s="4">
        <f ca="1">G159*'Total Distance Tables Sup #1'!G82*(1+'Other Assumptions'!K$51)*(1+'Active Mode Assumptions'!G9)</f>
        <v>32.911391306474336</v>
      </c>
      <c r="H82" s="4">
        <f ca="1">H159*'Total Distance Tables Sup #1'!H82*(1+'Other Assumptions'!L$51)*(1+'Active Mode Assumptions'!H9)</f>
        <v>32.403077636110737</v>
      </c>
      <c r="I82" s="1">
        <f ca="1">I159*'Total Distance Tables Sup #1'!I82*(1+'Other Assumptions'!M$51)*(1+'Active Mode Assumptions'!I9)</f>
        <v>32.098013511315308</v>
      </c>
      <c r="J82" s="1">
        <f ca="1">J159*'Total Distance Tables Sup #1'!J82*(1+'Other Assumptions'!N$51)*(1+'Active Mode Assumptions'!J9)</f>
        <v>31.695057255266033</v>
      </c>
      <c r="K82" s="1">
        <f ca="1">K159*'Total Distance Tables Sup #1'!K82*(1+'Other Assumptions'!O$51)*(1+'Active Mode Assumptions'!K9)</f>
        <v>31.230340429455513</v>
      </c>
    </row>
    <row r="83" spans="1:11" x14ac:dyDescent="0.2">
      <c r="A83" t="str">
        <f ca="1">OFFSET(Manawatu_Reference,7,2)</f>
        <v>Cyclist</v>
      </c>
      <c r="B83" s="4">
        <f ca="1">B160*'Total Distance Tables Sup #1'!B83*(1+'Other Assumptions'!D$51)*(1+'Active Mode Assumptions'!B18)</f>
        <v>20.722330986999999</v>
      </c>
      <c r="C83" s="4">
        <f ca="1">C160*'Total Distance Tables Sup #1'!C83*(1+'Other Assumptions'!G$51)*(1+'Active Mode Assumptions'!C18)</f>
        <v>22.168009569770842</v>
      </c>
      <c r="D83" s="4">
        <f ca="1">D160*'Total Distance Tables Sup #1'!D83*(1+'Other Assumptions'!H$51)*(1+'Active Mode Assumptions'!D18)</f>
        <v>22.666203299355796</v>
      </c>
      <c r="E83" s="4">
        <f ca="1">E160*'Total Distance Tables Sup #1'!E83*(1+'Other Assumptions'!I$51)*(1+'Active Mode Assumptions'!E18)</f>
        <v>22.688353389905455</v>
      </c>
      <c r="F83" s="4">
        <f ca="1">F160*'Total Distance Tables Sup #1'!F83*(1+'Other Assumptions'!J$51)*(1+'Active Mode Assumptions'!F18)</f>
        <v>22.922343496769436</v>
      </c>
      <c r="G83" s="4">
        <f ca="1">G160*'Total Distance Tables Sup #1'!G83*(1+'Other Assumptions'!K$51)*(1+'Active Mode Assumptions'!G18)</f>
        <v>23.433602527165355</v>
      </c>
      <c r="H83" s="4">
        <f ca="1">H160*'Total Distance Tables Sup #1'!H83*(1+'Other Assumptions'!L$51)*(1+'Active Mode Assumptions'!H18)</f>
        <v>23.882804699593624</v>
      </c>
      <c r="I83" s="1">
        <f ca="1">I160*'Total Distance Tables Sup #1'!I83*(1+'Other Assumptions'!M$51)*(1+'Active Mode Assumptions'!I18)</f>
        <v>23.769106140684453</v>
      </c>
      <c r="J83" s="1">
        <f ca="1">J160*'Total Distance Tables Sup #1'!J83*(1+'Other Assumptions'!N$51)*(1+'Active Mode Assumptions'!J18)</f>
        <v>23.582054329043917</v>
      </c>
      <c r="K83" s="1">
        <f ca="1">K160*'Total Distance Tables Sup #1'!K83*(1+'Other Assumptions'!O$51)*(1+'Active Mode Assumptions'!K18)</f>
        <v>23.347558614530204</v>
      </c>
    </row>
    <row r="84" spans="1:11" x14ac:dyDescent="0.2">
      <c r="A84" t="str">
        <f ca="1">OFFSET(Manawatu_Reference,14,2)</f>
        <v>Light Vehicle Driver</v>
      </c>
      <c r="B84" s="4">
        <f ca="1">B161*'Total Distance Tables Sup #1'!B84*(1+'Other Assumptions'!D$51)-(B82*'Active Mode Assumptions'!B9*'Active Mode Assumptions'!B14/(1+'Active Mode Assumptions'!B9))-(B83*'Active Mode Assumptions'!B18*'Active Mode Assumptions'!B23/(1+'Active Mode Assumptions'!B18))</f>
        <v>1782.4745101999999</v>
      </c>
      <c r="C84" s="4">
        <f ca="1">C161*'Total Distance Tables Sup #1'!C84*(1+'Other Assumptions'!G$51)-(C82*'Active Mode Assumptions'!C9*'Active Mode Assumptions'!C14/(1+'Active Mode Assumptions'!C9))-(C83*'Active Mode Assumptions'!C18*'Active Mode Assumptions'!C23/(1+'Active Mode Assumptions'!C18))</f>
        <v>1908.3688640784865</v>
      </c>
      <c r="D84" s="4">
        <f ca="1">D161*'Total Distance Tables Sup #1'!D84*(1+'Other Assumptions'!H$51)-(D82*'Active Mode Assumptions'!D9*'Active Mode Assumptions'!D14/(1+'Active Mode Assumptions'!D9))-(D83*'Active Mode Assumptions'!D18*'Active Mode Assumptions'!D23/(1+'Active Mode Assumptions'!D18))</f>
        <v>1967.6265509154196</v>
      </c>
      <c r="E84" s="4">
        <f ca="1">E161*'Total Distance Tables Sup #1'!E84*(1+'Other Assumptions'!I$51)-(E82*'Active Mode Assumptions'!E9*'Active Mode Assumptions'!E14/(1+'Active Mode Assumptions'!E9))-(E83*'Active Mode Assumptions'!E18*'Active Mode Assumptions'!E23/(1+'Active Mode Assumptions'!E18))</f>
        <v>1994.3274593672354</v>
      </c>
      <c r="F84" s="4">
        <f ca="1">F161*'Total Distance Tables Sup #1'!F84*(1+'Other Assumptions'!J$51)-(F82*'Active Mode Assumptions'!F9*'Active Mode Assumptions'!F14/(1+'Active Mode Assumptions'!F9))-(F83*'Active Mode Assumptions'!F18*'Active Mode Assumptions'!F23/(1+'Active Mode Assumptions'!F18))</f>
        <v>2011.2984864547491</v>
      </c>
      <c r="G84" s="4">
        <f ca="1">G161*'Total Distance Tables Sup #1'!G84*(1+'Other Assumptions'!K$51)-(G82*'Active Mode Assumptions'!G9*'Active Mode Assumptions'!G14/(1+'Active Mode Assumptions'!G9))-(G83*'Active Mode Assumptions'!G18*'Active Mode Assumptions'!G23/(1+'Active Mode Assumptions'!G18))</f>
        <v>2009.1361181303403</v>
      </c>
      <c r="H84" s="4">
        <f ca="1">H161*'Total Distance Tables Sup #1'!H84*(1+'Other Assumptions'!L$51)-(H82*'Active Mode Assumptions'!H9*'Active Mode Assumptions'!H14/(1+'Active Mode Assumptions'!H9))-(H83*'Active Mode Assumptions'!H18*'Active Mode Assumptions'!H23/(1+'Active Mode Assumptions'!H18))</f>
        <v>1999.0240054779229</v>
      </c>
      <c r="I84" s="1">
        <f ca="1">I161*'Total Distance Tables Sup #1'!I84*(1+'Other Assumptions'!M$51)-(I82*'Active Mode Assumptions'!I9*'Active Mode Assumptions'!I14/(1+'Active Mode Assumptions'!I9))-(I83*'Active Mode Assumptions'!I18*'Active Mode Assumptions'!I23/(1+'Active Mode Assumptions'!I18))</f>
        <v>1984.0471838129406</v>
      </c>
      <c r="J84" s="1">
        <f ca="1">J161*'Total Distance Tables Sup #1'!J84*(1+'Other Assumptions'!N$51)-(J82*'Active Mode Assumptions'!J9*'Active Mode Assumptions'!J14/(1+'Active Mode Assumptions'!J9))-(J83*'Active Mode Assumptions'!J18*'Active Mode Assumptions'!J23/(1+'Active Mode Assumptions'!J18))</f>
        <v>1962.9298162372854</v>
      </c>
      <c r="K84" s="1">
        <f ca="1">K161*'Total Distance Tables Sup #1'!K84*(1+'Other Assumptions'!O$51)-(K82*'Active Mode Assumptions'!K9*'Active Mode Assumptions'!K14/(1+'Active Mode Assumptions'!K9))-(K83*'Active Mode Assumptions'!K18*'Active Mode Assumptions'!K23/(1+'Active Mode Assumptions'!K18))</f>
        <v>1937.87812905482</v>
      </c>
    </row>
    <row r="85" spans="1:11" x14ac:dyDescent="0.2">
      <c r="A85" t="str">
        <f ca="1">OFFSET(Manawatu_Reference,21,2)</f>
        <v>Light Vehicle Passenger</v>
      </c>
      <c r="B85" s="4">
        <f ca="1">B162*'Total Distance Tables Sup #1'!B85*(1+'Other Assumptions'!D$51)-(B82*'Active Mode Assumptions'!B9*'Active Mode Assumptions'!B15/(1+'Active Mode Assumptions'!B9))-(B83*'Active Mode Assumptions'!B18*'Active Mode Assumptions'!B24/(1+'Active Mode Assumptions'!B18))</f>
        <v>885.65568203999999</v>
      </c>
      <c r="C85" s="4">
        <f ca="1">C162*'Total Distance Tables Sup #1'!C85*(1+'Other Assumptions'!G$51)-(C82*'Active Mode Assumptions'!C9*'Active Mode Assumptions'!C15/(1+'Active Mode Assumptions'!C9))-(C83*'Active Mode Assumptions'!C18*'Active Mode Assumptions'!C24/(1+'Active Mode Assumptions'!C18))</f>
        <v>910.00430106687747</v>
      </c>
      <c r="D85" s="4">
        <f ca="1">D162*'Total Distance Tables Sup #1'!D85*(1+'Other Assumptions'!H$51)-(D82*'Active Mode Assumptions'!D9*'Active Mode Assumptions'!D15/(1+'Active Mode Assumptions'!D9))-(D83*'Active Mode Assumptions'!D18*'Active Mode Assumptions'!D24/(1+'Active Mode Assumptions'!D18))</f>
        <v>916.55852714146886</v>
      </c>
      <c r="E85" s="4">
        <f ca="1">E162*'Total Distance Tables Sup #1'!E85*(1+'Other Assumptions'!I$51)-(E82*'Active Mode Assumptions'!E9*'Active Mode Assumptions'!E15/(1+'Active Mode Assumptions'!E9))-(E83*'Active Mode Assumptions'!E18*'Active Mode Assumptions'!E24/(1+'Active Mode Assumptions'!E18))</f>
        <v>916.23782948982216</v>
      </c>
      <c r="F85" s="4">
        <f ca="1">F162*'Total Distance Tables Sup #1'!F85*(1+'Other Assumptions'!J$51)-(F82*'Active Mode Assumptions'!F9*'Active Mode Assumptions'!F15/(1+'Active Mode Assumptions'!F9))-(F83*'Active Mode Assumptions'!F18*'Active Mode Assumptions'!F24/(1+'Active Mode Assumptions'!F18))</f>
        <v>909.68528742675289</v>
      </c>
      <c r="G85" s="4">
        <f ca="1">G162*'Total Distance Tables Sup #1'!G85*(1+'Other Assumptions'!K$51)-(G82*'Active Mode Assumptions'!G9*'Active Mode Assumptions'!G15/(1+'Active Mode Assumptions'!G9))-(G83*'Active Mode Assumptions'!G18*'Active Mode Assumptions'!G24/(1+'Active Mode Assumptions'!G18))</f>
        <v>898.67336530942816</v>
      </c>
      <c r="H85" s="4">
        <f ca="1">H162*'Total Distance Tables Sup #1'!H85*(1+'Other Assumptions'!L$51)-(H82*'Active Mode Assumptions'!H9*'Active Mode Assumptions'!H15/(1+'Active Mode Assumptions'!H9))-(H83*'Active Mode Assumptions'!H18*'Active Mode Assumptions'!H24/(1+'Active Mode Assumptions'!H18))</f>
        <v>883.39214455211891</v>
      </c>
      <c r="I85" s="1">
        <f ca="1">I162*'Total Distance Tables Sup #1'!I85*(1+'Other Assumptions'!M$51)-(I82*'Active Mode Assumptions'!I9*'Active Mode Assumptions'!I15/(1+'Active Mode Assumptions'!I9))-(I83*'Active Mode Assumptions'!I18*'Active Mode Assumptions'!I24/(1+'Active Mode Assumptions'!I18))</f>
        <v>877.74012833077438</v>
      </c>
      <c r="J85" s="1">
        <f ca="1">J162*'Total Distance Tables Sup #1'!J85*(1+'Other Assumptions'!N$51)-(J82*'Active Mode Assumptions'!J9*'Active Mode Assumptions'!J15/(1+'Active Mode Assumptions'!J9))-(J83*'Active Mode Assumptions'!J18*'Active Mode Assumptions'!J24/(1+'Active Mode Assumptions'!J18))</f>
        <v>869.35815162408926</v>
      </c>
      <c r="K85" s="1">
        <f ca="1">K162*'Total Distance Tables Sup #1'!K85*(1+'Other Assumptions'!O$51)-(K82*'Active Mode Assumptions'!K9*'Active Mode Assumptions'!K15/(1+'Active Mode Assumptions'!K9))-(K83*'Active Mode Assumptions'!K18*'Active Mode Assumptions'!K24/(1+'Active Mode Assumptions'!K18))</f>
        <v>859.21476263581553</v>
      </c>
    </row>
    <row r="86" spans="1:11" x14ac:dyDescent="0.2">
      <c r="A86" t="str">
        <f ca="1">OFFSET(Manawatu_Reference,28,2)</f>
        <v>Taxi/Vehicle Share</v>
      </c>
      <c r="B86" s="4">
        <f ca="1">B163*'Total Distance Tables Sup #1'!B86*(1+'Other Assumptions'!D$51)</f>
        <v>5.6344181790999999</v>
      </c>
      <c r="C86" s="4">
        <f ca="1">C163*'Total Distance Tables Sup #1'!C86*(1+'Other Assumptions'!G$51)</f>
        <v>6.2862656178764578</v>
      </c>
      <c r="D86" s="4">
        <f ca="1">D163*'Total Distance Tables Sup #1'!D86*(1+'Other Assumptions'!H$51)</f>
        <v>6.8133015071856491</v>
      </c>
      <c r="E86" s="4">
        <f ca="1">E163*'Total Distance Tables Sup #1'!E86*(1+'Other Assumptions'!I$51)</f>
        <v>7.2956169402029154</v>
      </c>
      <c r="F86" s="4">
        <f ca="1">F163*'Total Distance Tables Sup #1'!F86*(1+'Other Assumptions'!J$51)</f>
        <v>7.6873147094237577</v>
      </c>
      <c r="G86" s="4">
        <f ca="1">G163*'Total Distance Tables Sup #1'!G86*(1+'Other Assumptions'!K$51)</f>
        <v>7.9588810918636783</v>
      </c>
      <c r="H86" s="4">
        <f ca="1">H163*'Total Distance Tables Sup #1'!H86*(1+'Other Assumptions'!L$51)</f>
        <v>8.1989942418439945</v>
      </c>
      <c r="I86" s="1">
        <f ca="1">I163*'Total Distance Tables Sup #1'!I86*(1+'Other Assumptions'!M$51)</f>
        <v>8.1147371147480563</v>
      </c>
      <c r="J86" s="1">
        <f ca="1">J163*'Total Distance Tables Sup #1'!J86*(1+'Other Assumptions'!N$51)</f>
        <v>8.0057324412989743</v>
      </c>
      <c r="K86" s="1">
        <f ca="1">K163*'Total Distance Tables Sup #1'!K86*(1+'Other Assumptions'!O$51)</f>
        <v>7.8811808856848238</v>
      </c>
    </row>
    <row r="87" spans="1:11" x14ac:dyDescent="0.2">
      <c r="A87" t="str">
        <f ca="1">OFFSET(Manawatu_Reference,35,2)</f>
        <v>Motorcyclist</v>
      </c>
      <c r="B87" s="4">
        <f ca="1">B164*'Total Distance Tables Sup #1'!B87*(1+'Other Assumptions'!D$51)</f>
        <v>3.8744282972000001</v>
      </c>
      <c r="C87" s="4">
        <f ca="1">C164*'Total Distance Tables Sup #1'!C87*(1+'Other Assumptions'!G$51)</f>
        <v>4.1472561809390456</v>
      </c>
      <c r="D87" s="4">
        <f ca="1">D164*'Total Distance Tables Sup #1'!D87*(1+'Other Assumptions'!H$51)</f>
        <v>4.2698545292987413</v>
      </c>
      <c r="E87" s="4">
        <f ca="1">E164*'Total Distance Tables Sup #1'!E87*(1+'Other Assumptions'!I$51)</f>
        <v>4.2517276359418705</v>
      </c>
      <c r="F87" s="4">
        <f ca="1">F164*'Total Distance Tables Sup #1'!F87*(1+'Other Assumptions'!J$51)</f>
        <v>4.1920385097516979</v>
      </c>
      <c r="G87" s="4">
        <f ca="1">G164*'Total Distance Tables Sup #1'!G87*(1+'Other Assumptions'!K$51)</f>
        <v>4.0623433842835119</v>
      </c>
      <c r="H87" s="4">
        <f ca="1">H164*'Total Distance Tables Sup #1'!H87*(1+'Other Assumptions'!L$51)</f>
        <v>3.9165817878555673</v>
      </c>
      <c r="I87" s="1">
        <f ca="1">I164*'Total Distance Tables Sup #1'!I87*(1+'Other Assumptions'!M$51)</f>
        <v>3.9112598128779124</v>
      </c>
      <c r="J87" s="1">
        <f ca="1">J164*'Total Distance Tables Sup #1'!J87*(1+'Other Assumptions'!N$51)</f>
        <v>3.893661566178408</v>
      </c>
      <c r="K87" s="1">
        <f ca="1">K164*'Total Distance Tables Sup #1'!K87*(1+'Other Assumptions'!O$51)</f>
        <v>3.8679492911639808</v>
      </c>
    </row>
    <row r="88" spans="1:11" x14ac:dyDescent="0.2">
      <c r="A88" t="str">
        <f ca="1">OFFSET(Taranaki_Reference,42,2)</f>
        <v>Local Train</v>
      </c>
      <c r="B88" s="4">
        <f ca="1">B165*'Total Distance Tables Sup #1'!B88*(1+'Other Assumptions'!D$51)</f>
        <v>0</v>
      </c>
      <c r="C88" s="4">
        <f ca="1">C165*'Total Distance Tables Sup #1'!C88*(1+'Other Assumptions'!G$51)</f>
        <v>0</v>
      </c>
      <c r="D88" s="4">
        <f ca="1">D165*'Total Distance Tables Sup #1'!D88*(1+'Other Assumptions'!H$51)</f>
        <v>0</v>
      </c>
      <c r="E88" s="4">
        <f ca="1">E165*'Total Distance Tables Sup #1'!E88*(1+'Other Assumptions'!I$51)</f>
        <v>0</v>
      </c>
      <c r="F88" s="4">
        <f ca="1">F165*'Total Distance Tables Sup #1'!F88*(1+'Other Assumptions'!J$51)</f>
        <v>0</v>
      </c>
      <c r="G88" s="4">
        <f ca="1">G165*'Total Distance Tables Sup #1'!G88*(1+'Other Assumptions'!K$51)</f>
        <v>0</v>
      </c>
      <c r="H88" s="4">
        <f ca="1">H165*'Total Distance Tables Sup #1'!H88*(1+'Other Assumptions'!L$51)</f>
        <v>0</v>
      </c>
      <c r="I88" s="1">
        <f ca="1">I165*'Total Distance Tables Sup #1'!I88*(1+'Other Assumptions'!M$51)</f>
        <v>0</v>
      </c>
      <c r="J88" s="1">
        <f ca="1">J165*'Total Distance Tables Sup #1'!J88*(1+'Other Assumptions'!N$51)</f>
        <v>0</v>
      </c>
      <c r="K88" s="1">
        <f ca="1">K165*'Total Distance Tables Sup #1'!K88*(1+'Other Assumptions'!O$51)</f>
        <v>0</v>
      </c>
    </row>
    <row r="89" spans="1:11" x14ac:dyDescent="0.2">
      <c r="A89" t="str">
        <f ca="1">OFFSET(Manawatu_Reference,42,2)</f>
        <v>Local Bus</v>
      </c>
      <c r="B89" s="4">
        <f ca="1">B166*'Total Distance Tables Sup #1'!B89*(1+'Other Assumptions'!D$51)</f>
        <v>39.768452936000003</v>
      </c>
      <c r="C89" s="4">
        <f ca="1">C166*'Total Distance Tables Sup #1'!C89*(1+'Other Assumptions'!G$51)</f>
        <v>37.860769348958677</v>
      </c>
      <c r="D89" s="4">
        <f ca="1">D166*'Total Distance Tables Sup #1'!D89*(1+'Other Assumptions'!H$51)</f>
        <v>36.375527910889502</v>
      </c>
      <c r="E89" s="4">
        <f ca="1">E166*'Total Distance Tables Sup #1'!E89*(1+'Other Assumptions'!I$51)</f>
        <v>35.240586482154747</v>
      </c>
      <c r="F89" s="4">
        <f ca="1">F166*'Total Distance Tables Sup #1'!F89*(1+'Other Assumptions'!J$51)</f>
        <v>33.615091326607882</v>
      </c>
      <c r="G89" s="4">
        <f ca="1">G166*'Total Distance Tables Sup #1'!G89*(1+'Other Assumptions'!K$51)</f>
        <v>32.43292950197624</v>
      </c>
      <c r="H89" s="4">
        <f ca="1">H166*'Total Distance Tables Sup #1'!H89*(1+'Other Assumptions'!L$51)</f>
        <v>31.146043866694029</v>
      </c>
      <c r="I89" s="1">
        <f ca="1">I166*'Total Distance Tables Sup #1'!I89*(1+'Other Assumptions'!M$51)</f>
        <v>30.950027100929834</v>
      </c>
      <c r="J89" s="1">
        <f ca="1">J166*'Total Distance Tables Sup #1'!J89*(1+'Other Assumptions'!N$51)</f>
        <v>30.657301938060794</v>
      </c>
      <c r="K89" s="1">
        <f ca="1">K166*'Total Distance Tables Sup #1'!K89*(1+'Other Assumptions'!O$51)</f>
        <v>30.302031481617163</v>
      </c>
    </row>
    <row r="90" spans="1:11" x14ac:dyDescent="0.2">
      <c r="A90" t="str">
        <f ca="1">OFFSET(Manawatu_Reference,49,2)</f>
        <v>Local Ferry</v>
      </c>
      <c r="B90" s="4">
        <f ca="1">B167*'Total Distance Tables Sup #1'!B90*(1+'Other Assumptions'!D$51)</f>
        <v>0</v>
      </c>
      <c r="C90" s="4">
        <f ca="1">C167*'Total Distance Tables Sup #1'!C90*(1+'Other Assumptions'!G$51)</f>
        <v>0</v>
      </c>
      <c r="D90" s="4">
        <f ca="1">D167*'Total Distance Tables Sup #1'!D90*(1+'Other Assumptions'!H$51)</f>
        <v>0</v>
      </c>
      <c r="E90" s="4">
        <f ca="1">E167*'Total Distance Tables Sup #1'!E90*(1+'Other Assumptions'!I$51)</f>
        <v>0</v>
      </c>
      <c r="F90" s="4">
        <f ca="1">F167*'Total Distance Tables Sup #1'!F90*(1+'Other Assumptions'!J$51)</f>
        <v>0</v>
      </c>
      <c r="G90" s="4">
        <f ca="1">G167*'Total Distance Tables Sup #1'!G90*(1+'Other Assumptions'!K$51)</f>
        <v>0</v>
      </c>
      <c r="H90" s="4">
        <f ca="1">H167*'Total Distance Tables Sup #1'!H90*(1+'Other Assumptions'!L$51)</f>
        <v>0</v>
      </c>
      <c r="I90" s="1">
        <f ca="1">I167*'Total Distance Tables Sup #1'!I90*(1+'Other Assumptions'!M$51)</f>
        <v>0</v>
      </c>
      <c r="J90" s="1">
        <f ca="1">J167*'Total Distance Tables Sup #1'!J90*(1+'Other Assumptions'!N$51)</f>
        <v>0</v>
      </c>
      <c r="K90" s="1">
        <f ca="1">K167*'Total Distance Tables Sup #1'!K90*(1+'Other Assumptions'!O$51)</f>
        <v>0</v>
      </c>
    </row>
    <row r="91" spans="1:11" x14ac:dyDescent="0.2">
      <c r="A91" t="str">
        <f ca="1">OFFSET(Manawatu_Reference,56,2)</f>
        <v>Other Household Travel</v>
      </c>
      <c r="B91" s="4">
        <f ca="1">B168*'Total Distance Tables Sup #1'!B91*(1+'Other Assumptions'!D$51)</f>
        <v>0</v>
      </c>
      <c r="C91" s="4">
        <f ca="1">C168*'Total Distance Tables Sup #1'!C91*(1+'Other Assumptions'!G$51)</f>
        <v>0</v>
      </c>
      <c r="D91" s="4">
        <f ca="1">D168*'Total Distance Tables Sup #1'!D91*(1+'Other Assumptions'!H$51)</f>
        <v>0</v>
      </c>
      <c r="E91" s="4">
        <f ca="1">E168*'Total Distance Tables Sup #1'!E91*(1+'Other Assumptions'!I$51)</f>
        <v>0</v>
      </c>
      <c r="F91" s="4">
        <f ca="1">F168*'Total Distance Tables Sup #1'!F91*(1+'Other Assumptions'!J$51)</f>
        <v>0</v>
      </c>
      <c r="G91" s="4">
        <f ca="1">G168*'Total Distance Tables Sup #1'!G91*(1+'Other Assumptions'!K$51)</f>
        <v>0</v>
      </c>
      <c r="H91" s="4">
        <f ca="1">H168*'Total Distance Tables Sup #1'!H91*(1+'Other Assumptions'!L$51)</f>
        <v>0</v>
      </c>
      <c r="I91" s="1">
        <f ca="1">I168*'Total Distance Tables Sup #1'!I91*(1+'Other Assumptions'!M$51)</f>
        <v>0</v>
      </c>
      <c r="J91" s="1">
        <f ca="1">J168*'Total Distance Tables Sup #1'!J91*(1+'Other Assumptions'!N$51)</f>
        <v>0</v>
      </c>
      <c r="K91" s="1">
        <f ca="1">K168*'Total Distance Tables Sup #1'!K91*(1+'Other Assumptions'!O$51)</f>
        <v>0</v>
      </c>
    </row>
    <row r="92" spans="1:11" x14ac:dyDescent="0.2">
      <c r="A92" t="str">
        <f ca="1">OFFSET(Wellington_Reference,0,0)</f>
        <v>09 WELLINGTON</v>
      </c>
      <c r="I92" s="1"/>
      <c r="J92" s="1"/>
      <c r="K92" s="1"/>
    </row>
    <row r="93" spans="1:11" x14ac:dyDescent="0.2">
      <c r="A93" t="str">
        <f ca="1">OFFSET(Wellington_Reference,0,2)</f>
        <v>Pedestrian</v>
      </c>
      <c r="B93" s="4">
        <f ca="1">B159*'Total Distance Tables Sup #1'!B93*(1+'Other Assumptions'!D$52)*(1+'Active Mode Assumptions'!B9)-('PT Assumptions'!B44*'Total Distance Tables Sup #2'!B171+'PT Assumptions'!B56*'Total Distance Tables Sup #2'!B174)*(1+'Other Assumptions'!D$52)</f>
        <v>126.13499251</v>
      </c>
      <c r="C93" s="4">
        <f ca="1">C159*'Total Distance Tables Sup #1'!C93*(1+'Other Assumptions'!G$52)*(1+'Active Mode Assumptions'!C9)-('PT Assumptions'!C44*'Total Distance Tables Sup #2'!C171+'PT Assumptions'!C56*'Total Distance Tables Sup #2'!C174)*(1+'Other Assumptions'!G$52)</f>
        <v>132.57550061390782</v>
      </c>
      <c r="D93" s="4">
        <f ca="1">D159*'Total Distance Tables Sup #1'!D93*(1+'Other Assumptions'!H$52)*(1+'Active Mode Assumptions'!D9)-('PT Assumptions'!D44*'Total Distance Tables Sup #2'!D171+'PT Assumptions'!D56*'Total Distance Tables Sup #2'!D174)*(1+'Other Assumptions'!H$52)</f>
        <v>134.78702249697096</v>
      </c>
      <c r="E93" s="4">
        <f ca="1">E159*'Total Distance Tables Sup #1'!E93*(1+'Other Assumptions'!I$52)*(1+'Active Mode Assumptions'!E9)-('PT Assumptions'!E44*'Total Distance Tables Sup #2'!E171+'PT Assumptions'!E56*'Total Distance Tables Sup #2'!E174)*(1+'Other Assumptions'!I$52)</f>
        <v>136.18159254285325</v>
      </c>
      <c r="F93" s="4">
        <f ca="1">F159*'Total Distance Tables Sup #1'!F93*(1+'Other Assumptions'!J$52)*(1+'Active Mode Assumptions'!F9)-('PT Assumptions'!F44*'Total Distance Tables Sup #2'!F171+'PT Assumptions'!F56*'Total Distance Tables Sup #2'!F174)*(1+'Other Assumptions'!J$52)</f>
        <v>136.70061686397068</v>
      </c>
      <c r="G93" s="4">
        <f ca="1">G159*'Total Distance Tables Sup #1'!G93*(1+'Other Assumptions'!K$52)*(1+'Active Mode Assumptions'!G9)-('PT Assumptions'!G44*'Total Distance Tables Sup #2'!G171+'PT Assumptions'!G56*'Total Distance Tables Sup #2'!G174)*(1+'Other Assumptions'!K$52)</f>
        <v>136.95124320929446</v>
      </c>
      <c r="H93" s="4">
        <f ca="1">H159*'Total Distance Tables Sup #1'!H93*(1+'Other Assumptions'!L$52)*(1+'Active Mode Assumptions'!H9)-('PT Assumptions'!H44*'Total Distance Tables Sup #2'!H171+'PT Assumptions'!H56*'Total Distance Tables Sup #2'!H174)*(1+'Other Assumptions'!L$52)</f>
        <v>136.52840995376229</v>
      </c>
      <c r="I93" s="1">
        <f ca="1">I159*'Total Distance Tables Sup #1'!I93*(1+'Other Assumptions'!M$52)*(1+'Active Mode Assumptions'!I9)-('PT Assumptions'!I44*'Total Distance Tables Sup #2'!I171+'PT Assumptions'!I56*'Total Distance Tables Sup #2'!I174)*(1+'Other Assumptions'!M$52)</f>
        <v>137.05372345545641</v>
      </c>
      <c r="J93" s="1">
        <f ca="1">J159*'Total Distance Tables Sup #1'!J93*(1+'Other Assumptions'!N$52)*(1+'Active Mode Assumptions'!J9)-('PT Assumptions'!J44*'Total Distance Tables Sup #2'!J171+'PT Assumptions'!J56*'Total Distance Tables Sup #2'!J174)*(1+'Other Assumptions'!N$52)</f>
        <v>137.10356827562114</v>
      </c>
      <c r="K93" s="1">
        <f ca="1">K159*'Total Distance Tables Sup #1'!K93*(1+'Other Assumptions'!O$52)*(1+'Active Mode Assumptions'!K9)-('PT Assumptions'!K44*'Total Distance Tables Sup #2'!K171+'PT Assumptions'!K56*'Total Distance Tables Sup #2'!K174)*(1+'Other Assumptions'!O$52)</f>
        <v>136.82800557671442</v>
      </c>
    </row>
    <row r="94" spans="1:11" x14ac:dyDescent="0.2">
      <c r="A94" t="str">
        <f ca="1">OFFSET(Wellington_Reference,7,2)</f>
        <v>Cyclist</v>
      </c>
      <c r="B94" s="4">
        <f ca="1">B160*'Total Distance Tables Sup #1'!B94*(1+'Other Assumptions'!D$52)*(1+'Active Mode Assumptions'!B18)-('PT Assumptions'!B45*'Total Distance Tables Sup #2'!B171+'PT Assumptions'!B57*'Total Distance Tables Sup #2'!B174)*(1+'Other Assumptions'!D$52)</f>
        <v>52.092312808000003</v>
      </c>
      <c r="C94" s="4">
        <f ca="1">C160*'Total Distance Tables Sup #1'!C94*(1+'Other Assumptions'!G$52)*(1+'Active Mode Assumptions'!C18)-('PT Assumptions'!C45*'Total Distance Tables Sup #2'!C171+'PT Assumptions'!C57*'Total Distance Tables Sup #2'!C174)*(1+'Other Assumptions'!G$52)</f>
        <v>56.708608523593192</v>
      </c>
      <c r="D94" s="4">
        <f ca="1">D160*'Total Distance Tables Sup #1'!D94*(1+'Other Assumptions'!H$52)*(1+'Active Mode Assumptions'!D18)-('PT Assumptions'!D45*'Total Distance Tables Sup #2'!D171+'PT Assumptions'!D57*'Total Distance Tables Sup #2'!D174)*(1+'Other Assumptions'!H$52)</f>
        <v>58.925524414575754</v>
      </c>
      <c r="E94" s="4">
        <f ca="1">E160*'Total Distance Tables Sup #1'!E94*(1+'Other Assumptions'!I$52)*(1+'Active Mode Assumptions'!E18)-('PT Assumptions'!E45*'Total Distance Tables Sup #2'!E171+'PT Assumptions'!E57*'Total Distance Tables Sup #2'!E174)*(1+'Other Assumptions'!I$52)</f>
        <v>59.79171186972907</v>
      </c>
      <c r="F94" s="4">
        <f ca="1">F160*'Total Distance Tables Sup #1'!F94*(1+'Other Assumptions'!J$52)*(1+'Active Mode Assumptions'!F18)-('PT Assumptions'!F45*'Total Distance Tables Sup #2'!F171+'PT Assumptions'!F57*'Total Distance Tables Sup #2'!F174)*(1+'Other Assumptions'!J$52)</f>
        <v>61.300300167286935</v>
      </c>
      <c r="G94" s="4">
        <f ca="1">G160*'Total Distance Tables Sup #1'!G94*(1+'Other Assumptions'!K$52)*(1+'Active Mode Assumptions'!G18)-('PT Assumptions'!G45*'Total Distance Tables Sup #2'!G171+'PT Assumptions'!G57*'Total Distance Tables Sup #2'!G174)*(1+'Other Assumptions'!K$52)</f>
        <v>63.61501020227449</v>
      </c>
      <c r="H94" s="4">
        <f ca="1">H160*'Total Distance Tables Sup #1'!H94*(1+'Other Assumptions'!L$52)*(1+'Active Mode Assumptions'!H18)-('PT Assumptions'!H45*'Total Distance Tables Sup #2'!H171+'PT Assumptions'!H57*'Total Distance Tables Sup #2'!H174)*(1+'Other Assumptions'!L$52)</f>
        <v>65.805232523527977</v>
      </c>
      <c r="I94" s="1">
        <f ca="1">I160*'Total Distance Tables Sup #1'!I94*(1+'Other Assumptions'!M$52)*(1+'Active Mode Assumptions'!I18)-('PT Assumptions'!I45*'Total Distance Tables Sup #2'!I171+'PT Assumptions'!I57*'Total Distance Tables Sup #2'!I174)*(1+'Other Assumptions'!M$52)</f>
        <v>66.47257607773399</v>
      </c>
      <c r="J94" s="1">
        <f ca="1">J160*'Total Distance Tables Sup #1'!J94*(1+'Other Assumptions'!N$52)*(1+'Active Mode Assumptions'!J18)-('PT Assumptions'!J45*'Total Distance Tables Sup #2'!J171+'PT Assumptions'!J57*'Total Distance Tables Sup #2'!J174)*(1+'Other Assumptions'!N$52)</f>
        <v>66.936939911429477</v>
      </c>
      <c r="K94" s="1">
        <f ca="1">K160*'Total Distance Tables Sup #1'!K94*(1+'Other Assumptions'!O$52)*(1+'Active Mode Assumptions'!K18)-('PT Assumptions'!K45*'Total Distance Tables Sup #2'!K171+'PT Assumptions'!K57*'Total Distance Tables Sup #2'!K174)*(1+'Other Assumptions'!O$52)</f>
        <v>67.263622402714745</v>
      </c>
    </row>
    <row r="95" spans="1:11" x14ac:dyDescent="0.2">
      <c r="A95" t="str">
        <f ca="1">OFFSET(Wellington_Reference,14,2)</f>
        <v>Light Vehicle Driver</v>
      </c>
      <c r="B95" s="4">
        <f ca="1">(B161*'Total Distance Tables Sup #1'!B95-'PT Assumptions'!B46*'Total Distance Tables Sup #2'!B171-'PT Assumptions'!B58*'Total Distance Tables Sup #2'!B174)*(1+'Other Assumptions'!D$52)-(B159*'Total Distance Tables Sup #1'!B93)*(1+'Other Assumptions'!D$52)*'Active Mode Assumptions'!B9*'Active Mode Assumptions'!B14-(B160*'Total Distance Tables Sup #1'!B94)*(1+'Other Assumptions'!D$52)*'Active Mode Assumptions'!B18*'Active Mode Assumptions'!B23</f>
        <v>3481.4296611999998</v>
      </c>
      <c r="C95" s="4">
        <f ca="1">(C161*'Total Distance Tables Sup #1'!C95-'PT Assumptions'!C46*'Total Distance Tables Sup #2'!C171-'PT Assumptions'!C58*'Total Distance Tables Sup #2'!C174)*(1+'Other Assumptions'!G$52)-(C159*'Total Distance Tables Sup #1'!C93)*(1+'Other Assumptions'!G$52)*'Active Mode Assumptions'!C9*'Active Mode Assumptions'!C14-(C160*'Total Distance Tables Sup #1'!C94)*(1+'Other Assumptions'!G$52)*'Active Mode Assumptions'!C18*'Active Mode Assumptions'!C23</f>
        <v>3792.7377630597539</v>
      </c>
      <c r="D95" s="4">
        <f ca="1">(D161*'Total Distance Tables Sup #1'!D95-'PT Assumptions'!D46*'Total Distance Tables Sup #2'!D171-'PT Assumptions'!D58*'Total Distance Tables Sup #2'!D174)*(1+'Other Assumptions'!H$52)-(D159*'Total Distance Tables Sup #1'!D93)*(1+'Other Assumptions'!H$52)*'Active Mode Assumptions'!D9*'Active Mode Assumptions'!D14-(D160*'Total Distance Tables Sup #1'!D94)*(1+'Other Assumptions'!H$52)*'Active Mode Assumptions'!D18*'Active Mode Assumptions'!D23</f>
        <v>3961.3289254672682</v>
      </c>
      <c r="E95" s="4">
        <f ca="1">(E161*'Total Distance Tables Sup #1'!E95-'PT Assumptions'!E46*'Total Distance Tables Sup #2'!E171-'PT Assumptions'!E58*'Total Distance Tables Sup #2'!E174)*(1+'Other Assumptions'!I$52)-(E159*'Total Distance Tables Sup #1'!E93)*(1+'Other Assumptions'!I$52)*'Active Mode Assumptions'!E9*'Active Mode Assumptions'!E14-(E160*'Total Distance Tables Sup #1'!E94)*(1+'Other Assumptions'!I$52)*'Active Mode Assumptions'!E18*'Active Mode Assumptions'!E23</f>
        <v>4060.6318350553629</v>
      </c>
      <c r="F95" s="4">
        <f ca="1">(F161*'Total Distance Tables Sup #1'!F95-'PT Assumptions'!F46*'Total Distance Tables Sup #2'!F171-'PT Assumptions'!F58*'Total Distance Tables Sup #2'!F174)*(1+'Other Assumptions'!J$52)-(F159*'Total Distance Tables Sup #1'!F93)*(1+'Other Assumptions'!J$52)*'Active Mode Assumptions'!F9*'Active Mode Assumptions'!F14-(F160*'Total Distance Tables Sup #1'!F94)*(1+'Other Assumptions'!J$52)*'Active Mode Assumptions'!F18*'Active Mode Assumptions'!F23</f>
        <v>4149.3168141927317</v>
      </c>
      <c r="G95" s="4">
        <f ca="1">(G161*'Total Distance Tables Sup #1'!G95-'PT Assumptions'!G46*'Total Distance Tables Sup #2'!G171-'PT Assumptions'!G58*'Total Distance Tables Sup #2'!G174)*(1+'Other Assumptions'!K$52)-(G159*'Total Distance Tables Sup #1'!G93)*(1+'Other Assumptions'!K$52)*'Active Mode Assumptions'!G9*'Active Mode Assumptions'!G14-(G160*'Total Distance Tables Sup #1'!G94)*(1+'Other Assumptions'!K$52)*'Active Mode Assumptions'!G18*'Active Mode Assumptions'!G23</f>
        <v>4200.9216708254198</v>
      </c>
      <c r="H95" s="4">
        <f ca="1">(H161*'Total Distance Tables Sup #1'!H95-'PT Assumptions'!H46*'Total Distance Tables Sup #2'!H171-'PT Assumptions'!H58*'Total Distance Tables Sup #2'!H174)*(1+'Other Assumptions'!L$52)-(H159*'Total Distance Tables Sup #1'!H93)*(1+'Other Assumptions'!L$52)*'Active Mode Assumptions'!H9*'Active Mode Assumptions'!H14-(H160*'Total Distance Tables Sup #1'!H94)*(1+'Other Assumptions'!L$52)*'Active Mode Assumptions'!H18*'Active Mode Assumptions'!H23</f>
        <v>4234.8820914293246</v>
      </c>
      <c r="I95" s="1">
        <f ca="1">(I161*'Total Distance Tables Sup #1'!I95-'PT Assumptions'!I46*'Total Distance Tables Sup #2'!I171-'PT Assumptions'!I58*'Total Distance Tables Sup #2'!I174)*(1+'Other Assumptions'!M$52)-(I159*'Total Distance Tables Sup #1'!I93)*(1+'Other Assumptions'!M$52)*'Active Mode Assumptions'!I9*'Active Mode Assumptions'!I14-(I160*'Total Distance Tables Sup #1'!I94)*(1+'Other Assumptions'!M$52)*'Active Mode Assumptions'!I18*'Active Mode Assumptions'!I23</f>
        <v>4258.4050904548376</v>
      </c>
      <c r="J95" s="1">
        <f ca="1">(J161*'Total Distance Tables Sup #1'!J95-'PT Assumptions'!J46*'Total Distance Tables Sup #2'!J171-'PT Assumptions'!J58*'Total Distance Tables Sup #2'!J174)*(1+'Other Assumptions'!N$52)-(J159*'Total Distance Tables Sup #1'!J93)*(1+'Other Assumptions'!N$52)*'Active Mode Assumptions'!J9*'Active Mode Assumptions'!J14-(J160*'Total Distance Tables Sup #1'!J94)*(1+'Other Assumptions'!N$52)*'Active Mode Assumptions'!J18*'Active Mode Assumptions'!J23</f>
        <v>4267.4574828244604</v>
      </c>
      <c r="K95" s="1">
        <f ca="1">(K161*'Total Distance Tables Sup #1'!K95-'PT Assumptions'!K46*'Total Distance Tables Sup #2'!K171-'PT Assumptions'!K58*'Total Distance Tables Sup #2'!K174)*(1+'Other Assumptions'!O$52)-(K159*'Total Distance Tables Sup #1'!K93)*(1+'Other Assumptions'!O$52)*'Active Mode Assumptions'!K9*'Active Mode Assumptions'!K14-(K160*'Total Distance Tables Sup #1'!K94)*(1+'Other Assumptions'!O$52)*'Active Mode Assumptions'!K18*'Active Mode Assumptions'!K23</f>
        <v>4266.453106653822</v>
      </c>
    </row>
    <row r="96" spans="1:11" x14ac:dyDescent="0.2">
      <c r="A96" t="str">
        <f ca="1">OFFSET(Wellington_Reference,21,2)</f>
        <v>Light Vehicle Passenger</v>
      </c>
      <c r="B96" s="4">
        <f ca="1">(B162*'Total Distance Tables Sup #1'!B96-'PT Assumptions'!B47*'Total Distance Tables Sup #2'!B171-'PT Assumptions'!B59*'Total Distance Tables Sup #2'!B174)*(1+'Other Assumptions'!D$52)-(B159*'Total Distance Tables Sup #1'!B93)*(1+'Other Assumptions'!D$52)*'Active Mode Assumptions'!B9*'Active Mode Assumptions'!B15-(B160*'Total Distance Tables Sup #1'!B94)*(1+'Other Assumptions'!D$52)*'Active Mode Assumptions'!B18*'Active Mode Assumptions'!B24</f>
        <v>2005.8850408000001</v>
      </c>
      <c r="C96" s="4">
        <f ca="1">(C162*'Total Distance Tables Sup #1'!C96-'PT Assumptions'!C47*'Total Distance Tables Sup #2'!C171-'PT Assumptions'!C59*'Total Distance Tables Sup #2'!C174)*(1+'Other Assumptions'!G$52)-(C159*'Total Distance Tables Sup #1'!C93)*(1+'Other Assumptions'!G$52)*'Active Mode Assumptions'!C9*'Active Mode Assumptions'!C15-(C160*'Total Distance Tables Sup #1'!C94)*(1+'Other Assumptions'!G$52)*'Active Mode Assumptions'!C18*'Active Mode Assumptions'!C24</f>
        <v>2097.0831683828196</v>
      </c>
      <c r="D96" s="4">
        <f ca="1">(D162*'Total Distance Tables Sup #1'!D96-'PT Assumptions'!D47*'Total Distance Tables Sup #2'!D171-'PT Assumptions'!D59*'Total Distance Tables Sup #2'!D174)*(1+'Other Assumptions'!H$52)-(D159*'Total Distance Tables Sup #1'!D93)*(1+'Other Assumptions'!H$52)*'Active Mode Assumptions'!D9*'Active Mode Assumptions'!D15-(D160*'Total Distance Tables Sup #1'!D94)*(1+'Other Assumptions'!H$52)*'Active Mode Assumptions'!D18*'Active Mode Assumptions'!D24</f>
        <v>2133.771274611694</v>
      </c>
      <c r="E96" s="4">
        <f ca="1">(E162*'Total Distance Tables Sup #1'!E96-'PT Assumptions'!E47*'Total Distance Tables Sup #2'!E171-'PT Assumptions'!E59*'Total Distance Tables Sup #2'!E174)*(1+'Other Assumptions'!I$52)-(E159*'Total Distance Tables Sup #1'!E93)*(1+'Other Assumptions'!I$52)*'Active Mode Assumptions'!E9*'Active Mode Assumptions'!E15-(E160*'Total Distance Tables Sup #1'!E94)*(1+'Other Assumptions'!I$52)*'Active Mode Assumptions'!E18*'Active Mode Assumptions'!E24</f>
        <v>2152.5868253273652</v>
      </c>
      <c r="F96" s="4">
        <f ca="1">(F162*'Total Distance Tables Sup #1'!F96-'PT Assumptions'!F47*'Total Distance Tables Sup #2'!F171-'PT Assumptions'!F59*'Total Distance Tables Sup #2'!F174)*(1+'Other Assumptions'!J$52)-(F159*'Total Distance Tables Sup #1'!F93)*(1+'Other Assumptions'!J$52)*'Active Mode Assumptions'!F9*'Active Mode Assumptions'!F15-(F160*'Total Distance Tables Sup #1'!F94)*(1+'Other Assumptions'!J$52)*'Active Mode Assumptions'!F18*'Active Mode Assumptions'!F24</f>
        <v>2162.0490434091184</v>
      </c>
      <c r="G96" s="4">
        <f ca="1">(G162*'Total Distance Tables Sup #1'!G96-'PT Assumptions'!G47*'Total Distance Tables Sup #2'!G171-'PT Assumptions'!G59*'Total Distance Tables Sup #2'!G174)*(1+'Other Assumptions'!K$52)-(G159*'Total Distance Tables Sup #1'!G93)*(1+'Other Assumptions'!K$52)*'Active Mode Assumptions'!G9*'Active Mode Assumptions'!G15-(G160*'Total Distance Tables Sup #1'!G94)*(1+'Other Assumptions'!K$52)*'Active Mode Assumptions'!G18*'Active Mode Assumptions'!G24</f>
        <v>2161.2359730061753</v>
      </c>
      <c r="H96" s="4">
        <f ca="1">(H162*'Total Distance Tables Sup #1'!H96-'PT Assumptions'!H47*'Total Distance Tables Sup #2'!H171-'PT Assumptions'!H59*'Total Distance Tables Sup #2'!H174)*(1+'Other Assumptions'!L$52)-(H159*'Total Distance Tables Sup #1'!H93)*(1+'Other Assumptions'!L$52)*'Active Mode Assumptions'!H9*'Active Mode Assumptions'!H15-(H160*'Total Distance Tables Sup #1'!H94)*(1+'Other Assumptions'!L$52)*'Active Mode Assumptions'!H18*'Active Mode Assumptions'!H24</f>
        <v>2148.3688465852806</v>
      </c>
      <c r="I96" s="1">
        <f ca="1">(I162*'Total Distance Tables Sup #1'!I96-'PT Assumptions'!I47*'Total Distance Tables Sup #2'!I171-'PT Assumptions'!I59*'Total Distance Tables Sup #2'!I174)*(1+'Other Assumptions'!M$52)-(I159*'Total Distance Tables Sup #1'!I93)*(1+'Other Assumptions'!M$52)*'Active Mode Assumptions'!I9*'Active Mode Assumptions'!I15-(I160*'Total Distance Tables Sup #1'!I94)*(1+'Other Assumptions'!M$52)*'Active Mode Assumptions'!I18*'Active Mode Assumptions'!I24</f>
        <v>2158.9515128827829</v>
      </c>
      <c r="J96" s="1">
        <f ca="1">(J162*'Total Distance Tables Sup #1'!J96-'PT Assumptions'!J47*'Total Distance Tables Sup #2'!J171-'PT Assumptions'!J59*'Total Distance Tables Sup #2'!J174)*(1+'Other Assumptions'!N$52)-(J159*'Total Distance Tables Sup #1'!J93)*(1+'Other Assumptions'!N$52)*'Active Mode Assumptions'!J9*'Active Mode Assumptions'!J15-(J160*'Total Distance Tables Sup #1'!J94)*(1+'Other Assumptions'!N$52)*'Active Mode Assumptions'!J18*'Active Mode Assumptions'!J24</f>
        <v>2161.7046161806138</v>
      </c>
      <c r="K96" s="1">
        <f ca="1">(K162*'Total Distance Tables Sup #1'!K96-'PT Assumptions'!K47*'Total Distance Tables Sup #2'!K171-'PT Assumptions'!K59*'Total Distance Tables Sup #2'!K174)*(1+'Other Assumptions'!O$52)-(K159*'Total Distance Tables Sup #1'!K93)*(1+'Other Assumptions'!O$52)*'Active Mode Assumptions'!K9*'Active Mode Assumptions'!K15-(K160*'Total Distance Tables Sup #1'!K94)*(1+'Other Assumptions'!O$52)*'Active Mode Assumptions'!K18*'Active Mode Assumptions'!K24</f>
        <v>2158.9175900912883</v>
      </c>
    </row>
    <row r="97" spans="1:11" x14ac:dyDescent="0.2">
      <c r="A97" t="str">
        <f ca="1">OFFSET(Wellington_Reference,28,2)</f>
        <v>Taxi/Vehicle Share</v>
      </c>
      <c r="B97" s="4">
        <f ca="1">B163*'Total Distance Tables Sup #1'!B97*(1+'Other Assumptions'!D$52)</f>
        <v>19.359252680000001</v>
      </c>
      <c r="C97" s="4">
        <f ca="1">C163*'Total Distance Tables Sup #1'!C97*(1+'Other Assumptions'!G$52)</f>
        <v>21.979585420461127</v>
      </c>
      <c r="D97" s="4">
        <f ca="1">D163*'Total Distance Tables Sup #1'!D97*(1+'Other Assumptions'!H$52)</f>
        <v>24.209552550333033</v>
      </c>
      <c r="E97" s="4">
        <f ca="1">E163*'Total Distance Tables Sup #1'!E97*(1+'Other Assumptions'!I$52)</f>
        <v>26.278738354426903</v>
      </c>
      <c r="F97" s="4">
        <f ca="1">F163*'Total Distance Tables Sup #1'!F97*(1+'Other Assumptions'!J$52)</f>
        <v>28.098473319804679</v>
      </c>
      <c r="G97" s="4">
        <f ca="1">G163*'Total Distance Tables Sup #1'!G97*(1+'Other Assumptions'!K$52)</f>
        <v>29.530924023484438</v>
      </c>
      <c r="H97" s="4">
        <f ca="1">H163*'Total Distance Tables Sup #1'!H97*(1+'Other Assumptions'!L$52)</f>
        <v>30.87735993486336</v>
      </c>
      <c r="I97" s="1">
        <f ca="1">I163*'Total Distance Tables Sup #1'!I97*(1+'Other Assumptions'!M$52)</f>
        <v>31.017628697497916</v>
      </c>
      <c r="J97" s="1">
        <f ca="1">J163*'Total Distance Tables Sup #1'!J97*(1+'Other Assumptions'!N$52)</f>
        <v>31.059164459167182</v>
      </c>
      <c r="K97" s="1">
        <f ca="1">K163*'Total Distance Tables Sup #1'!K97*(1+'Other Assumptions'!O$52)</f>
        <v>31.033771001845658</v>
      </c>
    </row>
    <row r="98" spans="1:11" x14ac:dyDescent="0.2">
      <c r="A98" t="str">
        <f ca="1">OFFSET(Wellington_Reference,35,2)</f>
        <v>Motorcyclist</v>
      </c>
      <c r="B98" s="4">
        <f ca="1">B164*'Total Distance Tables Sup #1'!B98*(1+'Other Assumptions'!D$52)</f>
        <v>24.444631151999999</v>
      </c>
      <c r="C98" s="4">
        <f ca="1">C164*'Total Distance Tables Sup #1'!C98*(1+'Other Assumptions'!G$52)</f>
        <v>26.627106835526124</v>
      </c>
      <c r="D98" s="4">
        <f ca="1">D164*'Total Distance Tables Sup #1'!D98*(1+'Other Assumptions'!H$52)</f>
        <v>27.859837739011599</v>
      </c>
      <c r="E98" s="4">
        <f ca="1">E164*'Total Distance Tables Sup #1'!E98*(1+'Other Assumptions'!I$52)</f>
        <v>28.121874942901538</v>
      </c>
      <c r="F98" s="4">
        <f ca="1">F164*'Total Distance Tables Sup #1'!F98*(1+'Other Assumptions'!J$52)</f>
        <v>28.136474242848251</v>
      </c>
      <c r="G98" s="4">
        <f ca="1">G164*'Total Distance Tables Sup #1'!G98*(1+'Other Assumptions'!K$52)</f>
        <v>27.678209980861634</v>
      </c>
      <c r="H98" s="4">
        <f ca="1">H164*'Total Distance Tables Sup #1'!H98*(1+'Other Assumptions'!L$52)</f>
        <v>27.084643769029721</v>
      </c>
      <c r="I98" s="1">
        <f ca="1">I164*'Total Distance Tables Sup #1'!I98*(1+'Other Assumptions'!M$52)</f>
        <v>27.452832006609832</v>
      </c>
      <c r="J98" s="1">
        <f ca="1">J164*'Total Distance Tables Sup #1'!J98*(1+'Other Assumptions'!N$52)</f>
        <v>27.738517482701695</v>
      </c>
      <c r="K98" s="1">
        <f ca="1">K164*'Total Distance Tables Sup #1'!K98*(1+'Other Assumptions'!O$52)</f>
        <v>27.967933380140934</v>
      </c>
    </row>
    <row r="99" spans="1:11" x14ac:dyDescent="0.2">
      <c r="A99" t="str">
        <f ca="1">OFFSET(Wellington_Reference,42,2)</f>
        <v>Local Train</v>
      </c>
      <c r="B99" s="4">
        <f ca="1">'Total Distance Tables Sup #1'!B99*(1+'PT Assumptions'!B39)*(1+'Other Assumptions'!D$52)</f>
        <v>297.83</v>
      </c>
      <c r="C99" s="4">
        <f ca="1">'Total Distance Tables Sup #1'!C99*(1+'PT Assumptions'!C39)*(1+'Other Assumptions'!G$52)</f>
        <v>320.10000000000002</v>
      </c>
      <c r="D99" s="4">
        <f ca="1">'Total Distance Tables Sup #1'!D99*(1+'PT Assumptions'!D39)*(1+'Other Assumptions'!H$52)</f>
        <v>358.66249999999997</v>
      </c>
      <c r="E99" s="4">
        <f ca="1">'Total Distance Tables Sup #1'!E99*(1+'PT Assumptions'!E39)*(1+'Other Assumptions'!I$52)</f>
        <v>392.62</v>
      </c>
      <c r="F99" s="4">
        <f ca="1">'Total Distance Tables Sup #1'!F99*(1+'PT Assumptions'!F39)*(1+'Other Assumptions'!J$52)</f>
        <v>419.66999999999996</v>
      </c>
      <c r="G99" s="4">
        <f ca="1">'Total Distance Tables Sup #1'!G99*(1+'PT Assumptions'!G39)*(1+'Other Assumptions'!K$52)</f>
        <v>446.71999999999997</v>
      </c>
      <c r="H99" s="4">
        <f ca="1">'Total Distance Tables Sup #1'!H99*(1+'PT Assumptions'!H39)*(1+'Other Assumptions'!L$52)</f>
        <v>473.77</v>
      </c>
      <c r="I99" s="1">
        <f ca="1">'Total Distance Tables Sup #1'!I99*(1+'PT Assumptions'!I39)*(1+'Other Assumptions'!M$52)</f>
        <v>501.00186725132102</v>
      </c>
      <c r="J99" s="1">
        <f ca="1">'Total Distance Tables Sup #1'!J99*(1+'PT Assumptions'!J39)*(1+'Other Assumptions'!N$52)</f>
        <v>529.59942594470544</v>
      </c>
      <c r="K99" s="1">
        <f ca="1">'Total Distance Tables Sup #1'!K99*(1+'PT Assumptions'!K39)*(1+'Other Assumptions'!O$52)</f>
        <v>559.82935452866218</v>
      </c>
    </row>
    <row r="100" spans="1:11" x14ac:dyDescent="0.2">
      <c r="A100" t="str">
        <f ca="1">OFFSET(Wellington_Reference,49,2)</f>
        <v>Local Bus</v>
      </c>
      <c r="B100" s="4">
        <f ca="1">'Total Distance Tables Sup #1'!B100*(1+'PT Assumptions'!B51)*(1+'Other Assumptions'!D$52)</f>
        <v>164.37</v>
      </c>
      <c r="C100" s="4">
        <f ca="1">'Total Distance Tables Sup #1'!C100*(1+'PT Assumptions'!C51)*(1+'Other Assumptions'!G$52)</f>
        <v>171.7</v>
      </c>
      <c r="D100" s="4">
        <f ca="1">'Total Distance Tables Sup #1'!D100*(1+'PT Assumptions'!D51)*(1+'Other Assumptions'!H$52)</f>
        <v>192.7</v>
      </c>
      <c r="E100" s="4">
        <f ca="1">'Total Distance Tables Sup #1'!E100*(1+'PT Assumptions'!E51)*(1+'Other Assumptions'!I$52)</f>
        <v>207.58</v>
      </c>
      <c r="F100" s="4">
        <f ca="1">'Total Distance Tables Sup #1'!F100*(1+'PT Assumptions'!F51)*(1+'Other Assumptions'!J$52)</f>
        <v>213.28000000000003</v>
      </c>
      <c r="G100" s="4">
        <f ca="1">'Total Distance Tables Sup #1'!G100*(1+'PT Assumptions'!G51)*(1+'Other Assumptions'!K$52)</f>
        <v>218.98</v>
      </c>
      <c r="H100" s="4">
        <f ca="1">'Total Distance Tables Sup #1'!H100*(1+'PT Assumptions'!H51)*(1+'Other Assumptions'!L$52)</f>
        <v>224.67999999999998</v>
      </c>
      <c r="I100" s="1">
        <f ca="1">'Total Distance Tables Sup #1'!I100*(1+'PT Assumptions'!I51)*(1+'Other Assumptions'!M$52)</f>
        <v>230.39720711920958</v>
      </c>
      <c r="J100" s="1">
        <f ca="1">'Total Distance Tables Sup #1'!J100*(1+'PT Assumptions'!J51)*(1+'Other Assumptions'!N$52)</f>
        <v>236.24195214964192</v>
      </c>
      <c r="K100" s="1">
        <f ca="1">'Total Distance Tables Sup #1'!K100*(1+'PT Assumptions'!K51)*(1+'Other Assumptions'!O$52)</f>
        <v>242.23496739957</v>
      </c>
    </row>
    <row r="101" spans="1:11" x14ac:dyDescent="0.2">
      <c r="A101" t="str">
        <f ca="1">OFFSET(Wellington_Reference,56,2)</f>
        <v>Local Ferry</v>
      </c>
      <c r="B101" s="4">
        <f ca="1">B167*'Total Distance Tables Sup #1'!B101*(1+'Other Assumptions'!D$52)</f>
        <v>0</v>
      </c>
      <c r="C101" s="4">
        <f ca="1">C167*'Total Distance Tables Sup #1'!C101*(1+'Other Assumptions'!G$52)</f>
        <v>0</v>
      </c>
      <c r="D101" s="4">
        <f ca="1">D167*'Total Distance Tables Sup #1'!D101*(1+'Other Assumptions'!H$52)</f>
        <v>0</v>
      </c>
      <c r="E101" s="4">
        <f ca="1">E167*'Total Distance Tables Sup #1'!E101*(1+'Other Assumptions'!I$52)</f>
        <v>0</v>
      </c>
      <c r="F101" s="4">
        <f ca="1">F167*'Total Distance Tables Sup #1'!F101*(1+'Other Assumptions'!J$52)</f>
        <v>0</v>
      </c>
      <c r="G101" s="4">
        <f ca="1">G167*'Total Distance Tables Sup #1'!G101*(1+'Other Assumptions'!K$52)</f>
        <v>0</v>
      </c>
      <c r="H101" s="4">
        <f ca="1">H167*'Total Distance Tables Sup #1'!H101*(1+'Other Assumptions'!L$52)</f>
        <v>0</v>
      </c>
      <c r="I101" s="1">
        <f ca="1">I167*'Total Distance Tables Sup #1'!I101*(1+'Other Assumptions'!M$52)</f>
        <v>0</v>
      </c>
      <c r="J101" s="1">
        <f ca="1">J167*'Total Distance Tables Sup #1'!J101*(1+'Other Assumptions'!N$52)</f>
        <v>0</v>
      </c>
      <c r="K101" s="1">
        <f ca="1">K167*'Total Distance Tables Sup #1'!K101*(1+'Other Assumptions'!O$52)</f>
        <v>0</v>
      </c>
    </row>
    <row r="102" spans="1:11" x14ac:dyDescent="0.2">
      <c r="A102" t="str">
        <f ca="1">OFFSET(Wellington_Reference,63,2)</f>
        <v>Other Household Travel</v>
      </c>
      <c r="B102" s="4">
        <f ca="1">B168*'Total Distance Tables Sup #1'!B102*(1+'Other Assumptions'!D$52)</f>
        <v>0</v>
      </c>
      <c r="C102" s="4">
        <f ca="1">C168*'Total Distance Tables Sup #1'!C102*(1+'Other Assumptions'!G$52)</f>
        <v>0</v>
      </c>
      <c r="D102" s="4">
        <f ca="1">D168*'Total Distance Tables Sup #1'!D102*(1+'Other Assumptions'!H$52)</f>
        <v>0</v>
      </c>
      <c r="E102" s="4">
        <f ca="1">E168*'Total Distance Tables Sup #1'!E102*(1+'Other Assumptions'!I$52)</f>
        <v>0</v>
      </c>
      <c r="F102" s="4">
        <f ca="1">F168*'Total Distance Tables Sup #1'!F102*(1+'Other Assumptions'!J$52)</f>
        <v>0</v>
      </c>
      <c r="G102" s="4">
        <f ca="1">G168*'Total Distance Tables Sup #1'!G102*(1+'Other Assumptions'!K$52)</f>
        <v>0</v>
      </c>
      <c r="H102" s="4">
        <f ca="1">H168*'Total Distance Tables Sup #1'!H102*(1+'Other Assumptions'!L$52)</f>
        <v>0</v>
      </c>
      <c r="I102" s="1">
        <f ca="1">I168*'Total Distance Tables Sup #1'!I102*(1+'Other Assumptions'!M$52)</f>
        <v>0</v>
      </c>
      <c r="J102" s="1">
        <f ca="1">J168*'Total Distance Tables Sup #1'!J102*(1+'Other Assumptions'!N$52)</f>
        <v>0</v>
      </c>
      <c r="K102" s="1">
        <f ca="1">K168*'Total Distance Tables Sup #1'!K102*(1+'Other Assumptions'!O$52)</f>
        <v>0</v>
      </c>
    </row>
    <row r="103" spans="1:11" x14ac:dyDescent="0.2">
      <c r="A103" t="str">
        <f ca="1">OFFSET(Nelson_Reference,0,0)</f>
        <v>10 NELS-MARLB-TAS</v>
      </c>
      <c r="I103" s="1"/>
      <c r="J103" s="1"/>
      <c r="K103" s="1"/>
    </row>
    <row r="104" spans="1:11" x14ac:dyDescent="0.2">
      <c r="A104" t="str">
        <f ca="1">OFFSET(Nelson_Reference,0,2)</f>
        <v>Pedestrian</v>
      </c>
      <c r="B104" s="4">
        <f ca="1">B159*'Total Distance Tables Sup #1'!B104*(1+'Other Assumptions'!D$53)*(1+'Active Mode Assumptions'!B9)</f>
        <v>28.582749250999999</v>
      </c>
      <c r="C104" s="4">
        <f ca="1">C159*'Total Distance Tables Sup #1'!C104*(1+'Other Assumptions'!G$53)*(1+'Active Mode Assumptions'!C9)</f>
        <v>29.75231406147217</v>
      </c>
      <c r="D104" s="4">
        <f ca="1">D159*'Total Distance Tables Sup #1'!D104*(1+'Other Assumptions'!H$53)*(1+'Active Mode Assumptions'!D9)</f>
        <v>30.346734076754529</v>
      </c>
      <c r="E104" s="4">
        <f ca="1">E159*'Total Distance Tables Sup #1'!E104*(1+'Other Assumptions'!I$53)*(1+'Active Mode Assumptions'!E9)</f>
        <v>30.688024295771452</v>
      </c>
      <c r="F104" s="4">
        <f ca="1">F159*'Total Distance Tables Sup #1'!F104*(1+'Other Assumptions'!J$53)*(1+'Active Mode Assumptions'!F9)</f>
        <v>30.699054662965025</v>
      </c>
      <c r="G104" s="4">
        <f ca="1">G159*'Total Distance Tables Sup #1'!G104*(1+'Other Assumptions'!K$53)*(1+'Active Mode Assumptions'!G9)</f>
        <v>30.617103255105174</v>
      </c>
      <c r="H104" s="4">
        <f ca="1">H159*'Total Distance Tables Sup #1'!H104*(1+'Other Assumptions'!L$53)*(1+'Active Mode Assumptions'!H9)</f>
        <v>30.346866415150323</v>
      </c>
      <c r="I104" s="1">
        <f ca="1">I159*'Total Distance Tables Sup #1'!I104*(1+'Other Assumptions'!M$53)*(1+'Active Mode Assumptions'!I9)</f>
        <v>30.264671312271211</v>
      </c>
      <c r="J104" s="1">
        <f ca="1">J159*'Total Distance Tables Sup #1'!J104*(1+'Other Assumptions'!N$53)*(1+'Active Mode Assumptions'!J9)</f>
        <v>30.088467247466777</v>
      </c>
      <c r="K104" s="1">
        <f ca="1">K159*'Total Distance Tables Sup #1'!K104*(1+'Other Assumptions'!O$53)*(1+'Active Mode Assumptions'!K9)</f>
        <v>29.850835146347052</v>
      </c>
    </row>
    <row r="105" spans="1:11" x14ac:dyDescent="0.2">
      <c r="A105" t="str">
        <f ca="1">OFFSET(Nelson_Reference,7,2)</f>
        <v>Cyclist</v>
      </c>
      <c r="B105" s="4">
        <f ca="1">B160*'Total Distance Tables Sup #1'!B105*(1+'Other Assumptions'!D$53)*(1+'Active Mode Assumptions'!B18)</f>
        <v>10.809874027999999</v>
      </c>
      <c r="C105" s="4">
        <f ca="1">C160*'Total Distance Tables Sup #1'!C105*(1+'Other Assumptions'!G$53)*(1+'Active Mode Assumptions'!C18)</f>
        <v>11.656267973093504</v>
      </c>
      <c r="D105" s="4">
        <f ca="1">D160*'Total Distance Tables Sup #1'!D105*(1+'Other Assumptions'!H$53)*(1+'Active Mode Assumptions'!D18)</f>
        <v>12.072127202254055</v>
      </c>
      <c r="E105" s="4">
        <f ca="1">E160*'Total Distance Tables Sup #1'!E105*(1+'Other Assumptions'!I$53)*(1+'Active Mode Assumptions'!E18)</f>
        <v>12.206683589427641</v>
      </c>
      <c r="F105" s="4">
        <f ca="1">F160*'Total Distance Tables Sup #1'!F105*(1+'Other Assumptions'!J$53)*(1+'Active Mode Assumptions'!F18)</f>
        <v>12.450669265104823</v>
      </c>
      <c r="G105" s="4">
        <f ca="1">G160*'Total Distance Tables Sup #1'!G105*(1+'Other Assumptions'!K$53)*(1+'Active Mode Assumptions'!G18)</f>
        <v>12.837333391436694</v>
      </c>
      <c r="H105" s="4">
        <f ca="1">H160*'Total Distance Tables Sup #1'!H105*(1+'Other Assumptions'!L$53)*(1+'Active Mode Assumptions'!H18)</f>
        <v>13.171366156368236</v>
      </c>
      <c r="I105" s="1">
        <f ca="1">I160*'Total Distance Tables Sup #1'!I105*(1+'Other Assumptions'!M$53)*(1+'Active Mode Assumptions'!I18)</f>
        <v>13.197405482066335</v>
      </c>
      <c r="J105" s="1">
        <f ca="1">J160*'Total Distance Tables Sup #1'!J105*(1+'Other Assumptions'!N$53)*(1+'Active Mode Assumptions'!J18)</f>
        <v>13.182812157489499</v>
      </c>
      <c r="K105" s="1">
        <f ca="1">K160*'Total Distance Tables Sup #1'!K105*(1+'Other Assumptions'!O$53)*(1+'Active Mode Assumptions'!K18)</f>
        <v>13.141324705914101</v>
      </c>
    </row>
    <row r="106" spans="1:11" x14ac:dyDescent="0.2">
      <c r="A106" t="str">
        <f ca="1">OFFSET(Nelson_Reference,14,2)</f>
        <v>Light Vehicle Driver</v>
      </c>
      <c r="B106" s="4">
        <f ca="1">B161*'Total Distance Tables Sup #1'!B106*(1+'Other Assumptions'!D$53)-(B104*'Active Mode Assumptions'!B9*'Active Mode Assumptions'!B14/(1+'Active Mode Assumptions'!B9))-(B105*'Active Mode Assumptions'!B18*'Active Mode Assumptions'!B23/(1+'Active Mode Assumptions'!B18))</f>
        <v>1012.1329009999999</v>
      </c>
      <c r="C106" s="4">
        <f ca="1">C161*'Total Distance Tables Sup #1'!C106*(1+'Other Assumptions'!G$53)-(C104*'Active Mode Assumptions'!C9*'Active Mode Assumptions'!C14/(1+'Active Mode Assumptions'!C9))-(C105*'Active Mode Assumptions'!C18*'Active Mode Assumptions'!C23/(1+'Active Mode Assumptions'!C18))</f>
        <v>1092.2632777995841</v>
      </c>
      <c r="D106" s="4">
        <f ca="1">D161*'Total Distance Tables Sup #1'!D106*(1+'Other Assumptions'!H$53)-(D104*'Active Mode Assumptions'!D9*'Active Mode Assumptions'!D14/(1+'Active Mode Assumptions'!D9))-(D105*'Active Mode Assumptions'!D18*'Active Mode Assumptions'!D23/(1+'Active Mode Assumptions'!D18))</f>
        <v>1140.7221776058159</v>
      </c>
      <c r="E106" s="4">
        <f ca="1">E161*'Total Distance Tables Sup #1'!E106*(1+'Other Assumptions'!I$53)-(E104*'Active Mode Assumptions'!E9*'Active Mode Assumptions'!E14/(1+'Active Mode Assumptions'!E9))-(E105*'Active Mode Assumptions'!E18*'Active Mode Assumptions'!E23/(1+'Active Mode Assumptions'!E18))</f>
        <v>1167.9476198033349</v>
      </c>
      <c r="F106" s="4">
        <f ca="1">F161*'Total Distance Tables Sup #1'!F106*(1+'Other Assumptions'!J$53)-(F104*'Active Mode Assumptions'!F9*'Active Mode Assumptions'!F14/(1+'Active Mode Assumptions'!F9))-(F105*'Active Mode Assumptions'!F18*'Active Mode Assumptions'!F23/(1+'Active Mode Assumptions'!F18))</f>
        <v>1189.1657575877018</v>
      </c>
      <c r="G106" s="4">
        <f ca="1">G161*'Total Distance Tables Sup #1'!G106*(1+'Other Assumptions'!K$53)-(G104*'Active Mode Assumptions'!G9*'Active Mode Assumptions'!G14/(1+'Active Mode Assumptions'!G9))-(G105*'Active Mode Assumptions'!G18*'Active Mode Assumptions'!G23/(1+'Active Mode Assumptions'!G18))</f>
        <v>1198.056527153311</v>
      </c>
      <c r="H106" s="4">
        <f ca="1">H161*'Total Distance Tables Sup #1'!H106*(1+'Other Assumptions'!L$53)-(H104*'Active Mode Assumptions'!H9*'Active Mode Assumptions'!H14/(1+'Active Mode Assumptions'!H9))-(H105*'Active Mode Assumptions'!H18*'Active Mode Assumptions'!H23/(1+'Active Mode Assumptions'!H18))</f>
        <v>1200.0399188611411</v>
      </c>
      <c r="I106" s="1">
        <f ca="1">I161*'Total Distance Tables Sup #1'!I106*(1+'Other Assumptions'!M$53)-(I104*'Active Mode Assumptions'!I9*'Active Mode Assumptions'!I14/(1+'Active Mode Assumptions'!I9))-(I105*'Active Mode Assumptions'!I18*'Active Mode Assumptions'!I23/(1+'Active Mode Assumptions'!I18))</f>
        <v>1199.1124004092217</v>
      </c>
      <c r="J106" s="1">
        <f ca="1">J161*'Total Distance Tables Sup #1'!J106*(1+'Other Assumptions'!N$53)-(J104*'Active Mode Assumptions'!J9*'Active Mode Assumptions'!J14/(1+'Active Mode Assumptions'!J9))-(J105*'Active Mode Assumptions'!J18*'Active Mode Assumptions'!J23/(1+'Active Mode Assumptions'!J18))</f>
        <v>1194.4373843979317</v>
      </c>
      <c r="K106" s="1">
        <f ca="1">K161*'Total Distance Tables Sup #1'!K106*(1+'Other Assumptions'!O$53)-(K104*'Active Mode Assumptions'!K9*'Active Mode Assumptions'!K14/(1+'Active Mode Assumptions'!K9))-(K105*'Active Mode Assumptions'!K18*'Active Mode Assumptions'!K23/(1+'Active Mode Assumptions'!K18))</f>
        <v>1187.2886630092496</v>
      </c>
    </row>
    <row r="107" spans="1:11" x14ac:dyDescent="0.2">
      <c r="A107" t="str">
        <f ca="1">OFFSET(Nelson_Reference,21,2)</f>
        <v>Light Vehicle Passenger</v>
      </c>
      <c r="B107" s="4">
        <f ca="1">B162*'Total Distance Tables Sup #1'!B107*(1+'Other Assumptions'!D$53)-(B104*'Active Mode Assumptions'!B9*'Active Mode Assumptions'!B15/(1+'Active Mode Assumptions'!B9))-(B105*'Active Mode Assumptions'!B18*'Active Mode Assumptions'!B24/(1+'Active Mode Assumptions'!B18))</f>
        <v>528.66856442999995</v>
      </c>
      <c r="C107" s="4">
        <f ca="1">C162*'Total Distance Tables Sup #1'!C107*(1+'Other Assumptions'!G$53)-(C104*'Active Mode Assumptions'!C9*'Active Mode Assumptions'!C15/(1+'Active Mode Assumptions'!C9))-(C105*'Active Mode Assumptions'!C18*'Active Mode Assumptions'!C24/(1+'Active Mode Assumptions'!C18))</f>
        <v>547.53617167092091</v>
      </c>
      <c r="D107" s="4">
        <f ca="1">D162*'Total Distance Tables Sup #1'!D107*(1+'Other Assumptions'!H$53)-(D104*'Active Mode Assumptions'!D9*'Active Mode Assumptions'!D15/(1+'Active Mode Assumptions'!D9))-(D105*'Active Mode Assumptions'!D18*'Active Mode Assumptions'!D24/(1+'Active Mode Assumptions'!D18))</f>
        <v>558.60108195741577</v>
      </c>
      <c r="E107" s="4">
        <f ca="1">E162*'Total Distance Tables Sup #1'!E107*(1+'Other Assumptions'!I$53)-(E104*'Active Mode Assumptions'!E9*'Active Mode Assumptions'!E15/(1+'Active Mode Assumptions'!E9))-(E105*'Active Mode Assumptions'!E18*'Active Mode Assumptions'!E24/(1+'Active Mode Assumptions'!E18))</f>
        <v>564.07840726538348</v>
      </c>
      <c r="F107" s="4">
        <f ca="1">F162*'Total Distance Tables Sup #1'!F107*(1+'Other Assumptions'!J$53)-(F104*'Active Mode Assumptions'!F9*'Active Mode Assumptions'!F15/(1+'Active Mode Assumptions'!F9))-(F105*'Active Mode Assumptions'!F18*'Active Mode Assumptions'!F24/(1+'Active Mode Assumptions'!F18))</f>
        <v>565.40728338333133</v>
      </c>
      <c r="G107" s="4">
        <f ca="1">G162*'Total Distance Tables Sup #1'!G107*(1+'Other Assumptions'!K$53)-(G104*'Active Mode Assumptions'!G9*'Active Mode Assumptions'!G15/(1+'Active Mode Assumptions'!G9))-(G105*'Active Mode Assumptions'!G18*'Active Mode Assumptions'!G24/(1+'Active Mode Assumptions'!G18))</f>
        <v>563.34465546721083</v>
      </c>
      <c r="H107" s="4">
        <f ca="1">H162*'Total Distance Tables Sup #1'!H107*(1+'Other Assumptions'!L$53)-(H104*'Active Mode Assumptions'!H9*'Active Mode Assumptions'!H15/(1+'Active Mode Assumptions'!H9))-(H105*'Active Mode Assumptions'!H18*'Active Mode Assumptions'!H24/(1+'Active Mode Assumptions'!H18))</f>
        <v>557.48806739176439</v>
      </c>
      <c r="I107" s="1">
        <f ca="1">I162*'Total Distance Tables Sup #1'!I107*(1+'Other Assumptions'!M$53)-(I104*'Active Mode Assumptions'!I9*'Active Mode Assumptions'!I15/(1+'Active Mode Assumptions'!I9))-(I105*'Active Mode Assumptions'!I18*'Active Mode Assumptions'!I24/(1+'Active Mode Assumptions'!I18))</f>
        <v>557.67119318866776</v>
      </c>
      <c r="J107" s="1">
        <f ca="1">J162*'Total Distance Tables Sup #1'!J107*(1+'Other Assumptions'!N$53)-(J104*'Active Mode Assumptions'!J9*'Active Mode Assumptions'!J15/(1+'Active Mode Assumptions'!J9))-(J105*'Active Mode Assumptions'!J18*'Active Mode Assumptions'!J24/(1+'Active Mode Assumptions'!J18))</f>
        <v>556.1112824332921</v>
      </c>
      <c r="K107" s="1">
        <f ca="1">K162*'Total Distance Tables Sup #1'!K107*(1+'Other Assumptions'!O$53)-(K104*'Active Mode Assumptions'!K9*'Active Mode Assumptions'!K15/(1+'Active Mode Assumptions'!K9))-(K105*'Active Mode Assumptions'!K18*'Active Mode Assumptions'!K24/(1+'Active Mode Assumptions'!K18))</f>
        <v>553.39591554854837</v>
      </c>
    </row>
    <row r="108" spans="1:11" x14ac:dyDescent="0.2">
      <c r="A108" t="str">
        <f ca="1">OFFSET(Nelson_Reference,28,2)</f>
        <v>Taxi/Vehicle Share</v>
      </c>
      <c r="B108" s="4">
        <f ca="1">B163*'Total Distance Tables Sup #1'!B108*(1+'Other Assumptions'!D$53)</f>
        <v>2.5483198348</v>
      </c>
      <c r="C108" s="4">
        <f ca="1">C163*'Total Distance Tables Sup #1'!C108*(1+'Other Assumptions'!G$53)</f>
        <v>2.8658165188259326</v>
      </c>
      <c r="D108" s="4">
        <f ca="1">D163*'Total Distance Tables Sup #1'!D108*(1+'Other Assumptions'!H$53)</f>
        <v>3.1461937383927321</v>
      </c>
      <c r="E108" s="4">
        <f ca="1">E163*'Total Distance Tables Sup #1'!E108*(1+'Other Assumptions'!I$53)</f>
        <v>3.4031380241653069</v>
      </c>
      <c r="F108" s="4">
        <f ca="1">F163*'Total Distance Tables Sup #1'!F108*(1+'Other Assumptions'!J$53)</f>
        <v>3.6201884019350037</v>
      </c>
      <c r="G108" s="4">
        <f ca="1">G163*'Total Distance Tables Sup #1'!G108*(1+'Other Assumptions'!K$53)</f>
        <v>3.7801637081831947</v>
      </c>
      <c r="H108" s="4">
        <f ca="1">H163*'Total Distance Tables Sup #1'!H108*(1+'Other Assumptions'!L$53)</f>
        <v>3.9203867110678128</v>
      </c>
      <c r="I108" s="1">
        <f ca="1">I163*'Total Distance Tables Sup #1'!I108*(1+'Other Assumptions'!M$53)</f>
        <v>3.9063665862461439</v>
      </c>
      <c r="J108" s="1">
        <f ca="1">J163*'Total Distance Tables Sup #1'!J108*(1+'Other Assumptions'!N$53)</f>
        <v>3.8801662242598067</v>
      </c>
      <c r="K108" s="1">
        <f ca="1">K163*'Total Distance Tables Sup #1'!K108*(1+'Other Assumptions'!O$53)</f>
        <v>3.8460223038307544</v>
      </c>
    </row>
    <row r="109" spans="1:11" x14ac:dyDescent="0.2">
      <c r="A109" t="str">
        <f ca="1">OFFSET(Nelson_Reference,35,2)</f>
        <v>Motorcyclist</v>
      </c>
      <c r="B109" s="4">
        <f ca="1">B164*'Total Distance Tables Sup #1'!B109*(1+'Other Assumptions'!D$53)</f>
        <v>34.127286998000002</v>
      </c>
      <c r="C109" s="4">
        <f ca="1">C164*'Total Distance Tables Sup #1'!C109*(1+'Other Assumptions'!G$53)</f>
        <v>36.821866232551095</v>
      </c>
      <c r="D109" s="4">
        <f ca="1">D164*'Total Distance Tables Sup #1'!D109*(1+'Other Assumptions'!H$53)</f>
        <v>38.399910515730724</v>
      </c>
      <c r="E109" s="4">
        <f ca="1">E164*'Total Distance Tables Sup #1'!E109*(1+'Other Assumptions'!I$53)</f>
        <v>38.625334658624389</v>
      </c>
      <c r="F109" s="4">
        <f ca="1">F164*'Total Distance Tables Sup #1'!F109*(1+'Other Assumptions'!J$53)</f>
        <v>38.447761034205435</v>
      </c>
      <c r="G109" s="4">
        <f ca="1">G164*'Total Distance Tables Sup #1'!G109*(1+'Other Assumptions'!K$53)</f>
        <v>37.577207401515913</v>
      </c>
      <c r="H109" s="4">
        <f ca="1">H164*'Total Distance Tables Sup #1'!H109*(1+'Other Assumptions'!L$53)</f>
        <v>36.472438942978052</v>
      </c>
      <c r="I109" s="1">
        <f ca="1">I164*'Total Distance Tables Sup #1'!I109*(1+'Other Assumptions'!M$53)</f>
        <v>36.669457598693704</v>
      </c>
      <c r="J109" s="1">
        <f ca="1">J164*'Total Distance Tables Sup #1'!J109*(1+'Other Assumptions'!N$53)</f>
        <v>36.753333768795997</v>
      </c>
      <c r="K109" s="1">
        <f ca="1">K164*'Total Distance Tables Sup #1'!K109*(1+'Other Assumptions'!O$53)</f>
        <v>36.761273988754944</v>
      </c>
    </row>
    <row r="110" spans="1:11" x14ac:dyDescent="0.2">
      <c r="A110" t="str">
        <f ca="1">OFFSET(Nelson_Reference,42,2)</f>
        <v>Local Train</v>
      </c>
      <c r="B110" s="4">
        <f ca="1">B165*'Total Distance Tables Sup #1'!B110*(1+'Other Assumptions'!D$53)</f>
        <v>0</v>
      </c>
      <c r="C110" s="4">
        <f ca="1">C165*'Total Distance Tables Sup #1'!C110*(1+'Other Assumptions'!G$53)</f>
        <v>0</v>
      </c>
      <c r="D110" s="4">
        <f ca="1">D165*'Total Distance Tables Sup #1'!D110*(1+'Other Assumptions'!H$53)</f>
        <v>0</v>
      </c>
      <c r="E110" s="4">
        <f ca="1">E165*'Total Distance Tables Sup #1'!E110*(1+'Other Assumptions'!I$53)</f>
        <v>0</v>
      </c>
      <c r="F110" s="4">
        <f ca="1">F165*'Total Distance Tables Sup #1'!F110*(1+'Other Assumptions'!J$53)</f>
        <v>0</v>
      </c>
      <c r="G110" s="4">
        <f ca="1">G165*'Total Distance Tables Sup #1'!G110*(1+'Other Assumptions'!K$53)</f>
        <v>0</v>
      </c>
      <c r="H110" s="4">
        <f ca="1">H165*'Total Distance Tables Sup #1'!H110*(1+'Other Assumptions'!L$53)</f>
        <v>0</v>
      </c>
      <c r="I110" s="1">
        <f ca="1">I165*'Total Distance Tables Sup #1'!I110*(1+'Other Assumptions'!M$53)</f>
        <v>0</v>
      </c>
      <c r="J110" s="1">
        <f ca="1">J165*'Total Distance Tables Sup #1'!J110*(1+'Other Assumptions'!N$53)</f>
        <v>0</v>
      </c>
      <c r="K110" s="1">
        <f ca="1">K165*'Total Distance Tables Sup #1'!K110*(1+'Other Assumptions'!O$53)</f>
        <v>0</v>
      </c>
    </row>
    <row r="111" spans="1:11" x14ac:dyDescent="0.2">
      <c r="A111" t="str">
        <f ca="1">OFFSET(Nelson_Reference,49,2)</f>
        <v>Local Bus</v>
      </c>
      <c r="B111" s="4">
        <f ca="1">B166*'Total Distance Tables Sup #1'!B111*(1+'Other Assumptions'!D$53)</f>
        <v>19.807462209000001</v>
      </c>
      <c r="C111" s="4">
        <f ca="1">C166*'Total Distance Tables Sup #1'!C111*(1+'Other Assumptions'!G$53)</f>
        <v>19.007735081562252</v>
      </c>
      <c r="D111" s="4">
        <f ca="1">D166*'Total Distance Tables Sup #1'!D111*(1+'Other Assumptions'!H$53)</f>
        <v>18.497900571915267</v>
      </c>
      <c r="E111" s="4">
        <f ca="1">E166*'Total Distance Tables Sup #1'!E111*(1+'Other Assumptions'!I$53)</f>
        <v>18.10280817389172</v>
      </c>
      <c r="F111" s="4">
        <f ca="1">F166*'Total Distance Tables Sup #1'!F111*(1+'Other Assumptions'!J$53)</f>
        <v>17.43315890538188</v>
      </c>
      <c r="G111" s="4">
        <f ca="1">G166*'Total Distance Tables Sup #1'!G111*(1+'Other Assumptions'!K$53)</f>
        <v>16.964069837130658</v>
      </c>
      <c r="H111" s="4">
        <f ca="1">H166*'Total Distance Tables Sup #1'!H111*(1+'Other Assumptions'!L$53)</f>
        <v>16.400477755718519</v>
      </c>
      <c r="I111" s="1">
        <f ca="1">I166*'Total Distance Tables Sup #1'!I111*(1+'Other Assumptions'!M$53)</f>
        <v>16.407592325698438</v>
      </c>
      <c r="J111" s="1">
        <f ca="1">J166*'Total Distance Tables Sup #1'!J111*(1+'Other Assumptions'!N$53)</f>
        <v>16.363208800566682</v>
      </c>
      <c r="K111" s="1">
        <f ca="1">K166*'Total Distance Tables Sup #1'!K111*(1+'Other Assumptions'!O$53)</f>
        <v>16.284616284924816</v>
      </c>
    </row>
    <row r="112" spans="1:11" x14ac:dyDescent="0.2">
      <c r="A112" t="str">
        <f ca="1">OFFSET(Wellington_Reference,56,2)</f>
        <v>Local Ferry</v>
      </c>
      <c r="B112" s="4">
        <f>B167*'Total Distance Tables Sup #1'!B112*(1+'Other Assumptions'!D$53)</f>
        <v>0</v>
      </c>
      <c r="C112" s="4">
        <f ca="1">C167*'Total Distance Tables Sup #1'!C112*(1+'Other Assumptions'!G$53)</f>
        <v>0</v>
      </c>
      <c r="D112" s="4">
        <f ca="1">D167*'Total Distance Tables Sup #1'!D112*(1+'Other Assumptions'!H$53)</f>
        <v>0</v>
      </c>
      <c r="E112" s="4">
        <f ca="1">E167*'Total Distance Tables Sup #1'!E112*(1+'Other Assumptions'!I$53)</f>
        <v>0</v>
      </c>
      <c r="F112" s="4">
        <f ca="1">F167*'Total Distance Tables Sup #1'!F112*(1+'Other Assumptions'!J$53)</f>
        <v>0</v>
      </c>
      <c r="G112" s="4">
        <f ca="1">G167*'Total Distance Tables Sup #1'!G112*(1+'Other Assumptions'!K$53)</f>
        <v>0</v>
      </c>
      <c r="H112" s="4">
        <f ca="1">H167*'Total Distance Tables Sup #1'!H112*(1+'Other Assumptions'!L$53)</f>
        <v>0</v>
      </c>
      <c r="I112" s="1">
        <f ca="1">I167*'Total Distance Tables Sup #1'!I112*(1+'Other Assumptions'!M$53)</f>
        <v>0</v>
      </c>
      <c r="J112" s="1">
        <f ca="1">J167*'Total Distance Tables Sup #1'!J112*(1+'Other Assumptions'!N$53)</f>
        <v>0</v>
      </c>
      <c r="K112" s="1">
        <f ca="1">K167*'Total Distance Tables Sup #1'!K112*(1+'Other Assumptions'!O$53)</f>
        <v>0</v>
      </c>
    </row>
    <row r="113" spans="1:11" x14ac:dyDescent="0.2">
      <c r="A113" t="str">
        <f ca="1">OFFSET(Nelson_Reference,56,2)</f>
        <v>Other Household Travel</v>
      </c>
      <c r="B113" s="4">
        <f ca="1">B168*'Total Distance Tables Sup #1'!B113*(1+'Other Assumptions'!D$53)</f>
        <v>0</v>
      </c>
      <c r="C113" s="4">
        <f ca="1">C168*'Total Distance Tables Sup #1'!C113*(1+'Other Assumptions'!G$53)</f>
        <v>0</v>
      </c>
      <c r="D113" s="4">
        <f ca="1">D168*'Total Distance Tables Sup #1'!D113*(1+'Other Assumptions'!H$53)</f>
        <v>0</v>
      </c>
      <c r="E113" s="4">
        <f ca="1">E168*'Total Distance Tables Sup #1'!E113*(1+'Other Assumptions'!I$53)</f>
        <v>0</v>
      </c>
      <c r="F113" s="4">
        <f ca="1">F168*'Total Distance Tables Sup #1'!F113*(1+'Other Assumptions'!J$53)</f>
        <v>0</v>
      </c>
      <c r="G113" s="4">
        <f ca="1">G168*'Total Distance Tables Sup #1'!G113*(1+'Other Assumptions'!K$53)</f>
        <v>0</v>
      </c>
      <c r="H113" s="4">
        <f ca="1">H168*'Total Distance Tables Sup #1'!H113*(1+'Other Assumptions'!L$53)</f>
        <v>0</v>
      </c>
      <c r="I113" s="1">
        <f ca="1">I168*'Total Distance Tables Sup #1'!I113*(1+'Other Assumptions'!M$53)</f>
        <v>0</v>
      </c>
      <c r="J113" s="1">
        <f ca="1">J168*'Total Distance Tables Sup #1'!J113*(1+'Other Assumptions'!N$53)</f>
        <v>0</v>
      </c>
      <c r="K113" s="1">
        <f ca="1">K168*'Total Distance Tables Sup #1'!K113*(1+'Other Assumptions'!O$53)</f>
        <v>0</v>
      </c>
    </row>
    <row r="114" spans="1:11" x14ac:dyDescent="0.2">
      <c r="A114" t="str">
        <f ca="1">OFFSET(West_Coast_Reference,0,0)</f>
        <v>12 WEST COAST</v>
      </c>
      <c r="B114" s="4"/>
      <c r="C114" s="4"/>
      <c r="D114" s="4"/>
      <c r="E114" s="4"/>
      <c r="F114" s="4"/>
      <c r="G114" s="4"/>
      <c r="H114" s="4"/>
      <c r="I114" s="1"/>
      <c r="J114" s="1"/>
      <c r="K114" s="1"/>
    </row>
    <row r="115" spans="1:11" x14ac:dyDescent="0.2">
      <c r="A115" t="str">
        <f ca="1">OFFSET(West_Coast_Reference,0,2)</f>
        <v>Pedestrian</v>
      </c>
      <c r="B115" s="4">
        <f ca="1">B159*'Total Distance Tables Sup #1'!B115*(1+'Other Assumptions'!D$54)*(1+'Active Mode Assumptions'!B9)</f>
        <v>4.6474841125999999</v>
      </c>
      <c r="C115" s="4">
        <f ca="1">C159*'Total Distance Tables Sup #1'!C115*(1+'Other Assumptions'!G$54)*(1+'Active Mode Assumptions'!C9)</f>
        <v>4.5438714698571818</v>
      </c>
      <c r="D115" s="4">
        <f ca="1">D159*'Total Distance Tables Sup #1'!D115*(1+'Other Assumptions'!H$54)*(1+'Active Mode Assumptions'!D9)</f>
        <v>4.4988723968081334</v>
      </c>
      <c r="E115" s="4">
        <f ca="1">E159*'Total Distance Tables Sup #1'!E115*(1+'Other Assumptions'!I$54)*(1+'Active Mode Assumptions'!E9)</f>
        <v>4.4235543765078607</v>
      </c>
      <c r="F115" s="4">
        <f ca="1">F159*'Total Distance Tables Sup #1'!F115*(1+'Other Assumptions'!J$54)*(1+'Active Mode Assumptions'!F9)</f>
        <v>4.3045418955837533</v>
      </c>
      <c r="G115" s="4">
        <f ca="1">G159*'Total Distance Tables Sup #1'!G115*(1+'Other Assumptions'!K$54)*(1+'Active Mode Assumptions'!G9)</f>
        <v>4.178227956286988</v>
      </c>
      <c r="H115" s="4">
        <f ca="1">H159*'Total Distance Tables Sup #1'!H115*(1+'Other Assumptions'!L$54)*(1+'Active Mode Assumptions'!H9)</f>
        <v>4.0411872522068881</v>
      </c>
      <c r="I115" s="1">
        <f ca="1">I159*'Total Distance Tables Sup #1'!I115*(1+'Other Assumptions'!M$54)*(1+'Active Mode Assumptions'!I9)</f>
        <v>3.9325811495791512</v>
      </c>
      <c r="J115" s="1">
        <f ca="1">J159*'Total Distance Tables Sup #1'!J115*(1+'Other Assumptions'!N$54)*(1+'Active Mode Assumptions'!J9)</f>
        <v>3.8147659967156411</v>
      </c>
      <c r="K115" s="1">
        <f ca="1">K159*'Total Distance Tables Sup #1'!K115*(1+'Other Assumptions'!O$54)*(1+'Active Mode Assumptions'!K9)</f>
        <v>3.6925799323563626</v>
      </c>
    </row>
    <row r="116" spans="1:11" x14ac:dyDescent="0.2">
      <c r="A116" t="str">
        <f ca="1">OFFSET(West_Coast_Reference,7,2)</f>
        <v>Cyclist</v>
      </c>
      <c r="B116" s="4">
        <f ca="1">B160*'Total Distance Tables Sup #1'!B116*(1+'Other Assumptions'!D$54)*(1+'Active Mode Assumptions'!B18)</f>
        <v>1.9571055828999999</v>
      </c>
      <c r="C116" s="4">
        <f ca="1">C160*'Total Distance Tables Sup #1'!C116*(1+'Other Assumptions'!G$54)*(1+'Active Mode Assumptions'!C18)</f>
        <v>1.9821865276513997</v>
      </c>
      <c r="D116" s="4">
        <f ca="1">D160*'Total Distance Tables Sup #1'!D116*(1+'Other Assumptions'!H$54)*(1+'Active Mode Assumptions'!D18)</f>
        <v>1.9927610570821725</v>
      </c>
      <c r="E116" s="4">
        <f ca="1">E160*'Total Distance Tables Sup #1'!E116*(1+'Other Assumptions'!I$54)*(1+'Active Mode Assumptions'!E18)</f>
        <v>1.9592048022461195</v>
      </c>
      <c r="F116" s="4">
        <f ca="1">F160*'Total Distance Tables Sup #1'!F116*(1+'Other Assumptions'!J$54)*(1+'Active Mode Assumptions'!F18)</f>
        <v>1.9439018908620778</v>
      </c>
      <c r="G116" s="4">
        <f ca="1">G160*'Total Distance Tables Sup #1'!G116*(1+'Other Assumptions'!K$54)*(1+'Active Mode Assumptions'!G18)</f>
        <v>1.9506644100955524</v>
      </c>
      <c r="H116" s="4">
        <f ca="1">H160*'Total Distance Tables Sup #1'!H116*(1+'Other Assumptions'!L$54)*(1+'Active Mode Assumptions'!H18)</f>
        <v>1.9530153328133588</v>
      </c>
      <c r="I116" s="1">
        <f ca="1">I160*'Total Distance Tables Sup #1'!I116*(1+'Other Assumptions'!M$54)*(1+'Active Mode Assumptions'!I18)</f>
        <v>1.9094575166579308</v>
      </c>
      <c r="J116" s="1">
        <f ca="1">J160*'Total Distance Tables Sup #1'!J116*(1+'Other Assumptions'!N$54)*(1+'Active Mode Assumptions'!J18)</f>
        <v>1.8610395832727427</v>
      </c>
      <c r="K116" s="1">
        <f ca="1">K160*'Total Distance Tables Sup #1'!K116*(1+'Other Assumptions'!O$54)*(1+'Active Mode Assumptions'!K18)</f>
        <v>1.8100570938309106</v>
      </c>
    </row>
    <row r="117" spans="1:11" x14ac:dyDescent="0.2">
      <c r="A117" t="str">
        <f ca="1">OFFSET(West_Coast_Reference,14,2)</f>
        <v>Light Vehicle Driver</v>
      </c>
      <c r="B117" s="4">
        <f ca="1">B161*'Total Distance Tables Sup #1'!B117*(1+'Other Assumptions'!D$54)-(B115*'Active Mode Assumptions'!B9*'Active Mode Assumptions'!B14/(1+'Active Mode Assumptions'!B9))-(B116*'Active Mode Assumptions'!B18*'Active Mode Assumptions'!B23/(1+'Active Mode Assumptions'!B18))</f>
        <v>226.22434741999999</v>
      </c>
      <c r="C117" s="4">
        <f ca="1">C161*'Total Distance Tables Sup #1'!C117*(1+'Other Assumptions'!G$54)-(C115*'Active Mode Assumptions'!C9*'Active Mode Assumptions'!C14/(1+'Active Mode Assumptions'!C9))-(C116*'Active Mode Assumptions'!C18*'Active Mode Assumptions'!C23/(1+'Active Mode Assumptions'!C18))</f>
        <v>229.30868742310201</v>
      </c>
      <c r="D117" s="4">
        <f ca="1">D161*'Total Distance Tables Sup #1'!D117*(1+'Other Assumptions'!H$54)-(D115*'Active Mode Assumptions'!D9*'Active Mode Assumptions'!D14/(1+'Active Mode Assumptions'!D9))-(D116*'Active Mode Assumptions'!D18*'Active Mode Assumptions'!D23/(1+'Active Mode Assumptions'!D18))</f>
        <v>232.46602439870051</v>
      </c>
      <c r="E117" s="4">
        <f ca="1">E161*'Total Distance Tables Sup #1'!E117*(1+'Other Assumptions'!I$54)-(E115*'Active Mode Assumptions'!E9*'Active Mode Assumptions'!E14/(1+'Active Mode Assumptions'!E9))-(E116*'Active Mode Assumptions'!E18*'Active Mode Assumptions'!E23/(1+'Active Mode Assumptions'!E18))</f>
        <v>231.42682326877582</v>
      </c>
      <c r="F117" s="4">
        <f ca="1">F161*'Total Distance Tables Sup #1'!F117*(1+'Other Assumptions'!J$54)-(F115*'Active Mode Assumptions'!F9*'Active Mode Assumptions'!F14/(1+'Active Mode Assumptions'!F9))-(F116*'Active Mode Assumptions'!F18*'Active Mode Assumptions'!F23/(1+'Active Mode Assumptions'!F18))</f>
        <v>229.20929172050512</v>
      </c>
      <c r="G117" s="4">
        <f ca="1">G161*'Total Distance Tables Sup #1'!G117*(1+'Other Assumptions'!K$54)-(G115*'Active Mode Assumptions'!G9*'Active Mode Assumptions'!G14/(1+'Active Mode Assumptions'!G9))-(G116*'Active Mode Assumptions'!G18*'Active Mode Assumptions'!G23/(1+'Active Mode Assumptions'!G18))</f>
        <v>224.74665075030569</v>
      </c>
      <c r="H117" s="4">
        <f ca="1">H161*'Total Distance Tables Sup #1'!H117*(1+'Other Assumptions'!L$54)-(H115*'Active Mode Assumptions'!H9*'Active Mode Assumptions'!H14/(1+'Active Mode Assumptions'!H9))-(H116*'Active Mode Assumptions'!H18*'Active Mode Assumptions'!H23/(1+'Active Mode Assumptions'!H18))</f>
        <v>219.67402194185732</v>
      </c>
      <c r="I117" s="1">
        <f ca="1">I161*'Total Distance Tables Sup #1'!I117*(1+'Other Assumptions'!M$54)-(I115*'Active Mode Assumptions'!I9*'Active Mode Assumptions'!I14/(1+'Active Mode Assumptions'!I9))-(I116*'Active Mode Assumptions'!I18*'Active Mode Assumptions'!I23/(1+'Active Mode Assumptions'!I18))</f>
        <v>214.18522693909395</v>
      </c>
      <c r="J117" s="1">
        <f ca="1">J161*'Total Distance Tables Sup #1'!J117*(1+'Other Assumptions'!N$54)-(J115*'Active Mode Assumptions'!J9*'Active Mode Assumptions'!J14/(1+'Active Mode Assumptions'!J9))-(J116*'Active Mode Assumptions'!J18*'Active Mode Assumptions'!J23/(1+'Active Mode Assumptions'!J18))</f>
        <v>208.17046538077079</v>
      </c>
      <c r="K117" s="1">
        <f ca="1">K161*'Total Distance Tables Sup #1'!K117*(1+'Other Assumptions'!O$54)-(K115*'Active Mode Assumptions'!K9*'Active Mode Assumptions'!K14/(1+'Active Mode Assumptions'!K9))-(K116*'Active Mode Assumptions'!K18*'Active Mode Assumptions'!K23/(1+'Active Mode Assumptions'!K18))</f>
        <v>201.89131052298251</v>
      </c>
    </row>
    <row r="118" spans="1:11" x14ac:dyDescent="0.2">
      <c r="A118" t="str">
        <f ca="1">OFFSET(West_Coast_Reference,21,2)</f>
        <v>Light Vehicle Passenger</v>
      </c>
      <c r="B118" s="4">
        <f ca="1">B162*'Total Distance Tables Sup #1'!B118*(1+'Other Assumptions'!D$54)-(B115*'Active Mode Assumptions'!B9*'Active Mode Assumptions'!B15/(1+'Active Mode Assumptions'!B9))-(B116*'Active Mode Assumptions'!B18*'Active Mode Assumptions'!B24/(1+'Active Mode Assumptions'!B18))</f>
        <v>160.37072223999999</v>
      </c>
      <c r="C118" s="4">
        <f ca="1">C162*'Total Distance Tables Sup #1'!C118*(1+'Other Assumptions'!G$54)-(C115*'Active Mode Assumptions'!C9*'Active Mode Assumptions'!C15/(1+'Active Mode Assumptions'!C9))-(C116*'Active Mode Assumptions'!C18*'Active Mode Assumptions'!C24/(1+'Active Mode Assumptions'!C18))</f>
        <v>156.00761120178166</v>
      </c>
      <c r="D118" s="4">
        <f ca="1">D162*'Total Distance Tables Sup #1'!D118*(1+'Other Assumptions'!H$54)-(D115*'Active Mode Assumptions'!D9*'Active Mode Assumptions'!D15/(1+'Active Mode Assumptions'!D9))-(D116*'Active Mode Assumptions'!D18*'Active Mode Assumptions'!D24/(1+'Active Mode Assumptions'!D18))</f>
        <v>154.49739893170599</v>
      </c>
      <c r="E118" s="4">
        <f ca="1">E162*'Total Distance Tables Sup #1'!E118*(1+'Other Assumptions'!I$54)-(E115*'Active Mode Assumptions'!E9*'Active Mode Assumptions'!E15/(1+'Active Mode Assumptions'!E9))-(E116*'Active Mode Assumptions'!E18*'Active Mode Assumptions'!E24/(1+'Active Mode Assumptions'!E18))</f>
        <v>151.69441786093719</v>
      </c>
      <c r="F118" s="4">
        <f ca="1">F162*'Total Distance Tables Sup #1'!F118*(1+'Other Assumptions'!J$54)-(F115*'Active Mode Assumptions'!F9*'Active Mode Assumptions'!F15/(1+'Active Mode Assumptions'!F9))-(F116*'Active Mode Assumptions'!F18*'Active Mode Assumptions'!F24/(1+'Active Mode Assumptions'!F18))</f>
        <v>147.90778011152202</v>
      </c>
      <c r="G118" s="4">
        <f ca="1">G162*'Total Distance Tables Sup #1'!G118*(1+'Other Assumptions'!K$54)-(G115*'Active Mode Assumptions'!G9*'Active Mode Assumptions'!G15/(1+'Active Mode Assumptions'!G9))-(G116*'Active Mode Assumptions'!G18*'Active Mode Assumptions'!G24/(1+'Active Mode Assumptions'!G18))</f>
        <v>143.42666281977355</v>
      </c>
      <c r="H118" s="4">
        <f ca="1">H162*'Total Distance Tables Sup #1'!H118*(1+'Other Assumptions'!L$54)-(H115*'Active Mode Assumptions'!H9*'Active Mode Assumptions'!H15/(1+'Active Mode Assumptions'!H9))-(H116*'Active Mode Assumptions'!H18*'Active Mode Assumptions'!H24/(1+'Active Mode Assumptions'!H18))</f>
        <v>138.50274501857407</v>
      </c>
      <c r="I118" s="1">
        <f ca="1">I162*'Total Distance Tables Sup #1'!I118*(1+'Other Assumptions'!M$54)-(I115*'Active Mode Assumptions'!I9*'Active Mode Assumptions'!I15/(1+'Active Mode Assumptions'!I9))-(I116*'Active Mode Assumptions'!I18*'Active Mode Assumptions'!I24/(1+'Active Mode Assumptions'!I18))</f>
        <v>135.1909519761804</v>
      </c>
      <c r="J118" s="1">
        <f ca="1">J162*'Total Distance Tables Sup #1'!J118*(1+'Other Assumptions'!N$54)-(J115*'Active Mode Assumptions'!J9*'Active Mode Assumptions'!J15/(1+'Active Mode Assumptions'!J9))-(J116*'Active Mode Assumptions'!J18*'Active Mode Assumptions'!J24/(1+'Active Mode Assumptions'!J18))</f>
        <v>131.5398153053718</v>
      </c>
      <c r="K118" s="1">
        <f ca="1">K162*'Total Distance Tables Sup #1'!K118*(1+'Other Assumptions'!O$54)-(K115*'Active Mode Assumptions'!K9*'Active Mode Assumptions'!K15/(1+'Active Mode Assumptions'!K9))-(K116*'Active Mode Assumptions'!K18*'Active Mode Assumptions'!K24/(1+'Active Mode Assumptions'!K18))</f>
        <v>127.71357204290882</v>
      </c>
    </row>
    <row r="119" spans="1:11" x14ac:dyDescent="0.2">
      <c r="A119" t="str">
        <f ca="1">OFFSET(West_Coast_Reference,28,2)</f>
        <v>Taxi/Vehicle Share</v>
      </c>
      <c r="B119" s="4">
        <f ca="1">B163*'Total Distance Tables Sup #1'!B119*(1+'Other Assumptions'!D$54)</f>
        <v>1.6916956777000001</v>
      </c>
      <c r="C119" s="4">
        <f ca="1">C163*'Total Distance Tables Sup #1'!C119*(1+'Other Assumptions'!G$54)</f>
        <v>1.7869321426360312</v>
      </c>
      <c r="D119" s="4">
        <f ca="1">D163*'Total Distance Tables Sup #1'!D119*(1+'Other Assumptions'!H$54)</f>
        <v>1.9042833460769777</v>
      </c>
      <c r="E119" s="4">
        <f ca="1">E163*'Total Distance Tables Sup #1'!E119*(1+'Other Assumptions'!I$54)</f>
        <v>2.0027945230667945</v>
      </c>
      <c r="F119" s="4">
        <f ca="1">F163*'Total Distance Tables Sup #1'!F119*(1+'Other Assumptions'!J$54)</f>
        <v>2.0724664098648433</v>
      </c>
      <c r="G119" s="4">
        <f ca="1">G163*'Total Distance Tables Sup #1'!G119*(1+'Other Assumptions'!K$54)</f>
        <v>2.1061681003166211</v>
      </c>
      <c r="H119" s="4">
        <f ca="1">H163*'Total Distance Tables Sup #1'!H119*(1+'Other Assumptions'!L$54)</f>
        <v>2.1314660543645285</v>
      </c>
      <c r="I119" s="1">
        <f ca="1">I163*'Total Distance Tables Sup #1'!I119*(1+'Other Assumptions'!M$54)</f>
        <v>2.0723786938708169</v>
      </c>
      <c r="J119" s="1">
        <f ca="1">J163*'Total Distance Tables Sup #1'!J119*(1+'Other Assumptions'!N$54)</f>
        <v>2.0085033470376592</v>
      </c>
      <c r="K119" s="1">
        <f ca="1">K163*'Total Distance Tables Sup #1'!K119*(1+'Other Assumptions'!O$54)</f>
        <v>1.9424041991401786</v>
      </c>
    </row>
    <row r="120" spans="1:11" x14ac:dyDescent="0.2">
      <c r="A120" t="str">
        <f ca="1">OFFSET(West_Coast_Reference,35,2)</f>
        <v>Motorcyclist</v>
      </c>
      <c r="B120" s="4">
        <f ca="1">B164*'Total Distance Tables Sup #1'!B120*(1+'Other Assumptions'!D$54)</f>
        <v>0.29466348679999999</v>
      </c>
      <c r="C120" s="4">
        <f ca="1">C164*'Total Distance Tables Sup #1'!C120*(1+'Other Assumptions'!G$54)</f>
        <v>0.29862195124231178</v>
      </c>
      <c r="D120" s="4">
        <f ca="1">D164*'Total Distance Tables Sup #1'!D120*(1+'Other Assumptions'!H$54)</f>
        <v>0.30229612000545841</v>
      </c>
      <c r="E120" s="4">
        <f ca="1">E164*'Total Distance Tables Sup #1'!E120*(1+'Other Assumptions'!I$54)</f>
        <v>0.2956550766468185</v>
      </c>
      <c r="F120" s="4">
        <f ca="1">F164*'Total Distance Tables Sup #1'!F120*(1+'Other Assumptions'!J$54)</f>
        <v>0.28627513990462355</v>
      </c>
      <c r="G120" s="4">
        <f ca="1">G164*'Total Distance Tables Sup #1'!G120*(1+'Other Assumptions'!K$54)</f>
        <v>0.27230974156491417</v>
      </c>
      <c r="H120" s="4">
        <f ca="1">H164*'Total Distance Tables Sup #1'!H120*(1+'Other Assumptions'!L$54)</f>
        <v>0.2579114195201368</v>
      </c>
      <c r="I120" s="1">
        <f ca="1">I164*'Total Distance Tables Sup #1'!I120*(1+'Other Assumptions'!M$54)</f>
        <v>0.25302117139355956</v>
      </c>
      <c r="J120" s="1">
        <f ca="1">J164*'Total Distance Tables Sup #1'!J120*(1+'Other Assumptions'!N$54)</f>
        <v>0.24744302779100011</v>
      </c>
      <c r="K120" s="1">
        <f ca="1">K164*'Total Distance Tables Sup #1'!K120*(1+'Other Assumptions'!O$54)</f>
        <v>0.24147635812697249</v>
      </c>
    </row>
    <row r="121" spans="1:11" x14ac:dyDescent="0.2">
      <c r="A121" t="str">
        <f ca="1">OFFSET(Nelson_Reference,42,2)</f>
        <v>Local Train</v>
      </c>
      <c r="B121" s="4">
        <f ca="1">B165*'Total Distance Tables Sup #1'!B121*(1+'Other Assumptions'!D$54)</f>
        <v>0</v>
      </c>
      <c r="C121" s="4">
        <f ca="1">C165*'Total Distance Tables Sup #1'!C121*(1+'Other Assumptions'!G$54)</f>
        <v>0</v>
      </c>
      <c r="D121" s="4">
        <f ca="1">D165*'Total Distance Tables Sup #1'!D121*(1+'Other Assumptions'!H$54)</f>
        <v>0</v>
      </c>
      <c r="E121" s="4">
        <f ca="1">E165*'Total Distance Tables Sup #1'!E121*(1+'Other Assumptions'!I$54)</f>
        <v>0</v>
      </c>
      <c r="F121" s="4">
        <f ca="1">F165*'Total Distance Tables Sup #1'!F121*(1+'Other Assumptions'!J$54)</f>
        <v>0</v>
      </c>
      <c r="G121" s="4">
        <f ca="1">G165*'Total Distance Tables Sup #1'!G121*(1+'Other Assumptions'!K$54)</f>
        <v>0</v>
      </c>
      <c r="H121" s="4">
        <f ca="1">H165*'Total Distance Tables Sup #1'!H121*(1+'Other Assumptions'!L$54)</f>
        <v>0</v>
      </c>
      <c r="I121" s="1">
        <f ca="1">I165*'Total Distance Tables Sup #1'!I121*(1+'Other Assumptions'!M$54)</f>
        <v>0</v>
      </c>
      <c r="J121" s="1">
        <f ca="1">J165*'Total Distance Tables Sup #1'!J121*(1+'Other Assumptions'!N$54)</f>
        <v>0</v>
      </c>
      <c r="K121" s="1">
        <f ca="1">K165*'Total Distance Tables Sup #1'!K121*(1+'Other Assumptions'!O$54)</f>
        <v>0</v>
      </c>
    </row>
    <row r="122" spans="1:11" x14ac:dyDescent="0.2">
      <c r="A122" t="str">
        <f ca="1">OFFSET(West_Coast_Reference,42,2)</f>
        <v>Local Bus</v>
      </c>
      <c r="B122" s="4">
        <f ca="1">B166*'Total Distance Tables Sup #1'!B122*(1+'Other Assumptions'!D$54)</f>
        <v>6.0600083682000001</v>
      </c>
      <c r="C122" s="4">
        <f ca="1">C166*'Total Distance Tables Sup #1'!C122*(1+'Other Assumptions'!G$54)</f>
        <v>5.4621815671156266</v>
      </c>
      <c r="D122" s="4">
        <f ca="1">D166*'Total Distance Tables Sup #1'!D122*(1+'Other Assumptions'!H$54)</f>
        <v>5.1599397475806184</v>
      </c>
      <c r="E122" s="4">
        <f ca="1">E166*'Total Distance Tables Sup #1'!E122*(1+'Other Assumptions'!I$54)</f>
        <v>4.9099702846351976</v>
      </c>
      <c r="F122" s="4">
        <f ca="1">F166*'Total Distance Tables Sup #1'!F122*(1+'Other Assumptions'!J$54)</f>
        <v>4.5994775055431942</v>
      </c>
      <c r="G122" s="4">
        <f ca="1">G166*'Total Distance Tables Sup #1'!G122*(1+'Other Assumptions'!K$54)</f>
        <v>4.3560068783579071</v>
      </c>
      <c r="H122" s="4">
        <f ca="1">H166*'Total Distance Tables Sup #1'!H122*(1+'Other Assumptions'!L$54)</f>
        <v>4.1094347998140277</v>
      </c>
      <c r="I122" s="1">
        <f ca="1">I166*'Total Distance Tables Sup #1'!I122*(1+'Other Assumptions'!M$54)</f>
        <v>4.0115948180816146</v>
      </c>
      <c r="J122" s="1">
        <f ca="1">J166*'Total Distance Tables Sup #1'!J122*(1+'Other Assumptions'!N$54)</f>
        <v>3.903613253031935</v>
      </c>
      <c r="K122" s="1">
        <f ca="1">K166*'Total Distance Tables Sup #1'!K122*(1+'Other Assumptions'!O$54)</f>
        <v>3.7903683961876764</v>
      </c>
    </row>
    <row r="123" spans="1:11" x14ac:dyDescent="0.2">
      <c r="A123" t="str">
        <f ca="1">OFFSET(Wellington_Reference,56,2)</f>
        <v>Local Ferry</v>
      </c>
      <c r="B123" s="4">
        <f>B167*'Total Distance Tables Sup #1'!B123*(1+'Other Assumptions'!D$54)</f>
        <v>0</v>
      </c>
      <c r="C123" s="4">
        <f ca="1">C167*'Total Distance Tables Sup #1'!C123*(1+'Other Assumptions'!G$54)</f>
        <v>0</v>
      </c>
      <c r="D123" s="4">
        <f ca="1">D167*'Total Distance Tables Sup #1'!D123*(1+'Other Assumptions'!H$54)</f>
        <v>0</v>
      </c>
      <c r="E123" s="4">
        <f ca="1">E167*'Total Distance Tables Sup #1'!E123*(1+'Other Assumptions'!I$54)</f>
        <v>0</v>
      </c>
      <c r="F123" s="4">
        <f ca="1">F167*'Total Distance Tables Sup #1'!F123*(1+'Other Assumptions'!J$54)</f>
        <v>0</v>
      </c>
      <c r="G123" s="4">
        <f ca="1">G167*'Total Distance Tables Sup #1'!G123*(1+'Other Assumptions'!K$54)</f>
        <v>0</v>
      </c>
      <c r="H123" s="4">
        <f ca="1">H167*'Total Distance Tables Sup #1'!H123*(1+'Other Assumptions'!L$54)</f>
        <v>0</v>
      </c>
      <c r="I123" s="1">
        <f ca="1">I167*'Total Distance Tables Sup #1'!I123*(1+'Other Assumptions'!M$54)</f>
        <v>0</v>
      </c>
      <c r="J123" s="1">
        <f ca="1">J167*'Total Distance Tables Sup #1'!J123*(1+'Other Assumptions'!N$54)</f>
        <v>0</v>
      </c>
      <c r="K123" s="1">
        <f ca="1">K167*'Total Distance Tables Sup #1'!K123*(1+'Other Assumptions'!O$54)</f>
        <v>0</v>
      </c>
    </row>
    <row r="124" spans="1:11" x14ac:dyDescent="0.2">
      <c r="A124" t="str">
        <f ca="1">OFFSET(West_Coast_Reference,49,2)</f>
        <v>Other Household Travel</v>
      </c>
      <c r="B124" s="4">
        <f ca="1">B168*'Total Distance Tables Sup #1'!B124*(1+'Other Assumptions'!D$54)</f>
        <v>0</v>
      </c>
      <c r="C124" s="4">
        <f ca="1">C168*'Total Distance Tables Sup #1'!C124*(1+'Other Assumptions'!G$54)</f>
        <v>0</v>
      </c>
      <c r="D124" s="4">
        <f ca="1">D168*'Total Distance Tables Sup #1'!D124*(1+'Other Assumptions'!H$54)</f>
        <v>0</v>
      </c>
      <c r="E124" s="4">
        <f ca="1">E168*'Total Distance Tables Sup #1'!E124*(1+'Other Assumptions'!I$54)</f>
        <v>0</v>
      </c>
      <c r="F124" s="4">
        <f ca="1">F168*'Total Distance Tables Sup #1'!F124*(1+'Other Assumptions'!J$54)</f>
        <v>0</v>
      </c>
      <c r="G124" s="4">
        <f ca="1">G168*'Total Distance Tables Sup #1'!G124*(1+'Other Assumptions'!K$54)</f>
        <v>0</v>
      </c>
      <c r="H124" s="4">
        <f ca="1">H168*'Total Distance Tables Sup #1'!H124*(1+'Other Assumptions'!L$54)</f>
        <v>0</v>
      </c>
      <c r="I124" s="1">
        <f ca="1">I168*'Total Distance Tables Sup #1'!I124*(1+'Other Assumptions'!M$54)</f>
        <v>0</v>
      </c>
      <c r="J124" s="1">
        <f ca="1">J168*'Total Distance Tables Sup #1'!J124*(1+'Other Assumptions'!N$54)</f>
        <v>0</v>
      </c>
      <c r="K124" s="1">
        <f ca="1">K168*'Total Distance Tables Sup #1'!K124*(1+'Other Assumptions'!O$54)</f>
        <v>0</v>
      </c>
    </row>
    <row r="125" spans="1:11" x14ac:dyDescent="0.2">
      <c r="A125" t="str">
        <f ca="1">OFFSET(Canterbury_Reference,0,0)</f>
        <v>13 CANTERBURY</v>
      </c>
      <c r="B125" s="4"/>
      <c r="I125" s="1"/>
      <c r="J125" s="1"/>
      <c r="K125" s="1"/>
    </row>
    <row r="126" spans="1:11" x14ac:dyDescent="0.2">
      <c r="A126" t="str">
        <f ca="1">OFFSET(Canterbury_Reference,0,2)</f>
        <v>Pedestrian</v>
      </c>
      <c r="B126" s="4">
        <f ca="1">B159*'Total Distance Tables Sup #1'!B126*(1+'Other Assumptions'!D$55)*(1+'Active Mode Assumptions'!B9)</f>
        <v>113.37513976</v>
      </c>
      <c r="C126" s="4">
        <f ca="1">C159*'Total Distance Tables Sup #1'!C126*(1+'Other Assumptions'!G$55)*(1+'Active Mode Assumptions'!C9)</f>
        <v>124.60995372381409</v>
      </c>
      <c r="D126" s="4">
        <f ca="1">D159*'Total Distance Tables Sup #1'!D126*(1+'Other Assumptions'!H$55)*(1+'Active Mode Assumptions'!D9)</f>
        <v>131.49274704243425</v>
      </c>
      <c r="E126" s="4">
        <f ca="1">E159*'Total Distance Tables Sup #1'!E126*(1+'Other Assumptions'!I$55)*(1+'Active Mode Assumptions'!E9)</f>
        <v>135.98738608634551</v>
      </c>
      <c r="F126" s="4">
        <f ca="1">F159*'Total Distance Tables Sup #1'!F126*(1+'Other Assumptions'!J$55)*(1+'Active Mode Assumptions'!F9)</f>
        <v>139.27577192716089</v>
      </c>
      <c r="G126" s="4">
        <f ca="1">G159*'Total Distance Tables Sup #1'!G126*(1+'Other Assumptions'!K$55)*(1+'Active Mode Assumptions'!G9)</f>
        <v>142.38124459191519</v>
      </c>
      <c r="H126" s="4">
        <f ca="1">H159*'Total Distance Tables Sup #1'!H126*(1+'Other Assumptions'!L$55)*(1+'Active Mode Assumptions'!H9)</f>
        <v>144.92234704727923</v>
      </c>
      <c r="I126" s="1">
        <f ca="1">I159*'Total Distance Tables Sup #1'!I126*(1+'Other Assumptions'!M$55)*(1+'Active Mode Assumptions'!I9)</f>
        <v>148.41227005698337</v>
      </c>
      <c r="J126" s="1">
        <f ca="1">J159*'Total Distance Tables Sup #1'!J126*(1+'Other Assumptions'!N$55)*(1+'Active Mode Assumptions'!J9)</f>
        <v>151.50457514560563</v>
      </c>
      <c r="K126" s="1">
        <f ca="1">K159*'Total Distance Tables Sup #1'!K126*(1+'Other Assumptions'!O$55)*(1+'Active Mode Assumptions'!K9)</f>
        <v>154.33111022784746</v>
      </c>
    </row>
    <row r="127" spans="1:11" x14ac:dyDescent="0.2">
      <c r="A127" t="str">
        <f ca="1">OFFSET(Canterbury_Reference,7,2)</f>
        <v>Cyclist</v>
      </c>
      <c r="B127" s="4">
        <f ca="1">B160*'Total Distance Tables Sup #1'!B127*(1+'Other Assumptions'!D$55)*(1+'Active Mode Assumptions'!B18)</f>
        <v>97.023488555</v>
      </c>
      <c r="C127" s="4">
        <f ca="1">C160*'Total Distance Tables Sup #1'!C127*(1+'Other Assumptions'!G$55)*(1+'Active Mode Assumptions'!C18)</f>
        <v>110.46734726198969</v>
      </c>
      <c r="D127" s="4">
        <f ca="1">D160*'Total Distance Tables Sup #1'!D127*(1+'Other Assumptions'!H$55)*(1+'Active Mode Assumptions'!D18)</f>
        <v>118.36302590194882</v>
      </c>
      <c r="E127" s="4">
        <f ca="1">E160*'Total Distance Tables Sup #1'!E127*(1+'Other Assumptions'!I$55)*(1+'Active Mode Assumptions'!E18)</f>
        <v>122.39672597907094</v>
      </c>
      <c r="F127" s="4">
        <f ca="1">F160*'Total Distance Tables Sup #1'!F127*(1+'Other Assumptions'!J$55)*(1+'Active Mode Assumptions'!F18)</f>
        <v>127.81613644842552</v>
      </c>
      <c r="G127" s="4">
        <f ca="1">G160*'Total Distance Tables Sup #1'!G127*(1+'Other Assumptions'!K$55)*(1+'Active Mode Assumptions'!G18)</f>
        <v>135.08462551879714</v>
      </c>
      <c r="H127" s="4">
        <f ca="1">H160*'Total Distance Tables Sup #1'!H127*(1+'Other Assumptions'!L$55)*(1+'Active Mode Assumptions'!H18)</f>
        <v>142.32944175200359</v>
      </c>
      <c r="I127" s="1">
        <f ca="1">I160*'Total Distance Tables Sup #1'!I127*(1+'Other Assumptions'!M$55)*(1+'Active Mode Assumptions'!I18)</f>
        <v>146.44172081164336</v>
      </c>
      <c r="J127" s="1">
        <f ca="1">J160*'Total Distance Tables Sup #1'!J127*(1+'Other Assumptions'!N$55)*(1+'Active Mode Assumptions'!J18)</f>
        <v>150.20215510766911</v>
      </c>
      <c r="K127" s="1">
        <f ca="1">K160*'Total Distance Tables Sup #1'!K127*(1+'Other Assumptions'!O$55)*(1+'Active Mode Assumptions'!K18)</f>
        <v>153.73705507571208</v>
      </c>
    </row>
    <row r="128" spans="1:11" x14ac:dyDescent="0.2">
      <c r="A128" t="str">
        <f ca="1">OFFSET(Canterbury_Reference,14,2)</f>
        <v>Light Vehicle Driver</v>
      </c>
      <c r="B128" s="4">
        <f ca="1">B161*'Total Distance Tables Sup #1'!B128*(1+'Other Assumptions'!D$55)-(B126*'Active Mode Assumptions'!B9*'Active Mode Assumptions'!B14/(1+'Active Mode Assumptions'!B9))-(B127*'Active Mode Assumptions'!B18*'Active Mode Assumptions'!B23/(1+'Active Mode Assumptions'!B18))</f>
        <v>3777.041205</v>
      </c>
      <c r="C128" s="4">
        <f ca="1">C161*'Total Distance Tables Sup #1'!C128*(1+'Other Assumptions'!G$55)-(C126*'Active Mode Assumptions'!C9*'Active Mode Assumptions'!C14/(1+'Active Mode Assumptions'!C9))-(C127*'Active Mode Assumptions'!C18*'Active Mode Assumptions'!C23/(1+'Active Mode Assumptions'!C18))</f>
        <v>4303.8751245061658</v>
      </c>
      <c r="D128" s="4">
        <f ca="1">D161*'Total Distance Tables Sup #1'!D128*(1+'Other Assumptions'!H$55)-(D126*'Active Mode Assumptions'!D9*'Active Mode Assumptions'!D14/(1+'Active Mode Assumptions'!D9))-(D127*'Active Mode Assumptions'!D18*'Active Mode Assumptions'!D23/(1+'Active Mode Assumptions'!D18))</f>
        <v>4650.1832613889947</v>
      </c>
      <c r="E128" s="4">
        <f ca="1">E161*'Total Distance Tables Sup #1'!E128*(1+'Other Assumptions'!I$55)-(E126*'Active Mode Assumptions'!E9*'Active Mode Assumptions'!E14/(1+'Active Mode Assumptions'!E9))-(E127*'Active Mode Assumptions'!E18*'Active Mode Assumptions'!E23/(1+'Active Mode Assumptions'!E18))</f>
        <v>4869.1528365702989</v>
      </c>
      <c r="F128" s="4">
        <f ca="1">F161*'Total Distance Tables Sup #1'!F128*(1+'Other Assumptions'!J$55)-(F126*'Active Mode Assumptions'!F9*'Active Mode Assumptions'!F14/(1+'Active Mode Assumptions'!F9))-(F127*'Active Mode Assumptions'!F18*'Active Mode Assumptions'!F23/(1+'Active Mode Assumptions'!F18))</f>
        <v>5075.6692169109047</v>
      </c>
      <c r="G128" s="4">
        <f ca="1">G161*'Total Distance Tables Sup #1'!G128*(1+'Other Assumptions'!K$55)-(G126*'Active Mode Assumptions'!G9*'Active Mode Assumptions'!G14/(1+'Active Mode Assumptions'!G9))-(G127*'Active Mode Assumptions'!G18*'Active Mode Assumptions'!G23/(1+'Active Mode Assumptions'!G18))</f>
        <v>5241.6297389682022</v>
      </c>
      <c r="H128" s="4">
        <f ca="1">H161*'Total Distance Tables Sup #1'!H128*(1+'Other Assumptions'!L$55)-(H126*'Active Mode Assumptions'!H9*'Active Mode Assumptions'!H14/(1+'Active Mode Assumptions'!H9))-(H127*'Active Mode Assumptions'!H18*'Active Mode Assumptions'!H23/(1+'Active Mode Assumptions'!H18))</f>
        <v>5391.5984901132297</v>
      </c>
      <c r="I128" s="1">
        <f ca="1">I161*'Total Distance Tables Sup #1'!I128*(1+'Other Assumptions'!M$55)-(I126*'Active Mode Assumptions'!I9*'Active Mode Assumptions'!I14/(1+'Active Mode Assumptions'!I9))-(I127*'Active Mode Assumptions'!I18*'Active Mode Assumptions'!I23/(1+'Active Mode Assumptions'!I18))</f>
        <v>5532.1517508313964</v>
      </c>
      <c r="J128" s="1">
        <f ca="1">J161*'Total Distance Tables Sup #1'!J128*(1+'Other Assumptions'!N$55)-(J126*'Active Mode Assumptions'!J9*'Active Mode Assumptions'!J14/(1+'Active Mode Assumptions'!J9))-(J127*'Active Mode Assumptions'!J18*'Active Mode Assumptions'!J23/(1+'Active Mode Assumptions'!J18))</f>
        <v>5658.3448887702634</v>
      </c>
      <c r="K128" s="1">
        <f ca="1">K161*'Total Distance Tables Sup #1'!K128*(1+'Other Assumptions'!O$55)-(K126*'Active Mode Assumptions'!K9*'Active Mode Assumptions'!K14/(1+'Active Mode Assumptions'!K9))-(K127*'Active Mode Assumptions'!K18*'Active Mode Assumptions'!K23/(1+'Active Mode Assumptions'!K18))</f>
        <v>5775.022218242706</v>
      </c>
    </row>
    <row r="129" spans="1:11" x14ac:dyDescent="0.2">
      <c r="A129" t="str">
        <f ca="1">OFFSET(Canterbury_Reference,21,2)</f>
        <v>Light Vehicle Passenger</v>
      </c>
      <c r="B129" s="4">
        <f ca="1">B162*'Total Distance Tables Sup #1'!B129*(1+'Other Assumptions'!D$55)-(B126*'Active Mode Assumptions'!B9*'Active Mode Assumptions'!B15/(1+'Active Mode Assumptions'!B9))-(B127*'Active Mode Assumptions'!B18*'Active Mode Assumptions'!B24/(1+'Active Mode Assumptions'!B18))</f>
        <v>2033.7115475000001</v>
      </c>
      <c r="C129" s="4">
        <f ca="1">C162*'Total Distance Tables Sup #1'!C129*(1+'Other Assumptions'!G$55)-(C126*'Active Mode Assumptions'!C9*'Active Mode Assumptions'!C15/(1+'Active Mode Assumptions'!C9))-(C127*'Active Mode Assumptions'!C18*'Active Mode Assumptions'!C24/(1+'Active Mode Assumptions'!C18))</f>
        <v>2224.0104900290562</v>
      </c>
      <c r="D129" s="4">
        <f ca="1">D162*'Total Distance Tables Sup #1'!D129*(1+'Other Assumptions'!H$55)-(D126*'Active Mode Assumptions'!D9*'Active Mode Assumptions'!D15/(1+'Active Mode Assumptions'!D9))-(D127*'Active Mode Assumptions'!D18*'Active Mode Assumptions'!D24/(1+'Active Mode Assumptions'!D18))</f>
        <v>2347.3813143181319</v>
      </c>
      <c r="E129" s="4">
        <f ca="1">E162*'Total Distance Tables Sup #1'!E129*(1+'Other Assumptions'!I$55)-(E126*'Active Mode Assumptions'!E9*'Active Mode Assumptions'!E15/(1+'Active Mode Assumptions'!E9))-(E127*'Active Mode Assumptions'!E18*'Active Mode Assumptions'!E24/(1+'Active Mode Assumptions'!E18))</f>
        <v>2424.1595671303039</v>
      </c>
      <c r="F129" s="4">
        <f ca="1">F162*'Total Distance Tables Sup #1'!F129*(1+'Other Assumptions'!J$55)-(F126*'Active Mode Assumptions'!F9*'Active Mode Assumptions'!F15/(1+'Active Mode Assumptions'!F9))-(F127*'Active Mode Assumptions'!F18*'Active Mode Assumptions'!F24/(1+'Active Mode Assumptions'!F18))</f>
        <v>2487.7343447714597</v>
      </c>
      <c r="G129" s="4">
        <f ca="1">G162*'Total Distance Tables Sup #1'!G129*(1+'Other Assumptions'!K$55)-(G126*'Active Mode Assumptions'!G9*'Active Mode Assumptions'!G15/(1+'Active Mode Assumptions'!G9))-(G127*'Active Mode Assumptions'!G18*'Active Mode Assumptions'!G24/(1+'Active Mode Assumptions'!G18))</f>
        <v>2540.7088232087344</v>
      </c>
      <c r="H129" s="4">
        <f ca="1">H162*'Total Distance Tables Sup #1'!H129*(1+'Other Assumptions'!L$55)-(H126*'Active Mode Assumptions'!H9*'Active Mode Assumptions'!H15/(1+'Active Mode Assumptions'!H9))-(H127*'Active Mode Assumptions'!H18*'Active Mode Assumptions'!H24/(1+'Active Mode Assumptions'!H18))</f>
        <v>2581.9576424881916</v>
      </c>
      <c r="I129" s="1">
        <f ca="1">I162*'Total Distance Tables Sup #1'!I129*(1+'Other Assumptions'!M$55)-(I126*'Active Mode Assumptions'!I9*'Active Mode Assumptions'!I15/(1+'Active Mode Assumptions'!I9))-(I127*'Active Mode Assumptions'!I18*'Active Mode Assumptions'!I24/(1+'Active Mode Assumptions'!I18))</f>
        <v>2652.1866758808105</v>
      </c>
      <c r="J129" s="1">
        <f ca="1">J162*'Total Distance Tables Sup #1'!J129*(1+'Other Assumptions'!N$55)-(J126*'Active Mode Assumptions'!J9*'Active Mode Assumptions'!J15/(1+'Active Mode Assumptions'!J9))-(J127*'Active Mode Assumptions'!J18*'Active Mode Assumptions'!J24/(1+'Active Mode Assumptions'!J18))</f>
        <v>2715.6851698630203</v>
      </c>
      <c r="K129" s="1">
        <f ca="1">K162*'Total Distance Tables Sup #1'!K129*(1+'Other Assumptions'!O$55)-(K126*'Active Mode Assumptions'!K9*'Active Mode Assumptions'!K15/(1+'Active Mode Assumptions'!K9))-(K127*'Active Mode Assumptions'!K18*'Active Mode Assumptions'!K24/(1+'Active Mode Assumptions'!K18))</f>
        <v>2774.7571239264407</v>
      </c>
    </row>
    <row r="130" spans="1:11" x14ac:dyDescent="0.2">
      <c r="A130" t="str">
        <f ca="1">OFFSET(Canterbury_Reference,28,2)</f>
        <v>Taxi/Vehicle Share</v>
      </c>
      <c r="B130" s="4">
        <f ca="1">B163*'Total Distance Tables Sup #1'!B130*(1+'Other Assumptions'!D$55)</f>
        <v>16.530142167000001</v>
      </c>
      <c r="C130" s="4">
        <f ca="1">C163*'Total Distance Tables Sup #1'!C130*(1+'Other Assumptions'!G$55)</f>
        <v>19.628593667867509</v>
      </c>
      <c r="D130" s="4">
        <f ca="1">D163*'Total Distance Tables Sup #1'!D130*(1+'Other Assumptions'!H$55)</f>
        <v>22.293800982316228</v>
      </c>
      <c r="E130" s="4">
        <f ca="1">E163*'Total Distance Tables Sup #1'!E130*(1+'Other Assumptions'!I$55)</f>
        <v>24.661419925976311</v>
      </c>
      <c r="F130" s="4">
        <f ca="1">F163*'Total Distance Tables Sup #1'!F130*(1+'Other Assumptions'!J$55)</f>
        <v>26.859044751538153</v>
      </c>
      <c r="G130" s="4">
        <f ca="1">G163*'Total Distance Tables Sup #1'!G130*(1+'Other Assumptions'!K$55)</f>
        <v>28.748031527292902</v>
      </c>
      <c r="H130" s="4">
        <f ca="1">H163*'Total Distance Tables Sup #1'!H130*(1+'Other Assumptions'!L$55)</f>
        <v>30.616760184520864</v>
      </c>
      <c r="I130" s="1">
        <f ca="1">I163*'Total Distance Tables Sup #1'!I130*(1+'Other Assumptions'!M$55)</f>
        <v>31.326773055333781</v>
      </c>
      <c r="J130" s="1">
        <f ca="1">J163*'Total Distance Tables Sup #1'!J130*(1+'Other Assumptions'!N$55)</f>
        <v>31.951027737874618</v>
      </c>
      <c r="K130" s="1">
        <f ca="1">K163*'Total Distance Tables Sup #1'!K130*(1+'Other Assumptions'!O$55)</f>
        <v>32.517534595580841</v>
      </c>
    </row>
    <row r="131" spans="1:11" x14ac:dyDescent="0.2">
      <c r="A131" t="str">
        <f ca="1">OFFSET(Canterbury_Reference,35,2)</f>
        <v>Motorcyclist</v>
      </c>
      <c r="B131" s="4">
        <f ca="1">B164*'Total Distance Tables Sup #1'!B131*(1+'Other Assumptions'!D$55)</f>
        <v>12.048552727000001</v>
      </c>
      <c r="C131" s="4">
        <f ca="1">C164*'Total Distance Tables Sup #1'!C131*(1+'Other Assumptions'!G$55)</f>
        <v>13.726413029488894</v>
      </c>
      <c r="D131" s="4">
        <f ca="1">D164*'Total Distance Tables Sup #1'!D131*(1+'Other Assumptions'!H$55)</f>
        <v>14.809463764552916</v>
      </c>
      <c r="E131" s="4">
        <f ca="1">E164*'Total Distance Tables Sup #1'!E131*(1+'Other Assumptions'!I$55)</f>
        <v>15.234255452025836</v>
      </c>
      <c r="F131" s="4">
        <f ca="1">F164*'Total Distance Tables Sup #1'!F131*(1+'Other Assumptions'!J$55)</f>
        <v>15.525332425517563</v>
      </c>
      <c r="G131" s="4">
        <f ca="1">G164*'Total Distance Tables Sup #1'!G131*(1+'Other Assumptions'!K$55)</f>
        <v>15.553655290672346</v>
      </c>
      <c r="H131" s="4">
        <f ca="1">H164*'Total Distance Tables Sup #1'!H131*(1+'Other Assumptions'!L$55)</f>
        <v>15.502637559360171</v>
      </c>
      <c r="I131" s="1">
        <f ca="1">I164*'Total Distance Tables Sup #1'!I131*(1+'Other Assumptions'!M$55)</f>
        <v>16.005071334799027</v>
      </c>
      <c r="J131" s="1">
        <f ca="1">J164*'Total Distance Tables Sup #1'!J131*(1+'Other Assumptions'!N$55)</f>
        <v>16.47182439110999</v>
      </c>
      <c r="K131" s="1">
        <f ca="1">K164*'Total Distance Tables Sup #1'!K131*(1+'Other Assumptions'!O$55)</f>
        <v>16.91635653567775</v>
      </c>
    </row>
    <row r="132" spans="1:11" x14ac:dyDescent="0.2">
      <c r="A132" t="str">
        <f ca="1">OFFSET(Canterbury_Reference,42,2)</f>
        <v>Local Train</v>
      </c>
      <c r="B132" s="4">
        <f ca="1">B165*'Total Distance Tables Sup #1'!B132*(1+'Other Assumptions'!D$55)</f>
        <v>0</v>
      </c>
      <c r="C132" s="4">
        <f ca="1">C165*'Total Distance Tables Sup #1'!C132*(1+'Other Assumptions'!G$55)</f>
        <v>0</v>
      </c>
      <c r="D132" s="4">
        <f ca="1">D165*'Total Distance Tables Sup #1'!D132*(1+'Other Assumptions'!H$55)</f>
        <v>0</v>
      </c>
      <c r="E132" s="4">
        <f ca="1">E165*'Total Distance Tables Sup #1'!E132*(1+'Other Assumptions'!I$55)</f>
        <v>0</v>
      </c>
      <c r="F132" s="4">
        <f ca="1">F165*'Total Distance Tables Sup #1'!F132*(1+'Other Assumptions'!J$55)</f>
        <v>0</v>
      </c>
      <c r="G132" s="4">
        <f ca="1">G165*'Total Distance Tables Sup #1'!G132*(1+'Other Assumptions'!K$55)</f>
        <v>0</v>
      </c>
      <c r="H132" s="4">
        <f ca="1">H165*'Total Distance Tables Sup #1'!H132*(1+'Other Assumptions'!L$55)</f>
        <v>0</v>
      </c>
      <c r="I132" s="1">
        <f ca="1">I165*'Total Distance Tables Sup #1'!I132*(1+'Other Assumptions'!M$55)</f>
        <v>0</v>
      </c>
      <c r="J132" s="1">
        <f ca="1">J165*'Total Distance Tables Sup #1'!J132*(1+'Other Assumptions'!N$55)</f>
        <v>0</v>
      </c>
      <c r="K132" s="1">
        <f ca="1">K165*'Total Distance Tables Sup #1'!K132*(1+'Other Assumptions'!O$55)</f>
        <v>0</v>
      </c>
    </row>
    <row r="133" spans="1:11" x14ac:dyDescent="0.2">
      <c r="A133" t="str">
        <f ca="1">OFFSET(Canterbury_Reference,49,2)</f>
        <v>Local Bus</v>
      </c>
      <c r="B133" s="4">
        <f ca="1">'Total Distance Tables Sup #1'!B133*(1+'Other Assumptions'!D$55)</f>
        <v>174.53993166999999</v>
      </c>
      <c r="C133" s="4">
        <f ca="1">'Total Distance Tables Sup #1'!C133*(1+'Other Assumptions'!G$55)</f>
        <v>176.87296327000001</v>
      </c>
      <c r="D133" s="4">
        <f ca="1">'Total Distance Tables Sup #1'!D133*(1+'Other Assumptions'!H$55)</f>
        <v>174.21967068999999</v>
      </c>
      <c r="E133" s="4">
        <f ca="1">'Total Distance Tables Sup #1'!E133*(1+'Other Assumptions'!I$55)</f>
        <v>176.58415210000001</v>
      </c>
      <c r="F133" s="4">
        <f ca="1">'Total Distance Tables Sup #1'!F133*(1+'Other Assumptions'!J$55)</f>
        <v>174.93159184000001</v>
      </c>
      <c r="G133" s="4">
        <f ca="1">'Total Distance Tables Sup #1'!G133*(1+'Other Assumptions'!K$55)</f>
        <v>173.02374889999999</v>
      </c>
      <c r="H133" s="4">
        <f ca="1">'Total Distance Tables Sup #1'!H133*(1+'Other Assumptions'!L$55)</f>
        <v>170.2658198</v>
      </c>
      <c r="I133" s="1">
        <f ca="1">'Total Distance Tables Sup #1'!I133*(1+'Other Assumptions'!M$55)</f>
        <v>170.2658198</v>
      </c>
      <c r="J133" s="1">
        <f ca="1">'Total Distance Tables Sup #1'!J133*(1+'Other Assumptions'!N$55)</f>
        <v>170.2658198</v>
      </c>
      <c r="K133" s="1">
        <f ca="1">'Total Distance Tables Sup #1'!K133*(1+'Other Assumptions'!O$55)</f>
        <v>170.2658198</v>
      </c>
    </row>
    <row r="134" spans="1:11" x14ac:dyDescent="0.2">
      <c r="A134" t="str">
        <f ca="1">OFFSET(Wellington_Reference,56,2)</f>
        <v>Local Ferry</v>
      </c>
      <c r="B134" s="4">
        <f>B167*'Total Distance Tables Sup #1'!B134*(1+'Other Assumptions'!D$55)</f>
        <v>0</v>
      </c>
      <c r="C134" s="4">
        <f ca="1">C167*'Total Distance Tables Sup #1'!C134*(1+'Other Assumptions'!G$55)</f>
        <v>0</v>
      </c>
      <c r="D134" s="4">
        <f ca="1">D167*'Total Distance Tables Sup #1'!D134*(1+'Other Assumptions'!H$55)</f>
        <v>0</v>
      </c>
      <c r="E134" s="4">
        <f ca="1">E167*'Total Distance Tables Sup #1'!E134*(1+'Other Assumptions'!I$55)</f>
        <v>0</v>
      </c>
      <c r="F134" s="4">
        <f ca="1">F167*'Total Distance Tables Sup #1'!F134*(1+'Other Assumptions'!J$55)</f>
        <v>0</v>
      </c>
      <c r="G134" s="4">
        <f ca="1">G167*'Total Distance Tables Sup #1'!G134*(1+'Other Assumptions'!K$55)</f>
        <v>0</v>
      </c>
      <c r="H134" s="4">
        <f ca="1">H167*'Total Distance Tables Sup #1'!H134*(1+'Other Assumptions'!L$55)</f>
        <v>0</v>
      </c>
      <c r="I134" s="1">
        <f ca="1">I167*'Total Distance Tables Sup #1'!I134*(1+'Other Assumptions'!M$55)</f>
        <v>0</v>
      </c>
      <c r="J134" s="1">
        <f ca="1">J167*'Total Distance Tables Sup #1'!J134*(1+'Other Assumptions'!N$55)</f>
        <v>0</v>
      </c>
      <c r="K134" s="1">
        <f ca="1">K167*'Total Distance Tables Sup #1'!K134*(1+'Other Assumptions'!O$55)</f>
        <v>0</v>
      </c>
    </row>
    <row r="135" spans="1:11" x14ac:dyDescent="0.2">
      <c r="A135" t="str">
        <f ca="1">OFFSET(Canterbury_Reference,56,2)</f>
        <v>Other Household Travel</v>
      </c>
      <c r="B135" s="4">
        <f ca="1">B168*'Total Distance Tables Sup #1'!B135*(1+'Other Assumptions'!D$55)</f>
        <v>0</v>
      </c>
      <c r="C135" s="4">
        <f ca="1">C168*'Total Distance Tables Sup #1'!C135*(1+'Other Assumptions'!G$55)</f>
        <v>0</v>
      </c>
      <c r="D135" s="4">
        <f ca="1">D168*'Total Distance Tables Sup #1'!D135*(1+'Other Assumptions'!H$55)</f>
        <v>0</v>
      </c>
      <c r="E135" s="4">
        <f ca="1">E168*'Total Distance Tables Sup #1'!E135*(1+'Other Assumptions'!I$55)</f>
        <v>0</v>
      </c>
      <c r="F135" s="4">
        <f ca="1">F168*'Total Distance Tables Sup #1'!F135*(1+'Other Assumptions'!J$55)</f>
        <v>0</v>
      </c>
      <c r="G135" s="4">
        <f ca="1">G168*'Total Distance Tables Sup #1'!G135*(1+'Other Assumptions'!K$55)</f>
        <v>0</v>
      </c>
      <c r="H135" s="4">
        <f ca="1">H168*'Total Distance Tables Sup #1'!H135*(1+'Other Assumptions'!L$55)</f>
        <v>0</v>
      </c>
      <c r="I135" s="1">
        <f ca="1">I168*'Total Distance Tables Sup #1'!I135*(1+'Other Assumptions'!M$55)</f>
        <v>0</v>
      </c>
      <c r="J135" s="1">
        <f ca="1">J168*'Total Distance Tables Sup #1'!J135*(1+'Other Assumptions'!N$55)</f>
        <v>0</v>
      </c>
      <c r="K135" s="1">
        <f ca="1">K168*'Total Distance Tables Sup #1'!K135*(1+'Other Assumptions'!O$55)</f>
        <v>0</v>
      </c>
    </row>
    <row r="136" spans="1:11" x14ac:dyDescent="0.2">
      <c r="A136" t="str">
        <f ca="1">OFFSET(Otago_Reference,0,0)</f>
        <v>14 OTAGO</v>
      </c>
      <c r="I136" s="1"/>
      <c r="J136" s="1"/>
      <c r="K136" s="1"/>
    </row>
    <row r="137" spans="1:11" x14ac:dyDescent="0.2">
      <c r="A137" t="str">
        <f ca="1">OFFSET(Otago_Reference,0,2)</f>
        <v>Pedestrian</v>
      </c>
      <c r="B137" s="4">
        <f ca="1">B159*'Total Distance Tables Sup #1'!B137*(1+'Other Assumptions'!D$56)*(1+'Active Mode Assumptions'!B9)</f>
        <v>45.829100335</v>
      </c>
      <c r="C137" s="4">
        <f ca="1">C159*'Total Distance Tables Sup #1'!C137*(1+'Other Assumptions'!G$56)*(1+'Active Mode Assumptions'!C9)</f>
        <v>49.200948850688739</v>
      </c>
      <c r="D137" s="4">
        <f ca="1">D159*'Total Distance Tables Sup #1'!D137*(1+'Other Assumptions'!H$56)*(1+'Active Mode Assumptions'!D9)</f>
        <v>50.914230076065692</v>
      </c>
      <c r="E137" s="4">
        <f ca="1">E159*'Total Distance Tables Sup #1'!E137*(1+'Other Assumptions'!I$56)*(1+'Active Mode Assumptions'!E9)</f>
        <v>51.801875967196516</v>
      </c>
      <c r="F137" s="4">
        <f ca="1">F159*'Total Distance Tables Sup #1'!F137*(1+'Other Assumptions'!J$56)*(1+'Active Mode Assumptions'!F9)</f>
        <v>52.217952529123849</v>
      </c>
      <c r="G137" s="4">
        <f ca="1">G159*'Total Distance Tables Sup #1'!G137*(1+'Other Assumptions'!K$56)*(1+'Active Mode Assumptions'!G9)</f>
        <v>52.572653587394086</v>
      </c>
      <c r="H137" s="4">
        <f ca="1">H159*'Total Distance Tables Sup #1'!H137*(1+'Other Assumptions'!L$56)*(1+'Active Mode Assumptions'!H9)</f>
        <v>52.711331875643531</v>
      </c>
      <c r="I137" s="1">
        <f ca="1">I159*'Total Distance Tables Sup #1'!I137*(1+'Other Assumptions'!M$56)*(1+'Active Mode Assumptions'!I9)</f>
        <v>53.174076522993985</v>
      </c>
      <c r="J137" s="1">
        <f ca="1">J159*'Total Distance Tables Sup #1'!J137*(1+'Other Assumptions'!N$56)*(1+'Active Mode Assumptions'!J9)</f>
        <v>53.470890092033912</v>
      </c>
      <c r="K137" s="1">
        <f ca="1">K159*'Total Distance Tables Sup #1'!K137*(1+'Other Assumptions'!O$56)*(1+'Active Mode Assumptions'!K9)</f>
        <v>53.654563177809578</v>
      </c>
    </row>
    <row r="138" spans="1:11" x14ac:dyDescent="0.2">
      <c r="A138" t="str">
        <f ca="1">OFFSET(Otago_Reference,7,2)</f>
        <v>Cyclist</v>
      </c>
      <c r="B138" s="4">
        <f ca="1">B160*'Total Distance Tables Sup #1'!B138*(1+'Other Assumptions'!D$56)*(1+'Active Mode Assumptions'!B18)</f>
        <v>16.325352069000001</v>
      </c>
      <c r="C138" s="4">
        <f ca="1">C160*'Total Distance Tables Sup #1'!C138*(1+'Other Assumptions'!G$56)*(1+'Active Mode Assumptions'!C18)</f>
        <v>18.155860714249538</v>
      </c>
      <c r="D138" s="4">
        <f ca="1">D160*'Total Distance Tables Sup #1'!D138*(1+'Other Assumptions'!H$56)*(1+'Active Mode Assumptions'!D18)</f>
        <v>19.077243156499492</v>
      </c>
      <c r="E138" s="4">
        <f ca="1">E160*'Total Distance Tables Sup #1'!E138*(1+'Other Assumptions'!I$56)*(1+'Active Mode Assumptions'!E18)</f>
        <v>19.40791298157994</v>
      </c>
      <c r="F138" s="4">
        <f ca="1">F160*'Total Distance Tables Sup #1'!F138*(1+'Other Assumptions'!J$56)*(1+'Active Mode Assumptions'!F18)</f>
        <v>19.947667677323121</v>
      </c>
      <c r="G138" s="4">
        <f ca="1">G160*'Total Distance Tables Sup #1'!G138*(1+'Other Assumptions'!K$56)*(1+'Active Mode Assumptions'!G18)</f>
        <v>20.762287971307202</v>
      </c>
      <c r="H138" s="4">
        <f ca="1">H160*'Total Distance Tables Sup #1'!H138*(1+'Other Assumptions'!L$56)*(1+'Active Mode Assumptions'!H18)</f>
        <v>21.548922068725322</v>
      </c>
      <c r="I138" s="1">
        <f ca="1">I160*'Total Distance Tables Sup #1'!I138*(1+'Other Assumptions'!M$56)*(1+'Active Mode Assumptions'!I18)</f>
        <v>21.840226876540235</v>
      </c>
      <c r="J138" s="1">
        <f ca="1">J160*'Total Distance Tables Sup #1'!J138*(1+'Other Assumptions'!N$56)*(1+'Active Mode Assumptions'!J18)</f>
        <v>22.066324644162258</v>
      </c>
      <c r="K138" s="1">
        <f ca="1">K160*'Total Distance Tables Sup #1'!K138*(1+'Other Assumptions'!O$56)*(1+'Active Mode Assumptions'!K18)</f>
        <v>22.24815053310763</v>
      </c>
    </row>
    <row r="139" spans="1:11" x14ac:dyDescent="0.2">
      <c r="A139" t="str">
        <f ca="1">OFFSET(Otago_Reference,14,2)</f>
        <v>Light Vehicle Driver</v>
      </c>
      <c r="B139" s="4">
        <f ca="1">B161*'Total Distance Tables Sup #1'!B139*(1+'Other Assumptions'!D$56)-(B137*'Active Mode Assumptions'!B9*'Active Mode Assumptions'!B14/(1+'Active Mode Assumptions'!B9))-(B138*'Active Mode Assumptions'!B18*'Active Mode Assumptions'!B23/(1+'Active Mode Assumptions'!B18))</f>
        <v>1192.1699989000001</v>
      </c>
      <c r="C139" s="4">
        <f ca="1">C161*'Total Distance Tables Sup #1'!C139*(1+'Other Assumptions'!G$56)-(C137*'Active Mode Assumptions'!C9*'Active Mode Assumptions'!C14/(1+'Active Mode Assumptions'!C9))-(C138*'Active Mode Assumptions'!C18*'Active Mode Assumptions'!C23/(1+'Active Mode Assumptions'!C18))</f>
        <v>1326.9158294201511</v>
      </c>
      <c r="D139" s="4">
        <f ca="1">D161*'Total Distance Tables Sup #1'!D139*(1+'Other Assumptions'!H$56)-(D137*'Active Mode Assumptions'!D9*'Active Mode Assumptions'!D14/(1+'Active Mode Assumptions'!D9))-(D138*'Active Mode Assumptions'!D18*'Active Mode Assumptions'!D23/(1+'Active Mode Assumptions'!D18))</f>
        <v>1405.9517622448946</v>
      </c>
      <c r="E139" s="4">
        <f ca="1">E161*'Total Distance Tables Sup #1'!E139*(1+'Other Assumptions'!I$56)-(E137*'Active Mode Assumptions'!E9*'Active Mode Assumptions'!E14/(1+'Active Mode Assumptions'!E9))-(E138*'Active Mode Assumptions'!E18*'Active Mode Assumptions'!E23/(1+'Active Mode Assumptions'!E18))</f>
        <v>1448.3156980949309</v>
      </c>
      <c r="F139" s="4">
        <f ca="1">F161*'Total Distance Tables Sup #1'!F139*(1+'Other Assumptions'!J$56)-(F137*'Active Mode Assumptions'!F9*'Active Mode Assumptions'!F14/(1+'Active Mode Assumptions'!F9))-(F138*'Active Mode Assumptions'!F18*'Active Mode Assumptions'!F23/(1+'Active Mode Assumptions'!F18))</f>
        <v>1485.9375092421301</v>
      </c>
      <c r="G139" s="4">
        <f ca="1">G161*'Total Distance Tables Sup #1'!G139*(1+'Other Assumptions'!K$56)-(G137*'Active Mode Assumptions'!G9*'Active Mode Assumptions'!G14/(1+'Active Mode Assumptions'!G9))-(G138*'Active Mode Assumptions'!G18*'Active Mode Assumptions'!G23/(1+'Active Mode Assumptions'!G18))</f>
        <v>1511.2503791820425</v>
      </c>
      <c r="H139" s="4">
        <f ca="1">H161*'Total Distance Tables Sup #1'!H139*(1+'Other Assumptions'!L$56)-(H137*'Active Mode Assumptions'!H9*'Active Mode Assumptions'!H14/(1+'Active Mode Assumptions'!H9))-(H138*'Active Mode Assumptions'!H18*'Active Mode Assumptions'!H23/(1+'Active Mode Assumptions'!H18))</f>
        <v>1531.2607247419539</v>
      </c>
      <c r="I139" s="1">
        <f ca="1">I161*'Total Distance Tables Sup #1'!I139*(1+'Other Assumptions'!M$56)-(I137*'Active Mode Assumptions'!I9*'Active Mode Assumptions'!I14/(1+'Active Mode Assumptions'!I9))-(I138*'Active Mode Assumptions'!I18*'Active Mode Assumptions'!I23/(1+'Active Mode Assumptions'!I18))</f>
        <v>1547.7014961360048</v>
      </c>
      <c r="J139" s="1">
        <f ca="1">J161*'Total Distance Tables Sup #1'!J139*(1+'Other Assumptions'!N$56)-(J137*'Active Mode Assumptions'!J9*'Active Mode Assumptions'!J14/(1+'Active Mode Assumptions'!J9))-(J138*'Active Mode Assumptions'!J18*'Active Mode Assumptions'!J23/(1+'Active Mode Assumptions'!J18))</f>
        <v>1559.3516003837792</v>
      </c>
      <c r="K139" s="1">
        <f ca="1">K161*'Total Distance Tables Sup #1'!K139*(1+'Other Assumptions'!O$56)-(K137*'Active Mode Assumptions'!K9*'Active Mode Assumptions'!K14/(1+'Active Mode Assumptions'!K9))-(K138*'Active Mode Assumptions'!K18*'Active Mode Assumptions'!K23/(1+'Active Mode Assumptions'!K18))</f>
        <v>1567.724740228804</v>
      </c>
    </row>
    <row r="140" spans="1:11" x14ac:dyDescent="0.2">
      <c r="A140" t="str">
        <f ca="1">OFFSET(Otago_Reference,21,2)</f>
        <v>Light Vehicle Passenger</v>
      </c>
      <c r="B140" s="4">
        <f ca="1">B162*'Total Distance Tables Sup #1'!B140*(1+'Other Assumptions'!D$56)-(B137*'Active Mode Assumptions'!B9*'Active Mode Assumptions'!B15/(1+'Active Mode Assumptions'!B9))-(B138*'Active Mode Assumptions'!B18*'Active Mode Assumptions'!B24/(1+'Active Mode Assumptions'!B18))</f>
        <v>849.31688999999994</v>
      </c>
      <c r="C140" s="4">
        <f ca="1">C162*'Total Distance Tables Sup #1'!C140*(1+'Other Assumptions'!G$56)-(C137*'Active Mode Assumptions'!C9*'Active Mode Assumptions'!C15/(1+'Active Mode Assumptions'!C9))-(C138*'Active Mode Assumptions'!C18*'Active Mode Assumptions'!C24/(1+'Active Mode Assumptions'!C18))</f>
        <v>907.22390425171136</v>
      </c>
      <c r="D140" s="4">
        <f ca="1">D162*'Total Distance Tables Sup #1'!D140*(1+'Other Assumptions'!H$56)-(D137*'Active Mode Assumptions'!D9*'Active Mode Assumptions'!D15/(1+'Active Mode Assumptions'!D9))-(D138*'Active Mode Assumptions'!D18*'Active Mode Assumptions'!D24/(1+'Active Mode Assumptions'!D18))</f>
        <v>939.02668788620736</v>
      </c>
      <c r="E140" s="4">
        <f ca="1">E162*'Total Distance Tables Sup #1'!E140*(1+'Other Assumptions'!I$56)-(E137*'Active Mode Assumptions'!E9*'Active Mode Assumptions'!E15/(1+'Active Mode Assumptions'!E9))-(E138*'Active Mode Assumptions'!E18*'Active Mode Assumptions'!E24/(1+'Active Mode Assumptions'!E18))</f>
        <v>954.03646584325315</v>
      </c>
      <c r="F140" s="4">
        <f ca="1">F162*'Total Distance Tables Sup #1'!F140*(1+'Other Assumptions'!J$56)-(F137*'Active Mode Assumptions'!F9*'Active Mode Assumptions'!F15/(1+'Active Mode Assumptions'!F9))-(F138*'Active Mode Assumptions'!F18*'Active Mode Assumptions'!F24/(1+'Active Mode Assumptions'!F18))</f>
        <v>963.61860546091327</v>
      </c>
      <c r="G140" s="4">
        <f ca="1">G162*'Total Distance Tables Sup #1'!G140*(1+'Other Assumptions'!K$56)-(G137*'Active Mode Assumptions'!G9*'Active Mode Assumptions'!G15/(1+'Active Mode Assumptions'!G9))-(G138*'Active Mode Assumptions'!G18*'Active Mode Assumptions'!G24/(1+'Active Mode Assumptions'!G18))</f>
        <v>969.21230494047495</v>
      </c>
      <c r="H140" s="4">
        <f ca="1">H162*'Total Distance Tables Sup #1'!H140*(1+'Other Assumptions'!L$56)-(H137*'Active Mode Assumptions'!H9*'Active Mode Assumptions'!H15/(1+'Active Mode Assumptions'!H9))-(H138*'Active Mode Assumptions'!H18*'Active Mode Assumptions'!H24/(1+'Active Mode Assumptions'!H18))</f>
        <v>970.22989951347142</v>
      </c>
      <c r="I140" s="1">
        <f ca="1">I162*'Total Distance Tables Sup #1'!I140*(1+'Other Assumptions'!M$56)-(I137*'Active Mode Assumptions'!I9*'Active Mode Assumptions'!I15/(1+'Active Mode Assumptions'!I9))-(I138*'Active Mode Assumptions'!I18*'Active Mode Assumptions'!I24/(1+'Active Mode Assumptions'!I18))</f>
        <v>981.72793072438253</v>
      </c>
      <c r="J140" s="1">
        <f ca="1">J162*'Total Distance Tables Sup #1'!J140*(1+'Other Assumptions'!N$56)-(J137*'Active Mode Assumptions'!J9*'Active Mode Assumptions'!J15/(1+'Active Mode Assumptions'!J9))-(J138*'Active Mode Assumptions'!J18*'Active Mode Assumptions'!J24/(1+'Active Mode Assumptions'!J18))</f>
        <v>990.21156937761543</v>
      </c>
      <c r="K140" s="1">
        <f ca="1">K162*'Total Distance Tables Sup #1'!K140*(1+'Other Assumptions'!O$56)-(K137*'Active Mode Assumptions'!K9*'Active Mode Assumptions'!K15/(1+'Active Mode Assumptions'!K9))-(K138*'Active Mode Assumptions'!K18*'Active Mode Assumptions'!K24/(1+'Active Mode Assumptions'!K18))</f>
        <v>996.63255206356746</v>
      </c>
    </row>
    <row r="141" spans="1:11" x14ac:dyDescent="0.2">
      <c r="A141" t="str">
        <f ca="1">OFFSET(Otago_Reference,28,2)</f>
        <v>Taxi/Vehicle Share</v>
      </c>
      <c r="B141" s="4">
        <f ca="1">B163*'Total Distance Tables Sup #1'!B141*(1+'Other Assumptions'!D$56)</f>
        <v>7.2892681777000004</v>
      </c>
      <c r="C141" s="4">
        <f ca="1">C163*'Total Distance Tables Sup #1'!C141*(1+'Other Assumptions'!G$56)</f>
        <v>8.4546137548543605</v>
      </c>
      <c r="D141" s="4">
        <f ca="1">D163*'Total Distance Tables Sup #1'!D141*(1+'Other Assumptions'!H$56)</f>
        <v>9.4168433445800002</v>
      </c>
      <c r="E141" s="4">
        <f ca="1">E163*'Total Distance Tables Sup #1'!E141*(1+'Other Assumptions'!I$56)</f>
        <v>10.248228108076809</v>
      </c>
      <c r="F141" s="4">
        <f ca="1">F163*'Total Distance Tables Sup #1'!F141*(1+'Other Assumptions'!J$56)</f>
        <v>10.985470728751924</v>
      </c>
      <c r="G141" s="4">
        <f ca="1">G163*'Total Distance Tables Sup #1'!G141*(1+'Other Assumptions'!K$56)</f>
        <v>11.579746965216673</v>
      </c>
      <c r="H141" s="4">
        <f ca="1">H163*'Total Distance Tables Sup #1'!H141*(1+'Other Assumptions'!L$56)</f>
        <v>12.148193668091917</v>
      </c>
      <c r="I141" s="1">
        <f ca="1">I163*'Total Distance Tables Sup #1'!I141*(1+'Other Assumptions'!M$56)</f>
        <v>12.244178511147183</v>
      </c>
      <c r="J141" s="1">
        <f ca="1">J163*'Total Distance Tables Sup #1'!J141*(1+'Other Assumptions'!N$56)</f>
        <v>12.301564311621036</v>
      </c>
      <c r="K141" s="1">
        <f ca="1">K163*'Total Distance Tables Sup #1'!K141*(1+'Other Assumptions'!O$56)</f>
        <v>12.332599768242853</v>
      </c>
    </row>
    <row r="142" spans="1:11" x14ac:dyDescent="0.2">
      <c r="A142" t="str">
        <f ca="1">OFFSET(Otago_Reference,35,2)</f>
        <v>Motorcyclist</v>
      </c>
      <c r="B142" s="4">
        <f ca="1">B164*'Total Distance Tables Sup #1'!B142*(1+'Other Assumptions'!D$56)</f>
        <v>18.503357486999999</v>
      </c>
      <c r="C142" s="4">
        <f ca="1">C164*'Total Distance Tables Sup #1'!C142*(1+'Other Assumptions'!G$56)</f>
        <v>20.590645753018464</v>
      </c>
      <c r="D142" s="4">
        <f ca="1">D164*'Total Distance Tables Sup #1'!D142*(1+'Other Assumptions'!H$56)</f>
        <v>21.785567446956744</v>
      </c>
      <c r="E142" s="4">
        <f ca="1">E164*'Total Distance Tables Sup #1'!E142*(1+'Other Assumptions'!I$56)</f>
        <v>22.047545932302061</v>
      </c>
      <c r="F142" s="4">
        <f ca="1">F164*'Total Distance Tables Sup #1'!F142*(1+'Other Assumptions'!J$56)</f>
        <v>22.114510639393984</v>
      </c>
      <c r="G142" s="4">
        <f ca="1">G164*'Total Distance Tables Sup #1'!G142*(1+'Other Assumptions'!K$56)</f>
        <v>21.818844333276861</v>
      </c>
      <c r="H142" s="4">
        <f ca="1">H164*'Total Distance Tables Sup #1'!H142*(1+'Other Assumptions'!L$56)</f>
        <v>21.422314220863498</v>
      </c>
      <c r="I142" s="1">
        <f ca="1">I164*'Total Distance Tables Sup #1'!I142*(1+'Other Assumptions'!M$56)</f>
        <v>21.786121587151403</v>
      </c>
      <c r="J142" s="1">
        <f ca="1">J164*'Total Distance Tables Sup #1'!J142*(1+'Other Assumptions'!N$56)</f>
        <v>22.086430339713825</v>
      </c>
      <c r="K142" s="1">
        <f ca="1">K164*'Total Distance Tables Sup #1'!K142*(1+'Other Assumptions'!O$56)</f>
        <v>22.343549873447056</v>
      </c>
    </row>
    <row r="143" spans="1:11" x14ac:dyDescent="0.2">
      <c r="A143" t="str">
        <f ca="1">OFFSET(Canterbury_Reference,42,2)</f>
        <v>Local Train</v>
      </c>
      <c r="B143" s="4">
        <f ca="1">B165*'Total Distance Tables Sup #1'!B143*(1+'Other Assumptions'!D$56)</f>
        <v>0</v>
      </c>
      <c r="C143" s="4">
        <f ca="1">C165*'Total Distance Tables Sup #1'!C143*(1+'Other Assumptions'!G$56)</f>
        <v>0</v>
      </c>
      <c r="D143" s="4">
        <f ca="1">D165*'Total Distance Tables Sup #1'!D143*(1+'Other Assumptions'!H$56)</f>
        <v>0</v>
      </c>
      <c r="E143" s="4">
        <f ca="1">E165*'Total Distance Tables Sup #1'!E143*(1+'Other Assumptions'!I$56)</f>
        <v>0</v>
      </c>
      <c r="F143" s="4">
        <f ca="1">F165*'Total Distance Tables Sup #1'!F143*(1+'Other Assumptions'!J$56)</f>
        <v>0</v>
      </c>
      <c r="G143" s="4">
        <f ca="1">G165*'Total Distance Tables Sup #1'!G143*(1+'Other Assumptions'!K$56)</f>
        <v>0</v>
      </c>
      <c r="H143" s="4">
        <f ca="1">H165*'Total Distance Tables Sup #1'!H143*(1+'Other Assumptions'!L$56)</f>
        <v>0</v>
      </c>
      <c r="I143" s="1">
        <f ca="1">I165*'Total Distance Tables Sup #1'!I143*(1+'Other Assumptions'!M$56)</f>
        <v>0</v>
      </c>
      <c r="J143" s="1">
        <f ca="1">J165*'Total Distance Tables Sup #1'!J143*(1+'Other Assumptions'!N$56)</f>
        <v>0</v>
      </c>
      <c r="K143" s="1">
        <f ca="1">K165*'Total Distance Tables Sup #1'!K143*(1+'Other Assumptions'!O$56)</f>
        <v>0</v>
      </c>
    </row>
    <row r="144" spans="1:11" x14ac:dyDescent="0.2">
      <c r="A144" t="str">
        <f ca="1">OFFSET(Otago_Reference,42,2)</f>
        <v>Local Bus</v>
      </c>
      <c r="B144" s="4">
        <f ca="1">B166*'Total Distance Tables Sup #1'!B144*(1+'Other Assumptions'!D$56)</f>
        <v>27.157477096000001</v>
      </c>
      <c r="C144" s="4">
        <f ca="1">C166*'Total Distance Tables Sup #1'!C144*(1+'Other Assumptions'!G$56)</f>
        <v>26.878581943582802</v>
      </c>
      <c r="D144" s="4">
        <f ca="1">D166*'Total Distance Tables Sup #1'!D144*(1+'Other Assumptions'!H$56)</f>
        <v>26.538288804301136</v>
      </c>
      <c r="E144" s="4">
        <f ca="1">E166*'Total Distance Tables Sup #1'!E144*(1+'Other Assumptions'!I$56)</f>
        <v>26.130382158901256</v>
      </c>
      <c r="F144" s="4">
        <f ca="1">F166*'Total Distance Tables Sup #1'!F144*(1+'Other Assumptions'!J$56)</f>
        <v>25.356784476800208</v>
      </c>
      <c r="G144" s="4">
        <f ca="1">G166*'Total Distance Tables Sup #1'!G144*(1+'Other Assumptions'!K$56)</f>
        <v>24.908587745977144</v>
      </c>
      <c r="H144" s="4">
        <f ca="1">H166*'Total Distance Tables Sup #1'!H144*(1+'Other Assumptions'!L$56)</f>
        <v>24.359585264764888</v>
      </c>
      <c r="I144" s="1">
        <f ca="1">I166*'Total Distance Tables Sup #1'!I144*(1+'Other Assumptions'!M$56)</f>
        <v>24.650861682691598</v>
      </c>
      <c r="J144" s="1">
        <f ca="1">J166*'Total Distance Tables Sup #1'!J144*(1+'Other Assumptions'!N$56)</f>
        <v>24.86618008790423</v>
      </c>
      <c r="K144" s="1">
        <f ca="1">K166*'Total Distance Tables Sup #1'!K144*(1+'Other Assumptions'!O$56)</f>
        <v>25.029430072564445</v>
      </c>
    </row>
    <row r="145" spans="1:11" x14ac:dyDescent="0.2">
      <c r="A145" t="str">
        <f ca="1">OFFSET(Wellington_Reference,56,2)</f>
        <v>Local Ferry</v>
      </c>
      <c r="B145" s="4">
        <f>B167*'Total Distance Tables Sup #1'!B145*(1+'Other Assumptions'!D$56)</f>
        <v>0</v>
      </c>
      <c r="C145" s="4">
        <f ca="1">C167*'Total Distance Tables Sup #1'!C145*(1+'Other Assumptions'!G$56)</f>
        <v>0</v>
      </c>
      <c r="D145" s="4">
        <f ca="1">D167*'Total Distance Tables Sup #1'!D145*(1+'Other Assumptions'!H$56)</f>
        <v>0</v>
      </c>
      <c r="E145" s="4">
        <f ca="1">E167*'Total Distance Tables Sup #1'!E145*(1+'Other Assumptions'!I$56)</f>
        <v>0</v>
      </c>
      <c r="F145" s="4">
        <f ca="1">F167*'Total Distance Tables Sup #1'!F145*(1+'Other Assumptions'!J$56)</f>
        <v>0</v>
      </c>
      <c r="G145" s="4">
        <f ca="1">G167*'Total Distance Tables Sup #1'!G145*(1+'Other Assumptions'!K$56)</f>
        <v>0</v>
      </c>
      <c r="H145" s="4">
        <f ca="1">H167*'Total Distance Tables Sup #1'!H145*(1+'Other Assumptions'!L$56)</f>
        <v>0</v>
      </c>
      <c r="I145" s="1">
        <f ca="1">I167*'Total Distance Tables Sup #1'!I145*(1+'Other Assumptions'!M$56)</f>
        <v>0</v>
      </c>
      <c r="J145" s="1">
        <f ca="1">J167*'Total Distance Tables Sup #1'!J145*(1+'Other Assumptions'!N$56)</f>
        <v>0</v>
      </c>
      <c r="K145" s="1">
        <f ca="1">K167*'Total Distance Tables Sup #1'!K145*(1+'Other Assumptions'!O$56)</f>
        <v>0</v>
      </c>
    </row>
    <row r="146" spans="1:11" x14ac:dyDescent="0.2">
      <c r="A146" t="str">
        <f ca="1">OFFSET(Otago_Reference,49,2)</f>
        <v>Other Household Travel</v>
      </c>
      <c r="B146" s="4">
        <f ca="1">B168*'Total Distance Tables Sup #1'!B146*(1+'Other Assumptions'!D$56)</f>
        <v>0</v>
      </c>
      <c r="C146" s="4">
        <f ca="1">C168*'Total Distance Tables Sup #1'!C146*(1+'Other Assumptions'!G$56)</f>
        <v>0</v>
      </c>
      <c r="D146" s="4">
        <f ca="1">D168*'Total Distance Tables Sup #1'!D146*(1+'Other Assumptions'!H$56)</f>
        <v>0</v>
      </c>
      <c r="E146" s="4">
        <f ca="1">E168*'Total Distance Tables Sup #1'!E146*(1+'Other Assumptions'!I$56)</f>
        <v>0</v>
      </c>
      <c r="F146" s="4">
        <f ca="1">F168*'Total Distance Tables Sup #1'!F146*(1+'Other Assumptions'!J$56)</f>
        <v>0</v>
      </c>
      <c r="G146" s="4">
        <f ca="1">G168*'Total Distance Tables Sup #1'!G146*(1+'Other Assumptions'!K$56)</f>
        <v>0</v>
      </c>
      <c r="H146" s="4">
        <f ca="1">H168*'Total Distance Tables Sup #1'!H146*(1+'Other Assumptions'!L$56)</f>
        <v>0</v>
      </c>
      <c r="I146" s="1">
        <f ca="1">I168*'Total Distance Tables Sup #1'!I146*(1+'Other Assumptions'!M$56)</f>
        <v>0</v>
      </c>
      <c r="J146" s="1">
        <f ca="1">J168*'Total Distance Tables Sup #1'!J146*(1+'Other Assumptions'!N$56)</f>
        <v>0</v>
      </c>
      <c r="K146" s="1">
        <f ca="1">K168*'Total Distance Tables Sup #1'!K146*(1+'Other Assumptions'!O$56)</f>
        <v>0</v>
      </c>
    </row>
    <row r="147" spans="1:11" x14ac:dyDescent="0.2">
      <c r="A147" t="str">
        <f ca="1">OFFSET(Southland_Reference,0,0)</f>
        <v>15 SOUTHLAND</v>
      </c>
      <c r="I147" s="1"/>
      <c r="J147" s="1"/>
      <c r="K147" s="1"/>
    </row>
    <row r="148" spans="1:11" x14ac:dyDescent="0.2">
      <c r="A148" t="str">
        <f ca="1">OFFSET(Southland_Reference,0,2)</f>
        <v>Pedestrian</v>
      </c>
      <c r="B148" s="4">
        <f ca="1">B159*'Total Distance Tables Sup #1'!B148*(1+'Other Assumptions'!D$57)*(1+'Active Mode Assumptions'!B9)</f>
        <v>8.8466785109000003</v>
      </c>
      <c r="C148" s="4">
        <f ca="1">C159*'Total Distance Tables Sup #1'!C148*(1+'Other Assumptions'!G$57)*(1+'Active Mode Assumptions'!C9)</f>
        <v>9.0752665102100405</v>
      </c>
      <c r="D148" s="4">
        <f ca="1">D159*'Total Distance Tables Sup #1'!D148*(1+'Other Assumptions'!H$57)*(1+'Active Mode Assumptions'!D9)</f>
        <v>9.0669126140857319</v>
      </c>
      <c r="E148" s="4">
        <f ca="1">E159*'Total Distance Tables Sup #1'!E148*(1+'Other Assumptions'!I$57)*(1+'Active Mode Assumptions'!E9)</f>
        <v>9.015127366944597</v>
      </c>
      <c r="F148" s="4">
        <f ca="1">F159*'Total Distance Tables Sup #1'!F148*(1+'Other Assumptions'!J$57)*(1+'Active Mode Assumptions'!F9)</f>
        <v>8.8825830157754844</v>
      </c>
      <c r="G148" s="4">
        <f ca="1">G159*'Total Distance Tables Sup #1'!G148*(1+'Other Assumptions'!K$57)*(1+'Active Mode Assumptions'!G9)</f>
        <v>8.7347973027414607</v>
      </c>
      <c r="H148" s="4">
        <f ca="1">H159*'Total Distance Tables Sup #1'!H148*(1+'Other Assumptions'!L$57)*(1+'Active Mode Assumptions'!H9)</f>
        <v>8.5551529980132663</v>
      </c>
      <c r="I148" s="1">
        <f ca="1">I159*'Total Distance Tables Sup #1'!I148*(1+'Other Assumptions'!M$57)*(1+'Active Mode Assumptions'!I9)</f>
        <v>8.4305247012136775</v>
      </c>
      <c r="J148" s="1">
        <f ca="1">J159*'Total Distance Tables Sup #1'!J148*(1+'Other Assumptions'!N$57)*(1+'Active Mode Assumptions'!J9)</f>
        <v>8.2813839550152402</v>
      </c>
      <c r="K148" s="1">
        <f ca="1">K159*'Total Distance Tables Sup #1'!K148*(1+'Other Assumptions'!O$57)*(1+'Active Mode Assumptions'!K9)</f>
        <v>8.1175136677483479</v>
      </c>
    </row>
    <row r="149" spans="1:11" x14ac:dyDescent="0.2">
      <c r="A149" t="str">
        <f ca="1">OFFSET(Southland_Reference,7,2)</f>
        <v>Cyclist</v>
      </c>
      <c r="B149" s="4">
        <f ca="1">B160*'Total Distance Tables Sup #1'!B149*(1+'Other Assumptions'!D$57)*(1+'Active Mode Assumptions'!B18)</f>
        <v>7.5402861329000004</v>
      </c>
      <c r="C149" s="4">
        <f ca="1">C160*'Total Distance Tables Sup #1'!C149*(1+'Other Assumptions'!G$57)*(1+'Active Mode Assumptions'!C18)</f>
        <v>8.0128886686088627</v>
      </c>
      <c r="D149" s="4">
        <f ca="1">D160*'Total Distance Tables Sup #1'!D149*(1+'Other Assumptions'!H$57)*(1+'Active Mode Assumptions'!D18)</f>
        <v>8.1287210726334074</v>
      </c>
      <c r="E149" s="4">
        <f ca="1">E160*'Total Distance Tables Sup #1'!E149*(1+'Other Assumptions'!I$57)*(1+'Active Mode Assumptions'!E18)</f>
        <v>8.081492467587104</v>
      </c>
      <c r="F149" s="4">
        <f ca="1">F160*'Total Distance Tables Sup #1'!F149*(1+'Other Assumptions'!J$57)*(1+'Active Mode Assumptions'!F18)</f>
        <v>8.1189135549570519</v>
      </c>
      <c r="G149" s="4">
        <f ca="1">G160*'Total Distance Tables Sup #1'!G149*(1+'Other Assumptions'!K$57)*(1+'Active Mode Assumptions'!G18)</f>
        <v>8.2538106254946868</v>
      </c>
      <c r="H149" s="4">
        <f ca="1">H160*'Total Distance Tables Sup #1'!H149*(1+'Other Assumptions'!L$57)*(1+'Active Mode Assumptions'!H18)</f>
        <v>8.3682702758314633</v>
      </c>
      <c r="I149" s="1">
        <f ca="1">I160*'Total Distance Tables Sup #1'!I149*(1+'Other Assumptions'!M$57)*(1+'Active Mode Assumptions'!I18)</f>
        <v>8.2851075702501671</v>
      </c>
      <c r="J149" s="1">
        <f ca="1">J160*'Total Distance Tables Sup #1'!J149*(1+'Other Assumptions'!N$57)*(1+'Active Mode Assumptions'!J18)</f>
        <v>8.1771481717551495</v>
      </c>
      <c r="K149" s="1">
        <f ca="1">K160*'Total Distance Tables Sup #1'!K149*(1+'Other Assumptions'!O$57)*(1+'Active Mode Assumptions'!K18)</f>
        <v>8.053722036113502</v>
      </c>
    </row>
    <row r="150" spans="1:11" x14ac:dyDescent="0.2">
      <c r="A150" t="str">
        <f ca="1">OFFSET(Southland_Reference,14,2)</f>
        <v>Light Vehicle Driver</v>
      </c>
      <c r="B150" s="4">
        <f ca="1">B161*'Total Distance Tables Sup #1'!B150*(1+'Other Assumptions'!D$57)-(B148*'Active Mode Assumptions'!B9*'Active Mode Assumptions'!B14/(1+'Active Mode Assumptions'!B9))-(B149*'Active Mode Assumptions'!B18*'Active Mode Assumptions'!B23/(1+'Active Mode Assumptions'!B18))</f>
        <v>657.74873722999996</v>
      </c>
      <c r="C150" s="4">
        <f ca="1">C161*'Total Distance Tables Sup #1'!C150*(1+'Other Assumptions'!G$57)-(C148*'Active Mode Assumptions'!C9*'Active Mode Assumptions'!C14/(1+'Active Mode Assumptions'!C9))-(C149*'Active Mode Assumptions'!C18*'Active Mode Assumptions'!C23/(1+'Active Mode Assumptions'!C18))</f>
        <v>699.53944046746972</v>
      </c>
      <c r="D150" s="4">
        <f ca="1">D161*'Total Distance Tables Sup #1'!D150*(1+'Other Assumptions'!H$57)-(D148*'Active Mode Assumptions'!D9*'Active Mode Assumptions'!D14/(1+'Active Mode Assumptions'!D9))-(D149*'Active Mode Assumptions'!D18*'Active Mode Assumptions'!D23/(1+'Active Mode Assumptions'!D18))</f>
        <v>715.60536958429316</v>
      </c>
      <c r="E150" s="4">
        <f ca="1">E161*'Total Distance Tables Sup #1'!E150*(1+'Other Assumptions'!I$57)-(E148*'Active Mode Assumptions'!E9*'Active Mode Assumptions'!E14/(1+'Active Mode Assumptions'!E9))-(E149*'Active Mode Assumptions'!E18*'Active Mode Assumptions'!E23/(1+'Active Mode Assumptions'!E18))</f>
        <v>720.39806573044109</v>
      </c>
      <c r="F150" s="4">
        <f ca="1">F161*'Total Distance Tables Sup #1'!F150*(1+'Other Assumptions'!J$57)-(F148*'Active Mode Assumptions'!F9*'Active Mode Assumptions'!F14/(1+'Active Mode Assumptions'!F9))-(F149*'Active Mode Assumptions'!F18*'Active Mode Assumptions'!F23/(1+'Active Mode Assumptions'!F18))</f>
        <v>722.44186074246068</v>
      </c>
      <c r="G150" s="4">
        <f ca="1">G161*'Total Distance Tables Sup #1'!G150*(1+'Other Assumptions'!K$57)-(G148*'Active Mode Assumptions'!G9*'Active Mode Assumptions'!G14/(1+'Active Mode Assumptions'!G9))-(G149*'Active Mode Assumptions'!G18*'Active Mode Assumptions'!G23/(1+'Active Mode Assumptions'!G18))</f>
        <v>717.64931827217174</v>
      </c>
      <c r="H150" s="4">
        <f ca="1">H161*'Total Distance Tables Sup #1'!H150*(1+'Other Assumptions'!L$57)-(H148*'Active Mode Assumptions'!H9*'Active Mode Assumptions'!H14/(1+'Active Mode Assumptions'!H9))-(H149*'Active Mode Assumptions'!H18*'Active Mode Assumptions'!H23/(1+'Active Mode Assumptions'!H18))</f>
        <v>710.32296419266561</v>
      </c>
      <c r="I150" s="1">
        <f ca="1">I161*'Total Distance Tables Sup #1'!I150*(1+'Other Assumptions'!M$57)-(I148*'Active Mode Assumptions'!I9*'Active Mode Assumptions'!I14/(1+'Active Mode Assumptions'!I9))-(I149*'Active Mode Assumptions'!I18*'Active Mode Assumptions'!I23/(1+'Active Mode Assumptions'!I18))</f>
        <v>701.33380415228703</v>
      </c>
      <c r="J150" s="1">
        <f ca="1">J161*'Total Distance Tables Sup #1'!J150*(1+'Other Assumptions'!N$57)-(J148*'Active Mode Assumptions'!J9*'Active Mode Assumptions'!J14/(1+'Active Mode Assumptions'!J9))-(J149*'Active Mode Assumptions'!J18*'Active Mode Assumptions'!J23/(1+'Active Mode Assumptions'!J18))</f>
        <v>690.25963629799674</v>
      </c>
      <c r="K150" s="1">
        <f ca="1">K161*'Total Distance Tables Sup #1'!K150*(1+'Other Assumptions'!O$57)-(K148*'Active Mode Assumptions'!K9*'Active Mode Assumptions'!K14/(1+'Active Mode Assumptions'!K9))-(K149*'Active Mode Assumptions'!K18*'Active Mode Assumptions'!K23/(1+'Active Mode Assumptions'!K18))</f>
        <v>677.90540716702276</v>
      </c>
    </row>
    <row r="151" spans="1:11" x14ac:dyDescent="0.2">
      <c r="A151" t="str">
        <f ca="1">OFFSET(Southland_Reference,21,2)</f>
        <v>Light Vehicle Passenger</v>
      </c>
      <c r="B151" s="4">
        <f ca="1">B162*'Total Distance Tables Sup #1'!B151*(1+'Other Assumptions'!D$57)-(B148*'Active Mode Assumptions'!B9*'Active Mode Assumptions'!B15/(1+'Active Mode Assumptions'!B9))-(B149*'Active Mode Assumptions'!B18*'Active Mode Assumptions'!B24/(1+'Active Mode Assumptions'!B18))</f>
        <v>380.70733008000002</v>
      </c>
      <c r="C151" s="4">
        <f ca="1">C162*'Total Distance Tables Sup #1'!C151*(1+'Other Assumptions'!G$57)-(C148*'Active Mode Assumptions'!C9*'Active Mode Assumptions'!C15/(1+'Active Mode Assumptions'!C9))-(C149*'Active Mode Assumptions'!C18*'Active Mode Assumptions'!C24/(1+'Active Mode Assumptions'!C18))</f>
        <v>388.5822499920219</v>
      </c>
      <c r="D151" s="4">
        <f ca="1">D162*'Total Distance Tables Sup #1'!D151*(1+'Other Assumptions'!H$57)-(D148*'Active Mode Assumptions'!D9*'Active Mode Assumptions'!D15/(1+'Active Mode Assumptions'!D9))-(D149*'Active Mode Assumptions'!D18*'Active Mode Assumptions'!D24/(1+'Active Mode Assumptions'!D18))</f>
        <v>388.31194404787141</v>
      </c>
      <c r="E151" s="4">
        <f ca="1">E162*'Total Distance Tables Sup #1'!E151*(1+'Other Assumptions'!I$57)-(E148*'Active Mode Assumptions'!E9*'Active Mode Assumptions'!E15/(1+'Active Mode Assumptions'!E9))-(E149*'Active Mode Assumptions'!E18*'Active Mode Assumptions'!E24/(1+'Active Mode Assumptions'!E18))</f>
        <v>385.54397310326192</v>
      </c>
      <c r="F151" s="4">
        <f ca="1">F162*'Total Distance Tables Sup #1'!F151*(1+'Other Assumptions'!J$57)-(F148*'Active Mode Assumptions'!F9*'Active Mode Assumptions'!F15/(1+'Active Mode Assumptions'!F9))-(F149*'Active Mode Assumptions'!F18*'Active Mode Assumptions'!F24/(1+'Active Mode Assumptions'!F18))</f>
        <v>380.6336478715051</v>
      </c>
      <c r="G151" s="4">
        <f ca="1">G162*'Total Distance Tables Sup #1'!G151*(1+'Other Assumptions'!K$57)-(G148*'Active Mode Assumptions'!G9*'Active Mode Assumptions'!G15/(1+'Active Mode Assumptions'!G9))-(G149*'Active Mode Assumptions'!G18*'Active Mode Assumptions'!G24/(1+'Active Mode Assumptions'!G18))</f>
        <v>373.93353616673681</v>
      </c>
      <c r="H151" s="4">
        <f ca="1">H162*'Total Distance Tables Sup #1'!H151*(1+'Other Assumptions'!L$57)-(H148*'Active Mode Assumptions'!H9*'Active Mode Assumptions'!H15/(1+'Active Mode Assumptions'!H9))-(H149*'Active Mode Assumptions'!H18*'Active Mode Assumptions'!H24/(1+'Active Mode Assumptions'!H18))</f>
        <v>365.66299281399762</v>
      </c>
      <c r="I151" s="1">
        <f ca="1">I162*'Total Distance Tables Sup #1'!I151*(1+'Other Assumptions'!M$57)-(I148*'Active Mode Assumptions'!I9*'Active Mode Assumptions'!I15/(1+'Active Mode Assumptions'!I9))-(I149*'Active Mode Assumptions'!I18*'Active Mode Assumptions'!I24/(1+'Active Mode Assumptions'!I18))</f>
        <v>361.43346436682572</v>
      </c>
      <c r="J151" s="1">
        <f ca="1">J162*'Total Distance Tables Sup #1'!J151*(1+'Other Assumptions'!N$57)-(J148*'Active Mode Assumptions'!J9*'Active Mode Assumptions'!J15/(1+'Active Mode Assumptions'!J9))-(J149*'Active Mode Assumptions'!J18*'Active Mode Assumptions'!J24/(1+'Active Mode Assumptions'!J18))</f>
        <v>356.11975642767055</v>
      </c>
      <c r="K151" s="1">
        <f ca="1">K162*'Total Distance Tables Sup #1'!K151*(1+'Other Assumptions'!O$57)-(K148*'Active Mode Assumptions'!K9*'Active Mode Assumptions'!K15/(1+'Active Mode Assumptions'!K9))-(K149*'Active Mode Assumptions'!K18*'Active Mode Assumptions'!K24/(1+'Active Mode Assumptions'!K18))</f>
        <v>350.13376800728878</v>
      </c>
    </row>
    <row r="152" spans="1:11" x14ac:dyDescent="0.2">
      <c r="A152" t="str">
        <f ca="1">OFFSET(Southland_Reference,28,2)</f>
        <v>Taxi/Vehicle Share</v>
      </c>
      <c r="B152" s="4">
        <f ca="1">B163*'Total Distance Tables Sup #1'!B152*(1+'Other Assumptions'!D$57)</f>
        <v>1.2430116738999999</v>
      </c>
      <c r="C152" s="4">
        <f ca="1">C163*'Total Distance Tables Sup #1'!C152*(1+'Other Assumptions'!G$57)</f>
        <v>1.3776282709032792</v>
      </c>
      <c r="D152" s="4">
        <f ca="1">D163*'Total Distance Tables Sup #1'!D152*(1+'Other Assumptions'!H$57)</f>
        <v>1.4814191703395134</v>
      </c>
      <c r="E152" s="4">
        <f ca="1">E163*'Total Distance Tables Sup #1'!E152*(1+'Other Assumptions'!I$57)</f>
        <v>1.5755330870422046</v>
      </c>
      <c r="F152" s="4">
        <f ca="1">F163*'Total Distance Tables Sup #1'!F152*(1+'Other Assumptions'!J$57)</f>
        <v>1.6507848424819715</v>
      </c>
      <c r="G152" s="4">
        <f ca="1">G163*'Total Distance Tables Sup #1'!G152*(1+'Other Assumptions'!K$57)</f>
        <v>1.6995907850113796</v>
      </c>
      <c r="H152" s="4">
        <f ca="1">H163*'Total Distance Tables Sup #1'!H152*(1+'Other Assumptions'!L$57)</f>
        <v>1.7417581972981451</v>
      </c>
      <c r="I152" s="1">
        <f ca="1">I163*'Total Distance Tables Sup #1'!I152*(1+'Other Assumptions'!M$57)</f>
        <v>1.7148915759941921</v>
      </c>
      <c r="J152" s="1">
        <f ca="1">J163*'Total Distance Tables Sup #1'!J152*(1+'Other Assumptions'!N$57)</f>
        <v>1.6830546334113599</v>
      </c>
      <c r="K152" s="1">
        <f ca="1">K163*'Total Distance Tables Sup #1'!K152*(1+'Other Assumptions'!O$57)</f>
        <v>1.6482510759516238</v>
      </c>
    </row>
    <row r="153" spans="1:11" x14ac:dyDescent="0.2">
      <c r="A153" t="str">
        <f ca="1">OFFSET(Southland_Reference,35,2)</f>
        <v>Motorcyclist</v>
      </c>
      <c r="B153" s="4">
        <f ca="1">B164*'Total Distance Tables Sup #1'!B153*(1+'Other Assumptions'!D$57)</f>
        <v>18.926640866</v>
      </c>
      <c r="C153" s="4">
        <f ca="1">C164*'Total Distance Tables Sup #1'!C153*(1+'Other Assumptions'!G$57)</f>
        <v>20.125188865973378</v>
      </c>
      <c r="D153" s="4">
        <f ca="1">D164*'Total Distance Tables Sup #1'!D153*(1+'Other Assumptions'!H$57)</f>
        <v>20.557637994451039</v>
      </c>
      <c r="E153" s="4">
        <f ca="1">E164*'Total Distance Tables Sup #1'!E153*(1+'Other Assumptions'!I$57)</f>
        <v>20.331560991802242</v>
      </c>
      <c r="F153" s="4">
        <f ca="1">F164*'Total Distance Tables Sup #1'!F153*(1+'Other Assumptions'!J$57)</f>
        <v>19.933375956174082</v>
      </c>
      <c r="G153" s="4">
        <f ca="1">G164*'Total Distance Tables Sup #1'!G153*(1+'Other Assumptions'!K$57)</f>
        <v>19.209177301244821</v>
      </c>
      <c r="H153" s="4">
        <f ca="1">H164*'Total Distance Tables Sup #1'!H153*(1+'Other Assumptions'!L$57)</f>
        <v>18.423590183087583</v>
      </c>
      <c r="I153" s="1">
        <f ca="1">I164*'Total Distance Tables Sup #1'!I153*(1+'Other Assumptions'!M$57)</f>
        <v>18.302847470227114</v>
      </c>
      <c r="J153" s="1">
        <f ca="1">J164*'Total Distance Tables Sup #1'!J153*(1+'Other Assumptions'!N$57)</f>
        <v>18.125714090962592</v>
      </c>
      <c r="K153" s="1">
        <f ca="1">K164*'Total Distance Tables Sup #1'!K153*(1+'Other Assumptions'!O$57)</f>
        <v>17.912352495563635</v>
      </c>
    </row>
    <row r="154" spans="1:11" x14ac:dyDescent="0.2">
      <c r="A154" t="str">
        <f ca="1">OFFSET(Canterbury_Reference,42,2)</f>
        <v>Local Train</v>
      </c>
      <c r="B154" s="4">
        <f ca="1">B165*'Total Distance Tables Sup #1'!B154*(1+'Other Assumptions'!D$57)</f>
        <v>0</v>
      </c>
      <c r="C154" s="4">
        <f ca="1">C165*'Total Distance Tables Sup #1'!C154*(1+'Other Assumptions'!G$57)</f>
        <v>0</v>
      </c>
      <c r="D154" s="4">
        <f ca="1">D165*'Total Distance Tables Sup #1'!D154*(1+'Other Assumptions'!H$57)</f>
        <v>0</v>
      </c>
      <c r="E154" s="4">
        <f ca="1">E165*'Total Distance Tables Sup #1'!E154*(1+'Other Assumptions'!I$57)</f>
        <v>0</v>
      </c>
      <c r="F154" s="4">
        <f ca="1">F165*'Total Distance Tables Sup #1'!F154*(1+'Other Assumptions'!J$57)</f>
        <v>0</v>
      </c>
      <c r="G154" s="4">
        <f ca="1">G165*'Total Distance Tables Sup #1'!G154*(1+'Other Assumptions'!K$57)</f>
        <v>0</v>
      </c>
      <c r="H154" s="4">
        <f ca="1">H165*'Total Distance Tables Sup #1'!H154*(1+'Other Assumptions'!L$57)</f>
        <v>0</v>
      </c>
      <c r="I154" s="1">
        <f ca="1">I165*'Total Distance Tables Sup #1'!I154*(1+'Other Assumptions'!M$57)</f>
        <v>0</v>
      </c>
      <c r="J154" s="1">
        <f ca="1">J165*'Total Distance Tables Sup #1'!J154*(1+'Other Assumptions'!N$57)</f>
        <v>0</v>
      </c>
      <c r="K154" s="1">
        <f ca="1">K165*'Total Distance Tables Sup #1'!K154*(1+'Other Assumptions'!O$57)</f>
        <v>0</v>
      </c>
    </row>
    <row r="155" spans="1:11" x14ac:dyDescent="0.2">
      <c r="A155" t="str">
        <f ca="1">OFFSET(Southland_Reference,42,2)</f>
        <v>Local Bus</v>
      </c>
      <c r="B155" s="4">
        <f ca="1">B166*'Total Distance Tables Sup #1'!B155*(1+'Other Assumptions'!D$57)</f>
        <v>30.182609224</v>
      </c>
      <c r="C155" s="4">
        <f ca="1">C166*'Total Distance Tables Sup #1'!C155*(1+'Other Assumptions'!G$57)</f>
        <v>28.544386116197241</v>
      </c>
      <c r="D155" s="4">
        <f ca="1">D166*'Total Distance Tables Sup #1'!D155*(1+'Other Assumptions'!H$57)</f>
        <v>27.209565754205244</v>
      </c>
      <c r="E155" s="4">
        <f ca="1">E166*'Total Distance Tables Sup #1'!E155*(1+'Other Assumptions'!I$57)</f>
        <v>26.181865411486264</v>
      </c>
      <c r="F155" s="4">
        <f ca="1">F166*'Total Distance Tables Sup #1'!F155*(1+'Other Assumptions'!J$57)</f>
        <v>24.833736045864828</v>
      </c>
      <c r="G155" s="4">
        <f ca="1">G166*'Total Distance Tables Sup #1'!G155*(1+'Other Assumptions'!K$57)</f>
        <v>23.827061358023183</v>
      </c>
      <c r="H155" s="4">
        <f ca="1">H166*'Total Distance Tables Sup #1'!H155*(1+'Other Assumptions'!L$57)</f>
        <v>22.762613605908872</v>
      </c>
      <c r="I155" s="1">
        <f ca="1">I166*'Total Distance Tables Sup #1'!I155*(1+'Other Assumptions'!M$57)</f>
        <v>22.501693216349377</v>
      </c>
      <c r="J155" s="1">
        <f ca="1">J166*'Total Distance Tables Sup #1'!J155*(1+'Other Assumptions'!N$57)</f>
        <v>22.172926996927956</v>
      </c>
      <c r="K155" s="1">
        <f ca="1">K166*'Total Distance Tables Sup #1'!K155*(1+'Other Assumptions'!O$57)</f>
        <v>21.801971684335395</v>
      </c>
    </row>
    <row r="156" spans="1:11" x14ac:dyDescent="0.2">
      <c r="A156" t="str">
        <f ca="1">OFFSET(Wellington_Reference,56,2)</f>
        <v>Local Ferry</v>
      </c>
      <c r="B156" s="4">
        <f>B167*'Total Distance Tables Sup #1'!B156*(1+'Other Assumptions'!D$57)</f>
        <v>0</v>
      </c>
      <c r="C156" s="4">
        <f ca="1">C167*'Total Distance Tables Sup #1'!C156*(1+'Other Assumptions'!G$57)</f>
        <v>0</v>
      </c>
      <c r="D156" s="4">
        <f ca="1">D167*'Total Distance Tables Sup #1'!D156*(1+'Other Assumptions'!H$57)</f>
        <v>0</v>
      </c>
      <c r="E156" s="4">
        <f ca="1">E167*'Total Distance Tables Sup #1'!E156*(1+'Other Assumptions'!I$57)</f>
        <v>0</v>
      </c>
      <c r="F156" s="4">
        <f ca="1">F167*'Total Distance Tables Sup #1'!F156*(1+'Other Assumptions'!J$57)</f>
        <v>0</v>
      </c>
      <c r="G156" s="4">
        <f ca="1">G167*'Total Distance Tables Sup #1'!G156*(1+'Other Assumptions'!K$57)</f>
        <v>0</v>
      </c>
      <c r="H156" s="4">
        <f ca="1">H167*'Total Distance Tables Sup #1'!H156*(1+'Other Assumptions'!L$57)</f>
        <v>0</v>
      </c>
      <c r="I156" s="1">
        <f ca="1">I167*'Total Distance Tables Sup #1'!I156*(1+'Other Assumptions'!M$57)</f>
        <v>0</v>
      </c>
      <c r="J156" s="1">
        <f ca="1">J167*'Total Distance Tables Sup #1'!J156*(1+'Other Assumptions'!N$57)</f>
        <v>0</v>
      </c>
      <c r="K156" s="1">
        <f ca="1">K167*'Total Distance Tables Sup #1'!K156*(1+'Other Assumptions'!O$57)</f>
        <v>0</v>
      </c>
    </row>
    <row r="157" spans="1:11" x14ac:dyDescent="0.2">
      <c r="A157" t="str">
        <f ca="1">OFFSET(Southland_Reference,49,2)</f>
        <v>Other Household Travel</v>
      </c>
      <c r="B157" s="4">
        <f ca="1">B168*'Total Distance Tables Sup #1'!B157*(1+'Other Assumptions'!D$57)</f>
        <v>0</v>
      </c>
      <c r="C157" s="4">
        <f ca="1">C168*'Total Distance Tables Sup #1'!C157*(1+'Other Assumptions'!G$57)</f>
        <v>0</v>
      </c>
      <c r="D157" s="4">
        <f ca="1">D168*'Total Distance Tables Sup #1'!D157*(1+'Other Assumptions'!H$57)</f>
        <v>0</v>
      </c>
      <c r="E157" s="4">
        <f ca="1">E168*'Total Distance Tables Sup #1'!E157*(1+'Other Assumptions'!I$57)</f>
        <v>0</v>
      </c>
      <c r="F157" s="4">
        <f ca="1">F168*'Total Distance Tables Sup #1'!F157*(1+'Other Assumptions'!J$57)</f>
        <v>0</v>
      </c>
      <c r="G157" s="4">
        <f ca="1">G168*'Total Distance Tables Sup #1'!G157*(1+'Other Assumptions'!K$57)</f>
        <v>0</v>
      </c>
      <c r="H157" s="4">
        <f ca="1">H168*'Total Distance Tables Sup #1'!H157*(1+'Other Assumptions'!L$57)</f>
        <v>0</v>
      </c>
      <c r="I157" s="1">
        <f ca="1">I168*'Total Distance Tables Sup #1'!I157*(1+'Other Assumptions'!M$57)</f>
        <v>0</v>
      </c>
      <c r="J157" s="1">
        <f ca="1">J168*'Total Distance Tables Sup #1'!J157*(1+'Other Assumptions'!N$57)</f>
        <v>0</v>
      </c>
      <c r="K157" s="1">
        <f ca="1">K168*'Total Distance Tables Sup #1'!K157*(1+'Other Assumptions'!O$57)</f>
        <v>0</v>
      </c>
    </row>
    <row r="158" spans="1:11" x14ac:dyDescent="0.2">
      <c r="A158" t="s">
        <v>18</v>
      </c>
    </row>
    <row r="159" spans="1:11" x14ac:dyDescent="0.2">
      <c r="A159" t="str">
        <f ca="1">'Total Distance Tables'!A16</f>
        <v>Pedestrian</v>
      </c>
      <c r="B159" s="58">
        <f ca="1">('Total Distance Tables Sup #1'!B170*'Updated Population'!B$158)/('Total Distance Tables Sup #1'!B159*1000000)</f>
        <v>1</v>
      </c>
      <c r="C159" s="58">
        <f ca="1">('Total Distance Tables Sup #1'!C170*'Updated Population'!C$158)/('Total Distance Tables Sup #1'!C159*1000000)</f>
        <v>0.9981277648916469</v>
      </c>
      <c r="D159" s="58">
        <f ca="1">('Total Distance Tables Sup #1'!D170*'Updated Population'!D$158)/('Total Distance Tables Sup #1'!D159*1000000)</f>
        <v>0.99642109772174792</v>
      </c>
      <c r="E159" s="58">
        <f ca="1">('Total Distance Tables Sup #1'!E170*'Updated Population'!E$158)/('Total Distance Tables Sup #1'!E159*1000000)</f>
        <v>0.99516108553650762</v>
      </c>
      <c r="F159" s="58">
        <f ca="1">('Total Distance Tables Sup #1'!F170*'Updated Population'!F$158)/('Total Distance Tables Sup #1'!F159*1000000)</f>
        <v>0.99387856791886564</v>
      </c>
      <c r="G159" s="58">
        <f ca="1">('Total Distance Tables Sup #1'!G170*'Updated Population'!G$158)/('Total Distance Tables Sup #1'!G159*1000000)</f>
        <v>0.99261699755625954</v>
      </c>
      <c r="H159" s="58">
        <f ca="1">('Total Distance Tables Sup #1'!H170*'Updated Population'!H$158)/('Total Distance Tables Sup #1'!H159*1000000)</f>
        <v>0.9914238221010595</v>
      </c>
      <c r="I159" s="58">
        <f ca="1">('Total Distance Tables Sup #1'!I170*'Updated Population'!I$158)/('Total Distance Tables Sup #1'!I159*1000000)</f>
        <v>0.99024606745298294</v>
      </c>
      <c r="J159" s="58">
        <f ca="1">('Total Distance Tables Sup #1'!J170*'Updated Population'!J$158)/('Total Distance Tables Sup #1'!J159*1000000)</f>
        <v>0.98908367266096431</v>
      </c>
      <c r="K159" s="58">
        <f ca="1">('Total Distance Tables Sup #1'!K170*'Updated Population'!K$158)/('Total Distance Tables Sup #1'!K159*1000000)</f>
        <v>0.98793657271149771</v>
      </c>
    </row>
    <row r="160" spans="1:11" x14ac:dyDescent="0.2">
      <c r="A160" t="str">
        <f ca="1">'Total Distance Tables'!A17</f>
        <v>Cyclist</v>
      </c>
      <c r="B160" s="58">
        <f ca="1">('Total Distance Tables Sup #1'!B171*'Updated Population'!B$158)/('Total Distance Tables Sup #1'!B160*1000000)</f>
        <v>1</v>
      </c>
      <c r="C160" s="58">
        <f ca="1">('Total Distance Tables Sup #1'!C171*'Updated Population'!C$158)/('Total Distance Tables Sup #1'!C160*1000000)</f>
        <v>1.005561367035845</v>
      </c>
      <c r="D160" s="58">
        <f ca="1">('Total Distance Tables Sup #1'!D171*'Updated Population'!D$158)/('Total Distance Tables Sup #1'!D160*1000000)</f>
        <v>1.0105677586510022</v>
      </c>
      <c r="E160" s="58">
        <f ca="1">('Total Distance Tables Sup #1'!E171*'Updated Population'!E$158)/('Total Distance Tables Sup #1'!E160*1000000)</f>
        <v>1.0152096817040832</v>
      </c>
      <c r="F160" s="58">
        <f ca="1">('Total Distance Tables Sup #1'!F171*'Updated Population'!F$158)/('Total Distance Tables Sup #1'!F160*1000000)</f>
        <v>1.0192883471140508</v>
      </c>
      <c r="G160" s="58">
        <f ca="1">('Total Distance Tables Sup #1'!G171*'Updated Population'!G$158)/('Total Distance Tables Sup #1'!G160*1000000)</f>
        <v>1.0229294494098569</v>
      </c>
      <c r="H160" s="58">
        <f ca="1">('Total Distance Tables Sup #1'!H171*'Updated Population'!H$158)/('Total Distance Tables Sup #1'!H160*1000000)</f>
        <v>1.026452112226669</v>
      </c>
      <c r="I160" s="58">
        <f ca="1">('Total Distance Tables Sup #1'!I171*'Updated Population'!I$158)/('Total Distance Tables Sup #1'!I160*1000000)</f>
        <v>1.0300495048728839</v>
      </c>
      <c r="J160" s="58">
        <f ca="1">('Total Distance Tables Sup #1'!J171*'Updated Population'!J$158)/('Total Distance Tables Sup #1'!J160*1000000)</f>
        <v>1.0337211560112449</v>
      </c>
      <c r="K160" s="58">
        <f ca="1">('Total Distance Tables Sup #1'!K171*'Updated Population'!K$158)/('Total Distance Tables Sup #1'!K160*1000000)</f>
        <v>1.0374665328707253</v>
      </c>
    </row>
    <row r="161" spans="1:11" x14ac:dyDescent="0.2">
      <c r="A161" t="str">
        <f ca="1">'Total Distance Tables'!A18</f>
        <v>Light Vehicle Driver</v>
      </c>
      <c r="B161" s="58">
        <f ca="1">('Total Distance Tables Sup #1'!B172*'Updated Population'!B$158)/('Total Distance Tables Sup #1'!B161*1000000)</f>
        <v>1</v>
      </c>
      <c r="C161" s="58">
        <f ca="1">('Total Distance Tables Sup #1'!C172*'Updated Population'!C$158)/('Total Distance Tables Sup #1'!C161*1000000)</f>
        <v>1.001316877321653</v>
      </c>
      <c r="D161" s="58">
        <f ca="1">('Total Distance Tables Sup #1'!D172*'Updated Population'!D$158)/('Total Distance Tables Sup #1'!D161*1000000)</f>
        <v>1.0025574462363438</v>
      </c>
      <c r="E161" s="58">
        <f ca="1">('Total Distance Tables Sup #1'!E172*'Updated Population'!E$158)/('Total Distance Tables Sup #1'!E161*1000000)</f>
        <v>1.003437247587986</v>
      </c>
      <c r="F161" s="58">
        <f ca="1">('Total Distance Tables Sup #1'!F172*'Updated Population'!F$158)/('Total Distance Tables Sup #1'!F161*1000000)</f>
        <v>1.0042712092750679</v>
      </c>
      <c r="G161" s="58">
        <f ca="1">('Total Distance Tables Sup #1'!G172*'Updated Population'!G$158)/('Total Distance Tables Sup #1'!G161*1000000)</f>
        <v>1.005052654493543</v>
      </c>
      <c r="H161" s="58">
        <f ca="1">('Total Distance Tables Sup #1'!H172*'Updated Population'!H$158)/('Total Distance Tables Sup #1'!H161*1000000)</f>
        <v>1.0057987135235578</v>
      </c>
      <c r="I161" s="58">
        <f ca="1">('Total Distance Tables Sup #1'!I172*'Updated Population'!I$158)/('Total Distance Tables Sup #1'!I161*1000000)</f>
        <v>1.0065536886977648</v>
      </c>
      <c r="J161" s="58">
        <f ca="1">('Total Distance Tables Sup #1'!J172*'Updated Population'!J$158)/('Total Distance Tables Sup #1'!J161*1000000)</f>
        <v>1.007317181713393</v>
      </c>
      <c r="K161" s="58">
        <f ca="1">('Total Distance Tables Sup #1'!K172*'Updated Population'!K$158)/('Total Distance Tables Sup #1'!K161*1000000)</f>
        <v>1.0080887860570973</v>
      </c>
    </row>
    <row r="162" spans="1:11" x14ac:dyDescent="0.2">
      <c r="A162" t="str">
        <f ca="1">'Total Distance Tables'!A19</f>
        <v>Light Vehicle Passenger</v>
      </c>
      <c r="B162" s="58">
        <f ca="1">('Total Distance Tables Sup #1'!B173*'Updated Population'!B$158)/('Total Distance Tables Sup #1'!B162*1000000)</f>
        <v>1</v>
      </c>
      <c r="C162" s="58">
        <f ca="1">('Total Distance Tables Sup #1'!C173*'Updated Population'!C$158)/('Total Distance Tables Sup #1'!C162*1000000)</f>
        <v>1.0033646790372441</v>
      </c>
      <c r="D162" s="58">
        <f ca="1">('Total Distance Tables Sup #1'!D173*'Updated Population'!D$158)/('Total Distance Tables Sup #1'!D162*1000000)</f>
        <v>1.00618522966775</v>
      </c>
      <c r="E162" s="58">
        <f ca="1">('Total Distance Tables Sup #1'!E173*'Updated Population'!E$158)/('Total Distance Tables Sup #1'!E162*1000000)</f>
        <v>1.0083340111866659</v>
      </c>
      <c r="F162" s="58">
        <f ca="1">('Total Distance Tables Sup #1'!F173*'Updated Population'!F$158)/('Total Distance Tables Sup #1'!F162*1000000)</f>
        <v>1.0103812159988852</v>
      </c>
      <c r="G162" s="58">
        <f ca="1">('Total Distance Tables Sup #1'!G173*'Updated Population'!G$158)/('Total Distance Tables Sup #1'!G162*1000000)</f>
        <v>1.0123203604201796</v>
      </c>
      <c r="H162" s="58">
        <f ca="1">('Total Distance Tables Sup #1'!H173*'Updated Population'!H$158)/('Total Distance Tables Sup #1'!H162*1000000)</f>
        <v>1.0141842040852291</v>
      </c>
      <c r="I162" s="58">
        <f ca="1">('Total Distance Tables Sup #1'!I173*'Updated Population'!I$158)/('Total Distance Tables Sup #1'!I162*1000000)</f>
        <v>1.0160641891855422</v>
      </c>
      <c r="J162" s="58">
        <f ca="1">('Total Distance Tables Sup #1'!J173*'Updated Population'!J$158)/('Total Distance Tables Sup #1'!J162*1000000)</f>
        <v>1.0179593676788674</v>
      </c>
      <c r="K162" s="58">
        <f ca="1">('Total Distance Tables Sup #1'!K173*'Updated Population'!K$158)/('Total Distance Tables Sup #1'!K162*1000000)</f>
        <v>1.0198687751414877</v>
      </c>
    </row>
    <row r="163" spans="1:11" x14ac:dyDescent="0.2">
      <c r="A163" t="str">
        <f ca="1">'Total Distance Tables'!A20</f>
        <v>Taxi/Vehicle Share</v>
      </c>
      <c r="B163" s="58">
        <f ca="1">('Total Distance Tables Sup #1'!B174*'Updated Population'!B$158)/('Total Distance Tables Sup #1'!B163*1000000)</f>
        <v>1</v>
      </c>
      <c r="C163" s="58">
        <f ca="1">('Total Distance Tables Sup #1'!C174*'Updated Population'!C$158)/('Total Distance Tables Sup #1'!C163*1000000)</f>
        <v>0.99725478136156154</v>
      </c>
      <c r="D163" s="58">
        <f ca="1">('Total Distance Tables Sup #1'!D174*'Updated Population'!D$158)/('Total Distance Tables Sup #1'!D163*1000000)</f>
        <v>0.99438917476159261</v>
      </c>
      <c r="E163" s="58">
        <f ca="1">('Total Distance Tables Sup #1'!E174*'Updated Population'!E$158)/('Total Distance Tables Sup #1'!E163*1000000)</f>
        <v>0.99237911625530528</v>
      </c>
      <c r="F163" s="58">
        <f ca="1">('Total Distance Tables Sup #1'!F174*'Updated Population'!F$158)/('Total Distance Tables Sup #1'!F163*1000000)</f>
        <v>0.99027472452475485</v>
      </c>
      <c r="G163" s="58">
        <f ca="1">('Total Distance Tables Sup #1'!G174*'Updated Population'!G$158)/('Total Distance Tables Sup #1'!G163*1000000)</f>
        <v>0.98816042023001815</v>
      </c>
      <c r="H163" s="58">
        <f ca="1">('Total Distance Tables Sup #1'!H174*'Updated Population'!H$158)/('Total Distance Tables Sup #1'!H163*1000000)</f>
        <v>0.9861350457409962</v>
      </c>
      <c r="I163" s="58">
        <f ca="1">('Total Distance Tables Sup #1'!I174*'Updated Population'!I$158)/('Total Distance Tables Sup #1'!I163*1000000)</f>
        <v>0.98410661031364399</v>
      </c>
      <c r="J163" s="58">
        <f ca="1">('Total Distance Tables Sup #1'!J174*'Updated Population'!J$158)/('Total Distance Tables Sup #1'!J163*1000000)</f>
        <v>0.98207642731328548</v>
      </c>
      <c r="K163" s="58">
        <f ca="1">('Total Distance Tables Sup #1'!K174*'Updated Population'!K$158)/('Total Distance Tables Sup #1'!K163*1000000)</f>
        <v>0.98004578057868497</v>
      </c>
    </row>
    <row r="164" spans="1:11" x14ac:dyDescent="0.2">
      <c r="A164" t="str">
        <f ca="1">'Total Distance Tables'!A21</f>
        <v>Motorcyclist</v>
      </c>
      <c r="B164" s="58">
        <f ca="1">('Total Distance Tables Sup #1'!B175*'Updated Population'!B$158)/('Total Distance Tables Sup #1'!B164*1000000)</f>
        <v>1</v>
      </c>
      <c r="C164" s="58">
        <f ca="1">('Total Distance Tables Sup #1'!C175*'Updated Population'!C$158)/('Total Distance Tables Sup #1'!C164*1000000)</f>
        <v>1.0113469303530203</v>
      </c>
      <c r="D164" s="58">
        <f ca="1">('Total Distance Tables Sup #1'!D175*'Updated Population'!D$158)/('Total Distance Tables Sup #1'!D164*1000000)</f>
        <v>1.0210773386974268</v>
      </c>
      <c r="E164" s="58">
        <f ca="1">('Total Distance Tables Sup #1'!E175*'Updated Population'!E$158)/('Total Distance Tables Sup #1'!E164*1000000)</f>
        <v>1.0286104438527268</v>
      </c>
      <c r="F164" s="58">
        <f ca="1">('Total Distance Tables Sup #1'!F175*'Updated Population'!F$158)/('Total Distance Tables Sup #1'!F164*1000000)</f>
        <v>1.0359261169282261</v>
      </c>
      <c r="G164" s="58">
        <f ca="1">('Total Distance Tables Sup #1'!G175*'Updated Population'!G$158)/('Total Distance Tables Sup #1'!G164*1000000)</f>
        <v>1.0431059548251933</v>
      </c>
      <c r="H164" s="58">
        <f ca="1">('Total Distance Tables Sup #1'!H175*'Updated Population'!H$158)/('Total Distance Tables Sup #1'!H164*1000000)</f>
        <v>1.0502960740527978</v>
      </c>
      <c r="I164" s="58">
        <f ca="1">('Total Distance Tables Sup #1'!I175*'Updated Population'!I$158)/('Total Distance Tables Sup #1'!I164*1000000)</f>
        <v>1.0575796608295562</v>
      </c>
      <c r="J164" s="58">
        <f ca="1">('Total Distance Tables Sup #1'!J175*'Updated Population'!J$158)/('Total Distance Tables Sup #1'!J164*1000000)</f>
        <v>1.0649547275771498</v>
      </c>
      <c r="K164" s="58">
        <f ca="1">('Total Distance Tables Sup #1'!K175*'Updated Population'!K$158)/('Total Distance Tables Sup #1'!K164*1000000)</f>
        <v>1.0724191731635229</v>
      </c>
    </row>
    <row r="165" spans="1:11" x14ac:dyDescent="0.2">
      <c r="A165" t="str">
        <f ca="1">'Total Distance Tables'!A22</f>
        <v>Local Train</v>
      </c>
      <c r="B165" s="58">
        <f ca="1">('Total Distance Tables Sup #1'!B176*'Updated Population'!B$158)/('Total Distance Tables Sup #1'!B165*1000000)</f>
        <v>1</v>
      </c>
      <c r="C165" s="58">
        <f ca="1">('Total Distance Tables Sup #1'!C176*'Updated Population'!C$158)/('Total Distance Tables Sup #1'!C165*1000000)</f>
        <v>1.0265940606597859</v>
      </c>
      <c r="D165" s="58">
        <f ca="1">('Total Distance Tables Sup #1'!D176*'Updated Population'!D$158)/('Total Distance Tables Sup #1'!D165*1000000)</f>
        <v>1.0422788545098118</v>
      </c>
      <c r="E165" s="58">
        <f ca="1">('Total Distance Tables Sup #1'!E176*'Updated Population'!E$158)/('Total Distance Tables Sup #1'!E165*1000000)</f>
        <v>1.0459194565744785</v>
      </c>
      <c r="F165" s="58">
        <f ca="1">('Total Distance Tables Sup #1'!F176*'Updated Population'!F$158)/('Total Distance Tables Sup #1'!F165*1000000)</f>
        <v>1.0480526049570056</v>
      </c>
      <c r="G165" s="58">
        <f ca="1">('Total Distance Tables Sup #1'!G176*'Updated Population'!G$158)/('Total Distance Tables Sup #1'!G165*1000000)</f>
        <v>1.0492125268250101</v>
      </c>
      <c r="H165" s="58">
        <f ca="1">('Total Distance Tables Sup #1'!H176*'Updated Population'!H$158)/('Total Distance Tables Sup #1'!H165*1000000)</f>
        <v>1.0503121231467689</v>
      </c>
      <c r="I165" s="58">
        <f ca="1">('Total Distance Tables Sup #1'!I176*'Updated Population'!I$158)/('Total Distance Tables Sup #1'!I165*1000000)</f>
        <v>1.0531758679540026</v>
      </c>
      <c r="J165" s="58">
        <f ca="1">('Total Distance Tables Sup #1'!J176*'Updated Population'!J$158)/('Total Distance Tables Sup #1'!J165*1000000)</f>
        <v>1.0560726404021568</v>
      </c>
      <c r="K165" s="58">
        <f ca="1">('Total Distance Tables Sup #1'!K176*'Updated Population'!K$158)/('Total Distance Tables Sup #1'!K165*1000000)</f>
        <v>1.0589976928170413</v>
      </c>
    </row>
    <row r="166" spans="1:11" x14ac:dyDescent="0.2">
      <c r="A166" t="str">
        <f ca="1">'Total Distance Tables'!A23</f>
        <v>Local Bus</v>
      </c>
      <c r="B166" s="58">
        <f ca="1">('Total Distance Tables Sup #1'!B177*'Updated Population'!B$169)/('Total Distance Tables Sup #1'!B166*1000000)</f>
        <v>1</v>
      </c>
      <c r="C166" s="58">
        <f ca="1">('Total Distance Tables Sup #1'!C177*'Updated Population'!C$169)/('Total Distance Tables Sup #1'!C166*1000000)</f>
        <v>1.0033152188508554</v>
      </c>
      <c r="D166" s="58">
        <f ca="1">('Total Distance Tables Sup #1'!D177*'Updated Population'!D$169)/('Total Distance Tables Sup #1'!D166*1000000)</f>
        <v>1.0055938202939942</v>
      </c>
      <c r="E166" s="58">
        <f ca="1">('Total Distance Tables Sup #1'!E177*'Updated Population'!E$169)/('Total Distance Tables Sup #1'!E166*1000000)</f>
        <v>1.0073933056572941</v>
      </c>
      <c r="F166" s="58">
        <f ca="1">('Total Distance Tables Sup #1'!F177*'Updated Population'!F$169)/('Total Distance Tables Sup #1'!F166*1000000)</f>
        <v>1.00926623491848</v>
      </c>
      <c r="G166" s="58">
        <f ca="1">('Total Distance Tables Sup #1'!G177*'Updated Population'!G$169)/('Total Distance Tables Sup #1'!G166*1000000)</f>
        <v>1.011193972320245</v>
      </c>
      <c r="H166" s="58">
        <f ca="1">('Total Distance Tables Sup #1'!H177*'Updated Population'!H$169)/('Total Distance Tables Sup #1'!H166*1000000)</f>
        <v>1.0131761430802355</v>
      </c>
      <c r="I166" s="58">
        <f ca="1">('Total Distance Tables Sup #1'!I177*'Updated Population'!I$169)/('Total Distance Tables Sup #1'!I166*1000000)</f>
        <v>1.0151611287466951</v>
      </c>
      <c r="J166" s="58">
        <f ca="1">('Total Distance Tables Sup #1'!J177*'Updated Population'!J$169)/('Total Distance Tables Sup #1'!J166*1000000)</f>
        <v>1.0171485839045866</v>
      </c>
      <c r="K166" s="58">
        <f ca="1">('Total Distance Tables Sup #1'!K177*'Updated Population'!K$169)/('Total Distance Tables Sup #1'!K166*1000000)</f>
        <v>1.0191381643369815</v>
      </c>
    </row>
    <row r="167" spans="1:11" x14ac:dyDescent="0.2">
      <c r="A167" t="str">
        <f ca="1">'Total Distance Tables'!A24</f>
        <v>Local Ferry</v>
      </c>
      <c r="B167" s="58">
        <v>1</v>
      </c>
      <c r="C167" s="58">
        <v>1</v>
      </c>
      <c r="D167" s="58">
        <v>1</v>
      </c>
      <c r="E167" s="58">
        <v>1</v>
      </c>
      <c r="F167" s="58">
        <v>1</v>
      </c>
      <c r="G167" s="58">
        <v>1</v>
      </c>
      <c r="H167" s="58">
        <v>1</v>
      </c>
      <c r="I167" s="58">
        <v>1</v>
      </c>
      <c r="J167" s="58">
        <v>1</v>
      </c>
      <c r="K167" s="58">
        <v>1</v>
      </c>
    </row>
    <row r="168" spans="1:11" x14ac:dyDescent="0.2">
      <c r="A168" t="str">
        <f ca="1">'Total Distance Tables'!A25</f>
        <v>Other Household Travel</v>
      </c>
      <c r="B168" s="58">
        <f ca="1">('Total Distance Tables Sup #1'!B179*'Updated Population'!B$158)/('Total Distance Tables Sup #1'!B168*1000000)</f>
        <v>1</v>
      </c>
      <c r="C168" s="58">
        <f ca="1">('Total Distance Tables Sup #1'!C179*'Updated Population'!C$158)/('Total Distance Tables Sup #1'!C168*1000000)</f>
        <v>0.9619218733073468</v>
      </c>
      <c r="D168" s="58">
        <f ca="1">('Total Distance Tables Sup #1'!D179*'Updated Population'!D$158)/('Total Distance Tables Sup #1'!D168*1000000)</f>
        <v>0.93250563004328579</v>
      </c>
      <c r="E168" s="58">
        <f ca="1">('Total Distance Tables Sup #1'!E179*'Updated Population'!E$158)/('Total Distance Tables Sup #1'!E168*1000000)</f>
        <v>0.91037407048897812</v>
      </c>
      <c r="F168" s="58">
        <f ca="1">('Total Distance Tables Sup #1'!F179*'Updated Population'!F$158)/('Total Distance Tables Sup #1'!F168*1000000)</f>
        <v>0.89050864143961217</v>
      </c>
      <c r="G168" s="58">
        <f ca="1">('Total Distance Tables Sup #1'!G179*'Updated Population'!G$158)/('Total Distance Tables Sup #1'!G168*1000000)</f>
        <v>0.87259612922414753</v>
      </c>
      <c r="H168" s="58">
        <f ca="1">('Total Distance Tables Sup #1'!H179*'Updated Population'!H$158)/('Total Distance Tables Sup #1'!H168*1000000)</f>
        <v>0.85592666203455592</v>
      </c>
      <c r="I168" s="58">
        <f ca="1">('Total Distance Tables Sup #1'!I179*'Updated Population'!I$158)/('Total Distance Tables Sup #1'!I168*1000000)</f>
        <v>0.83984997586564381</v>
      </c>
      <c r="J168" s="58">
        <f ca="1">('Total Distance Tables Sup #1'!J179*'Updated Population'!J$158)/('Total Distance Tables Sup #1'!J168*1000000)</f>
        <v>0.82434255079401697</v>
      </c>
      <c r="K168" s="58">
        <f ca="1">('Total Distance Tables Sup #1'!K179*'Updated Population'!K$158)/('Total Distance Tables Sup #1'!K168*1000000)</f>
        <v>0.80938188150748824</v>
      </c>
    </row>
    <row r="169" spans="1:11" x14ac:dyDescent="0.2">
      <c r="A169" t="s">
        <v>67</v>
      </c>
    </row>
    <row r="170" spans="1:11" x14ac:dyDescent="0.2">
      <c r="A170" t="s">
        <v>34</v>
      </c>
      <c r="B170" s="4">
        <f>'[1]Transition '!B$39</f>
        <v>0</v>
      </c>
      <c r="C170" s="4">
        <f>'[1]Transition '!C$39</f>
        <v>149.6667176390672</v>
      </c>
      <c r="D170" s="4">
        <f>'[1]Transition '!D$39</f>
        <v>479.09040598299362</v>
      </c>
      <c r="E170" s="56">
        <f>'[1]Transition '!E$39</f>
        <v>809.17631438213607</v>
      </c>
      <c r="F170" s="4">
        <f>'[1]Transition '!F$39</f>
        <v>970.39278933689013</v>
      </c>
      <c r="G170" s="4">
        <f>'[1]Transition '!G$39</f>
        <v>1134.7104900301629</v>
      </c>
      <c r="H170" s="4">
        <f>'[1]Transition '!H$39</f>
        <v>1300.4296097457241</v>
      </c>
      <c r="I170" s="1">
        <f>'[1]Transition '!I$39</f>
        <v>1464.9089669298294</v>
      </c>
      <c r="J170" s="1">
        <f>'[1]Transition '!J$39</f>
        <v>1640.9940580316547</v>
      </c>
      <c r="K170" s="1">
        <f>'[1]Transition '!K$39</f>
        <v>1837.4276023704674</v>
      </c>
    </row>
    <row r="171" spans="1:11" x14ac:dyDescent="0.2">
      <c r="A171" t="s">
        <v>41</v>
      </c>
      <c r="B171" s="4">
        <f>'[2]Transition '!B$39</f>
        <v>0</v>
      </c>
      <c r="C171" s="4">
        <f>'[2]Transition '!C$39</f>
        <v>1.8125443048732564</v>
      </c>
      <c r="D171" s="4">
        <f>'[2]Transition '!D$39</f>
        <v>24.583470168114673</v>
      </c>
      <c r="E171" s="4">
        <f>'[2]Transition '!E$39</f>
        <v>44.380066406277251</v>
      </c>
      <c r="F171" s="4">
        <f>'[2]Transition '!F$39</f>
        <v>64.240700271677611</v>
      </c>
      <c r="G171" s="4">
        <f>'[2]Transition '!G$39</f>
        <v>83.430739683517118</v>
      </c>
      <c r="H171" s="4">
        <f>'[2]Transition '!H$39</f>
        <v>104.39882007406368</v>
      </c>
      <c r="I171" s="1">
        <f>'[2]Transition '!I$39</f>
        <v>129.18791421694652</v>
      </c>
      <c r="J171" s="1">
        <f>'[2]Transition '!J$39</f>
        <v>156.51792000892442</v>
      </c>
      <c r="K171" s="1">
        <f>'[2]Transition '!K$39</f>
        <v>186.28048406112038</v>
      </c>
    </row>
    <row r="172" spans="1:11" x14ac:dyDescent="0.2">
      <c r="A172" t="s">
        <v>68</v>
      </c>
      <c r="B172" s="4"/>
      <c r="C172" s="4"/>
      <c r="D172" s="4"/>
      <c r="E172" s="4"/>
      <c r="F172" s="4"/>
      <c r="G172" s="4"/>
      <c r="H172" s="4"/>
      <c r="I172" s="1"/>
      <c r="J172" s="1"/>
      <c r="K172" s="1"/>
    </row>
    <row r="173" spans="1:11" x14ac:dyDescent="0.2">
      <c r="A173" t="s">
        <v>34</v>
      </c>
      <c r="B173" s="4">
        <f>'[1]Transition '!B$42</f>
        <v>0</v>
      </c>
      <c r="C173" s="4">
        <f>'[1]Transition '!C$42</f>
        <v>2.7920897337303359</v>
      </c>
      <c r="D173" s="4">
        <f>'[1]Transition '!D$42</f>
        <v>149.0547866152898</v>
      </c>
      <c r="E173" s="56">
        <f>'[1]Transition '!E$42</f>
        <v>291.99274191995642</v>
      </c>
      <c r="F173" s="4">
        <f>'[1]Transition '!F$42</f>
        <v>378.25025298041726</v>
      </c>
      <c r="G173" s="4">
        <f>'[1]Transition '!G$42</f>
        <v>464.60412008258197</v>
      </c>
      <c r="H173" s="4">
        <f>'[1]Transition '!H$42</f>
        <v>554.574613999897</v>
      </c>
      <c r="I173" s="1">
        <f>'[1]Transition '!I$42</f>
        <v>635.10085314243668</v>
      </c>
      <c r="J173" s="1">
        <f>'[1]Transition '!J$42</f>
        <v>722.18756261278156</v>
      </c>
      <c r="K173" s="1">
        <f>'[1]Transition '!K$42</f>
        <v>819.67549985521759</v>
      </c>
    </row>
    <row r="174" spans="1:11" x14ac:dyDescent="0.2">
      <c r="A174" t="s">
        <v>41</v>
      </c>
      <c r="B174" s="4">
        <f>'[2]Transition '!B$42</f>
        <v>0</v>
      </c>
      <c r="C174" s="4">
        <f>'[2]Transition '!C$42</f>
        <v>-0.45467703292075612</v>
      </c>
      <c r="D174" s="4">
        <f>'[2]Transition '!D$42</f>
        <v>17.199542166879439</v>
      </c>
      <c r="E174" s="4">
        <f>'[2]Transition '!E$42</f>
        <v>29.460659222508326</v>
      </c>
      <c r="F174" s="4">
        <f>'[2]Transition '!F$42</f>
        <v>34.226017684354559</v>
      </c>
      <c r="G174" s="4">
        <f>'[2]Transition '!G$42</f>
        <v>39.776190632410533</v>
      </c>
      <c r="H174" s="4">
        <f>'[2]Transition '!H$42</f>
        <v>46.279323381775384</v>
      </c>
      <c r="I174" s="1">
        <f>'[2]Transition '!I$42</f>
        <v>50.816708145982744</v>
      </c>
      <c r="J174" s="1">
        <f>'[2]Transition '!J$42</f>
        <v>56.04924435355656</v>
      </c>
      <c r="K174" s="1">
        <f>'[2]Transition '!K$42</f>
        <v>61.816529624469467</v>
      </c>
    </row>
    <row r="175" spans="1:11" x14ac:dyDescent="0.2">
      <c r="B175" s="4"/>
      <c r="C175" s="4"/>
      <c r="D175" s="4"/>
      <c r="E175" s="4"/>
      <c r="F175" s="4"/>
      <c r="G175" s="4"/>
      <c r="H175" s="4"/>
    </row>
    <row r="176" spans="1:11" x14ac:dyDescent="0.2">
      <c r="B176" s="4"/>
      <c r="C176" s="4"/>
      <c r="D176" s="4"/>
      <c r="E176" s="4"/>
      <c r="F176" s="4"/>
      <c r="G176" s="4"/>
      <c r="H176" s="4"/>
    </row>
    <row r="177" spans="2:8" x14ac:dyDescent="0.2">
      <c r="B177" s="4"/>
      <c r="C177" s="4"/>
      <c r="D177" s="4"/>
      <c r="E177" s="4"/>
      <c r="F177" s="4"/>
      <c r="G177" s="4"/>
      <c r="H177" s="4"/>
    </row>
    <row r="178" spans="2:8" x14ac:dyDescent="0.2">
      <c r="B178" s="4"/>
      <c r="C178" s="4"/>
      <c r="D178" s="4"/>
      <c r="E178" s="4"/>
      <c r="F178" s="4"/>
      <c r="G178" s="4"/>
      <c r="H178" s="4"/>
    </row>
    <row r="179" spans="2:8" x14ac:dyDescent="0.2">
      <c r="B179" s="4"/>
      <c r="C179" s="4"/>
      <c r="D179" s="4"/>
      <c r="E179" s="4"/>
      <c r="F179" s="4"/>
      <c r="G179" s="4"/>
      <c r="H179" s="4"/>
    </row>
    <row r="180" spans="2:8" x14ac:dyDescent="0.2">
      <c r="B180" s="4"/>
      <c r="C180" s="4"/>
      <c r="D180" s="4"/>
      <c r="E180" s="4"/>
      <c r="F180" s="4"/>
      <c r="G180" s="4"/>
      <c r="H180" s="4"/>
    </row>
    <row r="182" spans="2:8" x14ac:dyDescent="0.2">
      <c r="B182" s="4"/>
      <c r="C182" s="4"/>
      <c r="D182" s="4"/>
      <c r="E182" s="4"/>
      <c r="F182" s="4"/>
      <c r="G182" s="4"/>
      <c r="H182" s="4"/>
    </row>
    <row r="183" spans="2:8" x14ac:dyDescent="0.2">
      <c r="B183" s="4"/>
      <c r="C183" s="4"/>
      <c r="D183" s="4"/>
      <c r="E183" s="4"/>
      <c r="F183" s="4"/>
      <c r="G183" s="4"/>
      <c r="H183" s="4"/>
    </row>
    <row r="184" spans="2:8" x14ac:dyDescent="0.2">
      <c r="B184" s="4"/>
      <c r="C184" s="4"/>
      <c r="D184" s="4"/>
      <c r="E184" s="4"/>
      <c r="F184" s="4"/>
      <c r="G184" s="4"/>
      <c r="H184" s="4"/>
    </row>
    <row r="185" spans="2:8" x14ac:dyDescent="0.2">
      <c r="B185" s="4"/>
      <c r="C185" s="4"/>
      <c r="D185" s="4"/>
      <c r="E185" s="4"/>
      <c r="F185" s="4"/>
      <c r="G185" s="4"/>
      <c r="H185" s="4"/>
    </row>
    <row r="186" spans="2:8" x14ac:dyDescent="0.2">
      <c r="B186" s="4"/>
      <c r="C186" s="4"/>
      <c r="D186" s="4"/>
      <c r="E186" s="4"/>
      <c r="F186" s="4"/>
      <c r="G186" s="4"/>
      <c r="H186" s="4"/>
    </row>
    <row r="187" spans="2:8" x14ac:dyDescent="0.2">
      <c r="B187" s="4"/>
      <c r="C187" s="4"/>
      <c r="D187" s="4"/>
      <c r="E187" s="4"/>
      <c r="F187" s="4"/>
      <c r="G187" s="4"/>
      <c r="H187" s="4"/>
    </row>
    <row r="188" spans="2:8" x14ac:dyDescent="0.2">
      <c r="B188" s="4"/>
      <c r="C188" s="4"/>
      <c r="D188" s="4"/>
      <c r="E188" s="4"/>
      <c r="F188" s="4"/>
      <c r="G188" s="4"/>
      <c r="H188" s="4"/>
    </row>
    <row r="189" spans="2:8" x14ac:dyDescent="0.2">
      <c r="B189" s="4"/>
      <c r="C189" s="4"/>
      <c r="D189" s="4"/>
      <c r="E189" s="4"/>
      <c r="F189" s="4"/>
      <c r="G189" s="4"/>
      <c r="H189" s="4"/>
    </row>
    <row r="190" spans="2:8" x14ac:dyDescent="0.2">
      <c r="B190" s="4"/>
      <c r="C190" s="4"/>
      <c r="D190" s="4"/>
      <c r="E190" s="4"/>
      <c r="F190" s="4"/>
      <c r="G190" s="4"/>
      <c r="H190" s="4"/>
    </row>
    <row r="191" spans="2:8" x14ac:dyDescent="0.2">
      <c r="B191" s="4"/>
      <c r="C191" s="4"/>
      <c r="D191" s="4"/>
      <c r="E191" s="4"/>
      <c r="F191" s="4"/>
      <c r="G191" s="4"/>
      <c r="H191" s="4"/>
    </row>
    <row r="193" spans="2:8" x14ac:dyDescent="0.2">
      <c r="B193" s="4"/>
      <c r="C193" s="4"/>
      <c r="D193" s="4"/>
      <c r="E193" s="4"/>
      <c r="F193" s="4"/>
      <c r="G193" s="4"/>
      <c r="H193" s="4"/>
    </row>
    <row r="194" spans="2:8" x14ac:dyDescent="0.2">
      <c r="B194" s="4"/>
      <c r="C194" s="4"/>
      <c r="D194" s="4"/>
      <c r="E194" s="4"/>
      <c r="F194" s="4"/>
      <c r="G194" s="4"/>
      <c r="H194" s="4"/>
    </row>
    <row r="195" spans="2:8" x14ac:dyDescent="0.2">
      <c r="B195" s="4"/>
      <c r="C195" s="4"/>
      <c r="D195" s="4"/>
      <c r="E195" s="4"/>
      <c r="F195" s="4"/>
      <c r="G195" s="4"/>
      <c r="H195" s="4"/>
    </row>
    <row r="196" spans="2:8" x14ac:dyDescent="0.2">
      <c r="B196" s="4"/>
      <c r="C196" s="4"/>
      <c r="D196" s="4"/>
      <c r="E196" s="4"/>
      <c r="F196" s="4"/>
      <c r="G196" s="4"/>
      <c r="H196" s="4"/>
    </row>
    <row r="197" spans="2:8" x14ac:dyDescent="0.2">
      <c r="B197" s="4"/>
      <c r="C197" s="4"/>
      <c r="D197" s="4"/>
      <c r="E197" s="4"/>
      <c r="F197" s="4"/>
      <c r="G197" s="4"/>
      <c r="H197" s="4"/>
    </row>
    <row r="198" spans="2:8" x14ac:dyDescent="0.2">
      <c r="B198" s="4"/>
      <c r="C198" s="4"/>
      <c r="D198" s="4"/>
      <c r="E198" s="4"/>
      <c r="F198" s="4"/>
      <c r="G198" s="4"/>
      <c r="H198" s="4"/>
    </row>
    <row r="199" spans="2:8" x14ac:dyDescent="0.2">
      <c r="B199" s="4"/>
      <c r="C199" s="4"/>
      <c r="D199" s="4"/>
      <c r="E199" s="4"/>
      <c r="F199" s="4"/>
      <c r="G199" s="4"/>
      <c r="H199" s="4"/>
    </row>
    <row r="200" spans="2:8" x14ac:dyDescent="0.2">
      <c r="B200" s="4"/>
      <c r="C200" s="4"/>
      <c r="D200" s="4"/>
      <c r="E200" s="4"/>
      <c r="F200" s="4"/>
      <c r="G200" s="4"/>
      <c r="H200" s="4"/>
    </row>
    <row r="201" spans="2:8" x14ac:dyDescent="0.2">
      <c r="B201" s="4"/>
      <c r="C201" s="4"/>
      <c r="D201" s="4"/>
      <c r="E201" s="4"/>
      <c r="F201" s="4"/>
      <c r="G201" s="4"/>
      <c r="H201" s="4"/>
    </row>
    <row r="202" spans="2:8" x14ac:dyDescent="0.2">
      <c r="B202" s="4"/>
      <c r="C202" s="4"/>
      <c r="D202" s="4"/>
      <c r="E202" s="4"/>
      <c r="F202" s="4"/>
      <c r="G202" s="4"/>
      <c r="H202" s="4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T190"/>
  <sheetViews>
    <sheetView workbookViewId="0">
      <pane xSplit="1" ySplit="3" topLeftCell="B131" activePane="bottomRight" state="frozen"/>
      <selection pane="topRight" activeCell="B1" sqref="B1"/>
      <selection pane="bottomLeft" activeCell="A4" sqref="A4"/>
      <selection pane="bottomRight" activeCell="L23" sqref="L23"/>
    </sheetView>
  </sheetViews>
  <sheetFormatPr defaultRowHeight="12.75" x14ac:dyDescent="0.2"/>
  <cols>
    <col min="1" max="1" width="26.140625" customWidth="1"/>
  </cols>
  <sheetData>
    <row r="2" spans="1:11" x14ac:dyDescent="0.2">
      <c r="A2" s="3" t="s">
        <v>70</v>
      </c>
    </row>
    <row r="3" spans="1:11" x14ac:dyDescent="0.2">
      <c r="B3" t="str">
        <f ca="1">OFFSET('Formatted Trip Summary'!$A$4,0,1)</f>
        <v>2012/13</v>
      </c>
      <c r="C3" t="str">
        <f ca="1">OFFSET('Formatted Trip Summary'!$A$4,1,1)</f>
        <v>2017/18</v>
      </c>
      <c r="D3" t="str">
        <f ca="1">OFFSET('Formatted Trip Summary'!$A$4,2,1)</f>
        <v>2022/23</v>
      </c>
      <c r="E3" t="str">
        <f ca="1">OFFSET('Formatted Trip Summary'!$A$4,3,1)</f>
        <v>2027/28</v>
      </c>
      <c r="F3" t="str">
        <f ca="1">OFFSET('Formatted Trip Summary'!$A$4,4,1)</f>
        <v>2032/33</v>
      </c>
      <c r="G3" t="str">
        <f ca="1">OFFSET('Formatted Trip Summary'!$A$4,5,1)</f>
        <v>2037/38</v>
      </c>
      <c r="H3" t="str">
        <f ca="1">OFFSET('Formatted Trip Summary'!$A$4,6,1)</f>
        <v>2042/43</v>
      </c>
      <c r="I3" t="s">
        <v>120</v>
      </c>
      <c r="J3" t="s">
        <v>121</v>
      </c>
      <c r="K3" t="s">
        <v>122</v>
      </c>
    </row>
    <row r="4" spans="1:11" x14ac:dyDescent="0.2">
      <c r="A4" t="str">
        <f ca="1">OFFSET(Northland_Reference,0,0)</f>
        <v>01 NORTHLAND</v>
      </c>
    </row>
    <row r="5" spans="1:11" x14ac:dyDescent="0.2">
      <c r="A5" t="str">
        <f ca="1">OFFSET(Northland_Reference,0,2)</f>
        <v>Pedestrian</v>
      </c>
      <c r="B5" s="4">
        <f ca="1">OFFSET(Northland_Reference,0,6)</f>
        <v>17.849116999</v>
      </c>
      <c r="C5" s="4">
        <f ca="1">$B5*('Updated Population'!C$4/'Updated Population'!$B$4)*('Total Distance Tables Sup #1'!C170/'Total Distance Tables Sup #1'!$B170)</f>
        <v>18.981698018571429</v>
      </c>
      <c r="D5" s="4">
        <f ca="1">$B5*('Updated Population'!D$4/'Updated Population'!$B$4)*('Total Distance Tables Sup #1'!D170/'Total Distance Tables Sup #1'!$B170)</f>
        <v>19.595620856543928</v>
      </c>
      <c r="E5" s="4">
        <f ca="1">$B5*('Updated Population'!E$4/'Updated Population'!$B$4)*('Total Distance Tables Sup #1'!E170/'Total Distance Tables Sup #1'!$B170)</f>
        <v>19.972678641601746</v>
      </c>
      <c r="F5" s="4">
        <f ca="1">$B5*('Updated Population'!F$4/'Updated Population'!$B$4)*('Total Distance Tables Sup #1'!F170/'Total Distance Tables Sup #1'!$B170)</f>
        <v>20.111887339088934</v>
      </c>
      <c r="G5" s="4">
        <f ca="1">$B5*('Updated Population'!G$4/'Updated Population'!$B$4)*('Total Distance Tables Sup #1'!G170/'Total Distance Tables Sup #1'!$B170)</f>
        <v>20.190288184498868</v>
      </c>
      <c r="H5" s="4">
        <f ca="1">$B5*('Updated Population'!H$4/'Updated Population'!$B$4)*('Total Distance Tables Sup #1'!H170/'Total Distance Tables Sup #1'!$B170)</f>
        <v>20.162840796466874</v>
      </c>
      <c r="I5" s="1">
        <f ca="1">$B5*('Updated Population'!I$4/'Updated Population'!$B$4)*('Total Distance Tables Sup #1'!I170/'Total Distance Tables Sup #1'!$B170)</f>
        <v>20.258471043604864</v>
      </c>
      <c r="J5" s="1">
        <f ca="1">$B5*('Updated Population'!J$4/'Updated Population'!$B$4)*('Total Distance Tables Sup #1'!J170/'Total Distance Tables Sup #1'!$B170)</f>
        <v>20.289762799730816</v>
      </c>
      <c r="K5" s="1">
        <f ca="1">$B5*('Updated Population'!K$4/'Updated Population'!$B$4)*('Total Distance Tables Sup #1'!K170/'Total Distance Tables Sup #1'!$B170)</f>
        <v>20.277431527385055</v>
      </c>
    </row>
    <row r="6" spans="1:11" x14ac:dyDescent="0.2">
      <c r="A6" t="str">
        <f ca="1">OFFSET(Northland_Reference,7,2)</f>
        <v>Cyclist</v>
      </c>
      <c r="B6" s="4">
        <f ca="1">OFFSET(Northland_Reference,7,6)</f>
        <v>1.0072239942000001</v>
      </c>
      <c r="C6" s="4">
        <f ca="1">$B6*('Updated Population'!C$4/'Updated Population'!$B$4)*('Total Distance Tables Sup #1'!C171/'Total Distance Tables Sup #1'!$B171)</f>
        <v>1.1013974920615672</v>
      </c>
      <c r="D6" s="4">
        <f ca="1">$B6*('Updated Population'!D$4/'Updated Population'!$B$4)*('Total Distance Tables Sup #1'!D171/'Total Distance Tables Sup #1'!$B171)</f>
        <v>1.1468352707398786</v>
      </c>
      <c r="E6" s="4">
        <f ca="1">$B6*('Updated Population'!E$4/'Updated Population'!$B$4)*('Total Distance Tables Sup #1'!E171/'Total Distance Tables Sup #1'!$B171)</f>
        <v>1.1619712957727368</v>
      </c>
      <c r="F6" s="4">
        <f ca="1">$B6*('Updated Population'!F$4/'Updated Population'!$B$4)*('Total Distance Tables Sup #1'!F171/'Total Distance Tables Sup #1'!$B171)</f>
        <v>1.1867233337490657</v>
      </c>
      <c r="G6" s="4">
        <f ca="1">$B6*('Updated Population'!G$4/'Updated Population'!$B$4)*('Total Distance Tables Sup #1'!G171/'Total Distance Tables Sup #1'!$B171)</f>
        <v>1.2256937124987743</v>
      </c>
      <c r="H6" s="4">
        <f ca="1">$B6*('Updated Population'!H$4/'Updated Population'!$B$4)*('Total Distance Tables Sup #1'!H171/'Total Distance Tables Sup #1'!$B171)</f>
        <v>1.2611944226003664</v>
      </c>
      <c r="I6" s="1">
        <f ca="1">$B6*('Updated Population'!I$4/'Updated Population'!$B$4)*('Total Distance Tables Sup #1'!I171/'Total Distance Tables Sup #1'!$B171)</f>
        <v>1.2671761359680314</v>
      </c>
      <c r="J6" s="1">
        <f ca="1">$B6*('Updated Population'!J$4/'Updated Population'!$B$4)*('Total Distance Tables Sup #1'!J171/'Total Distance Tables Sup #1'!$B171)</f>
        <v>1.2691334488634614</v>
      </c>
      <c r="K6" s="1">
        <f ca="1">$B6*('Updated Population'!K$4/'Updated Population'!$B$4)*('Total Distance Tables Sup #1'!K171/'Total Distance Tables Sup #1'!$B171)</f>
        <v>1.268362122438627</v>
      </c>
    </row>
    <row r="7" spans="1:11" x14ac:dyDescent="0.2">
      <c r="A7" t="str">
        <f ca="1">OFFSET(Northland_Reference,14,2)</f>
        <v>Light Vehicle Driver</v>
      </c>
      <c r="B7" s="4">
        <f ca="1">OFFSET(Northland_Reference,14,6)</f>
        <v>1011.4273062</v>
      </c>
      <c r="C7" s="4">
        <f ca="1">$B7*('Updated Population'!C$4/'Updated Population'!$B$4)*('Total Distance Tables Sup #1'!C172/'Total Distance Tables Sup #1'!$B172)</f>
        <v>1111.5797796872866</v>
      </c>
      <c r="D7" s="4">
        <f ca="1">$B7*('Updated Population'!D$4/'Updated Population'!$B$4)*('Total Distance Tables Sup #1'!D172/'Total Distance Tables Sup #1'!$B172)</f>
        <v>1171.5072927936478</v>
      </c>
      <c r="E7" s="4">
        <f ca="1">$B7*('Updated Population'!E$4/'Updated Population'!$B$4)*('Total Distance Tables Sup #1'!E172/'Total Distance Tables Sup #1'!$B172)</f>
        <v>1206.3638456119684</v>
      </c>
      <c r="F7" s="4">
        <f ca="1">$B7*('Updated Population'!F$4/'Updated Population'!$B$4)*('Total Distance Tables Sup #1'!F172/'Total Distance Tables Sup #1'!$B172)</f>
        <v>1233.7777348256745</v>
      </c>
      <c r="G7" s="4">
        <f ca="1">$B7*('Updated Population'!G$4/'Updated Population'!$B$4)*('Total Distance Tables Sup #1'!G172/'Total Distance Tables Sup #1'!$B172)</f>
        <v>1248.6278469797523</v>
      </c>
      <c r="H7" s="4">
        <f ca="1">$B7*('Updated Population'!H$4/'Updated Population'!$B$4)*('Total Distance Tables Sup #1'!H172/'Total Distance Tables Sup #1'!$B172)</f>
        <v>1257.66863481459</v>
      </c>
      <c r="I7" s="1">
        <f ca="1">$B7*('Updated Population'!I$4/'Updated Population'!$B$4)*('Total Distance Tables Sup #1'!I172/'Total Distance Tables Sup #1'!$B172)</f>
        <v>1263.633625739187</v>
      </c>
      <c r="J7" s="1">
        <f ca="1">$B7*('Updated Population'!J$4/'Updated Population'!$B$4)*('Total Distance Tables Sup #1'!J172/'Total Distance Tables Sup #1'!$B172)</f>
        <v>1265.5854667820811</v>
      </c>
      <c r="K7" s="1">
        <f ca="1">$B7*('Updated Population'!K$4/'Updated Population'!$B$4)*('Total Distance Tables Sup #1'!K172/'Total Distance Tables Sup #1'!$B172)</f>
        <v>1264.8162966729096</v>
      </c>
    </row>
    <row r="8" spans="1:11" x14ac:dyDescent="0.2">
      <c r="A8" t="str">
        <f ca="1">OFFSET(Northland_Reference,21,2)</f>
        <v>Light Vehicle Passenger</v>
      </c>
      <c r="B8" s="4">
        <f ca="1">OFFSET(Northland_Reference,21,6)</f>
        <v>666.23785996000004</v>
      </c>
      <c r="C8" s="4">
        <f ca="1">$B8*('Updated Population'!C$4/'Updated Population'!$B$4)*('Total Distance Tables Sup #1'!C173/'Total Distance Tables Sup #1'!$B173)</f>
        <v>701.27367672195214</v>
      </c>
      <c r="D8" s="4">
        <f ca="1">$B8*('Updated Population'!D$4/'Updated Population'!$B$4)*('Total Distance Tables Sup #1'!D173/'Total Distance Tables Sup #1'!$B173)</f>
        <v>720.85331913282039</v>
      </c>
      <c r="E8" s="4">
        <f ca="1">$B8*('Updated Population'!E$4/'Updated Population'!$B$4)*('Total Distance Tables Sup #1'!E173/'Total Distance Tables Sup #1'!$B173)</f>
        <v>731.18776147412791</v>
      </c>
      <c r="F8" s="4">
        <f ca="1">$B8*('Updated Population'!F$4/'Updated Population'!$B$4)*('Total Distance Tables Sup #1'!F173/'Total Distance Tables Sup #1'!$B173)</f>
        <v>735.30982717498284</v>
      </c>
      <c r="G8" s="4">
        <f ca="1">$B8*('Updated Population'!G$4/'Updated Population'!$B$4)*('Total Distance Tables Sup #1'!G173/'Total Distance Tables Sup #1'!$B173)</f>
        <v>735.10506954609343</v>
      </c>
      <c r="H8" s="4">
        <f ca="1">$B8*('Updated Population'!H$4/'Updated Population'!$B$4)*('Total Distance Tables Sup #1'!H173/'Total Distance Tables Sup #1'!$B173)</f>
        <v>730.71670563517841</v>
      </c>
      <c r="I8" s="1">
        <f ca="1">$B8*('Updated Population'!I$4/'Updated Population'!$B$4)*('Total Distance Tables Sup #1'!I173/'Total Distance Tables Sup #1'!$B173)</f>
        <v>734.18241861943181</v>
      </c>
      <c r="J8" s="1">
        <f ca="1">$B8*('Updated Population'!J$4/'Updated Population'!$B$4)*('Total Distance Tables Sup #1'!J173/'Total Distance Tables Sup #1'!$B173)</f>
        <v>735.31645569192131</v>
      </c>
      <c r="K8" s="1">
        <f ca="1">$B8*('Updated Population'!K$4/'Updated Population'!$B$4)*('Total Distance Tables Sup #1'!K173/'Total Distance Tables Sup #1'!$B173)</f>
        <v>734.86956099113263</v>
      </c>
    </row>
    <row r="9" spans="1:11" x14ac:dyDescent="0.2">
      <c r="A9" t="str">
        <f ca="1">OFFSET(Northland_Reference,28,2)</f>
        <v>Taxi/Vehicle Share</v>
      </c>
      <c r="B9" s="4">
        <f ca="1">OFFSET(Northland_Reference,28,6)</f>
        <v>0.75976041549999995</v>
      </c>
      <c r="C9" s="4">
        <f ca="1">$B9*('Updated Population'!C$4/'Updated Population'!$B$4)*('Total Distance Tables Sup #1'!C174/'Total Distance Tables Sup #1'!$B174)</f>
        <v>0.8736805995369743</v>
      </c>
      <c r="D9" s="4">
        <f ca="1">$B9*('Updated Population'!D$4/'Updated Population'!$B$4)*('Total Distance Tables Sup #1'!D174/'Total Distance Tables Sup #1'!$B174)</f>
        <v>0.97191671018485637</v>
      </c>
      <c r="E9" s="4">
        <f ca="1">$B9*('Updated Population'!E$4/'Updated Population'!$B$4)*('Total Distance Tables Sup #1'!E174/'Total Distance Tables Sup #1'!$B174)</f>
        <v>1.0604072988207618</v>
      </c>
      <c r="F9" s="4">
        <f ca="1">$B9*('Updated Population'!F$4/'Updated Population'!$B$4)*('Total Distance Tables Sup #1'!F174/'Total Distance Tables Sup #1'!$B174)</f>
        <v>1.1364402846700454</v>
      </c>
      <c r="G9" s="4">
        <f ca="1">$B9*('Updated Population'!G$4/'Updated Population'!$B$4)*('Total Distance Tables Sup #1'!G174/'Total Distance Tables Sup #1'!$B174)</f>
        <v>1.195510160351233</v>
      </c>
      <c r="H9" s="4">
        <f ca="1">$B9*('Updated Population'!H$4/'Updated Population'!$B$4)*('Total Distance Tables Sup #1'!H174/'Total Distance Tables Sup #1'!$B174)</f>
        <v>1.2502582362637993</v>
      </c>
      <c r="I9" s="1">
        <f ca="1">$B9*('Updated Population'!I$4/'Updated Population'!$B$4)*('Total Distance Tables Sup #1'!I174/'Total Distance Tables Sup #1'!$B174)</f>
        <v>1.2561880804423617</v>
      </c>
      <c r="J9" s="1">
        <f ca="1">$B9*('Updated Population'!J$4/'Updated Population'!$B$4)*('Total Distance Tables Sup #1'!J174/'Total Distance Tables Sup #1'!$B174)</f>
        <v>1.258128420904232</v>
      </c>
      <c r="K9" s="1">
        <f ca="1">$B9*('Updated Population'!K$4/'Updated Population'!$B$4)*('Total Distance Tables Sup #1'!K174/'Total Distance Tables Sup #1'!$B174)</f>
        <v>1.2573637828768067</v>
      </c>
    </row>
    <row r="10" spans="1:11" x14ac:dyDescent="0.2">
      <c r="A10" t="str">
        <f ca="1">OFFSET(Northland_Reference,35,2)</f>
        <v>Motorcyclist</v>
      </c>
      <c r="B10" s="4">
        <f ca="1">OFFSET(Northland_Reference,35,6)</f>
        <v>9.2423909657000003</v>
      </c>
      <c r="C10" s="4">
        <f ca="1">$B10*('Updated Population'!C$4/'Updated Population'!$B$4)*('Total Distance Tables Sup #1'!C175/'Total Distance Tables Sup #1'!$B175)</f>
        <v>10.054857409837249</v>
      </c>
      <c r="D10" s="4">
        <f ca="1">$B10*('Updated Population'!D$4/'Updated Population'!$B$4)*('Total Distance Tables Sup #1'!D175/'Total Distance Tables Sup #1'!$B175)</f>
        <v>10.493766397840535</v>
      </c>
      <c r="E10" s="4">
        <f ca="1">$B10*('Updated Population'!E$4/'Updated Population'!$B$4)*('Total Distance Tables Sup #1'!E175/'Total Distance Tables Sup #1'!$B175)</f>
        <v>10.547558189840979</v>
      </c>
      <c r="F10" s="4">
        <f ca="1">$B10*('Updated Population'!F$4/'Updated Population'!$B$4)*('Total Distance Tables Sup #1'!F175/'Total Distance Tables Sup #1'!$B175)</f>
        <v>10.480288957903719</v>
      </c>
      <c r="G10" s="4">
        <f ca="1">$B10*('Updated Population'!G$4/'Updated Population'!$B$4)*('Total Distance Tables Sup #1'!G175/'Total Distance Tables Sup #1'!$B175)</f>
        <v>10.226476814726329</v>
      </c>
      <c r="H10" s="4">
        <f ca="1">$B10*('Updated Population'!H$4/'Updated Population'!$B$4)*('Total Distance Tables Sup #1'!H175/'Total Distance Tables Sup #1'!$B175)</f>
        <v>9.9201928732730682</v>
      </c>
      <c r="I10" s="1">
        <f ca="1">$B10*('Updated Population'!I$4/'Updated Population'!$B$4)*('Total Distance Tables Sup #1'!I175/'Total Distance Tables Sup #1'!$B175)</f>
        <v>9.9672433115373948</v>
      </c>
      <c r="J10" s="1">
        <f ca="1">$B10*('Updated Population'!J$4/'Updated Population'!$B$4)*('Total Distance Tables Sup #1'!J175/'Total Distance Tables Sup #1'!$B175)</f>
        <v>9.982638972260327</v>
      </c>
      <c r="K10" s="1">
        <f ca="1">$B10*('Updated Population'!K$4/'Updated Population'!$B$4)*('Total Distance Tables Sup #1'!K175/'Total Distance Tables Sup #1'!$B175)</f>
        <v>9.9765719402742263</v>
      </c>
    </row>
    <row r="11" spans="1:11" x14ac:dyDescent="0.2">
      <c r="A11" t="str">
        <f ca="1">OFFSET(Auckland_Reference,42,2)</f>
        <v>Local Train</v>
      </c>
      <c r="B11" s="4">
        <v>0</v>
      </c>
      <c r="C11" s="4">
        <f ca="1">$B11*('Updated Population'!C$4/'Updated Population'!$B$4)*('Total Distance Tables Sup #1'!C176/'Total Distance Tables Sup #1'!$B176)</f>
        <v>0</v>
      </c>
      <c r="D11" s="4">
        <f ca="1">$B11*('Updated Population'!D$4/'Updated Population'!$B$4)*('Total Distance Tables Sup #1'!D176/'Total Distance Tables Sup #1'!$B176)</f>
        <v>0</v>
      </c>
      <c r="E11" s="4">
        <f ca="1">$B11*('Updated Population'!E$4/'Updated Population'!$B$4)*('Total Distance Tables Sup #1'!E176/'Total Distance Tables Sup #1'!$B176)</f>
        <v>0</v>
      </c>
      <c r="F11" s="4">
        <f ca="1">$B11*('Updated Population'!F$4/'Updated Population'!$B$4)*('Total Distance Tables Sup #1'!F176/'Total Distance Tables Sup #1'!$B176)</f>
        <v>0</v>
      </c>
      <c r="G11" s="4">
        <f ca="1">$B11*('Updated Population'!G$4/'Updated Population'!$B$4)*('Total Distance Tables Sup #1'!G176/'Total Distance Tables Sup #1'!$B176)</f>
        <v>0</v>
      </c>
      <c r="H11" s="4">
        <f ca="1">$B11*('Updated Population'!H$4/'Updated Population'!$B$4)*('Total Distance Tables Sup #1'!H176/'Total Distance Tables Sup #1'!$B176)</f>
        <v>0</v>
      </c>
      <c r="I11" s="1">
        <f ca="1">$B11*('Updated Population'!I$4/'Updated Population'!$B$4)*('Total Distance Tables Sup #1'!I176/'Total Distance Tables Sup #1'!$B176)</f>
        <v>0</v>
      </c>
      <c r="J11" s="1">
        <f ca="1">$B11*('Updated Population'!J$4/'Updated Population'!$B$4)*('Total Distance Tables Sup #1'!J176/'Total Distance Tables Sup #1'!$B176)</f>
        <v>0</v>
      </c>
      <c r="K11" s="1">
        <f ca="1">$B11*('Updated Population'!K$4/'Updated Population'!$B$4)*('Total Distance Tables Sup #1'!K176/'Total Distance Tables Sup #1'!$B176)</f>
        <v>0</v>
      </c>
    </row>
    <row r="12" spans="1:11" x14ac:dyDescent="0.2">
      <c r="A12" t="str">
        <f ca="1">OFFSET(Northland_Reference,42,2)</f>
        <v>Local Bus</v>
      </c>
      <c r="B12" s="4">
        <f ca="1">OFFSET(Northland_Reference,42,6)</f>
        <v>44.734594063999999</v>
      </c>
      <c r="C12" s="4">
        <f ca="1">$B12*('Updated Population'!C$4/'Updated Population'!$B$4)*('Total Distance Tables Sup #1'!C177/'Total Distance Tables Sup #1'!$B177)</f>
        <v>43.631017891416455</v>
      </c>
      <c r="D12" s="4">
        <f ca="1">$B12*('Updated Population'!D$4/'Updated Population'!$B$4)*('Total Distance Tables Sup #1'!D177/'Total Distance Tables Sup #1'!$B177)</f>
        <v>42.804729428971001</v>
      </c>
      <c r="E12" s="4">
        <f ca="1">$B12*('Updated Population'!E$4/'Updated Population'!$B$4)*('Total Distance Tables Sup #1'!E177/'Total Distance Tables Sup #1'!$B177)</f>
        <v>42.092971653052622</v>
      </c>
      <c r="F12" s="4">
        <f ca="1">$B12*('Updated Population'!F$4/'Updated Population'!$B$4)*('Total Distance Tables Sup #1'!F177/'Total Distance Tables Sup #1'!$B177)</f>
        <v>40.675549010999752</v>
      </c>
      <c r="G12" s="4">
        <f ca="1">$B12*('Updated Population'!G$4/'Updated Population'!$B$4)*('Total Distance Tables Sup #1'!G177/'Total Distance Tables Sup #1'!$B177)</f>
        <v>39.715280495269447</v>
      </c>
      <c r="H12" s="4">
        <f ca="1">$B12*('Updated Population'!H$4/'Updated Population'!$B$4)*('Total Distance Tables Sup #1'!H177/'Total Distance Tables Sup #1'!$B177)</f>
        <v>38.562989160893451</v>
      </c>
      <c r="I12" s="1">
        <f ca="1">$B12*('Updated Population'!I$4/'Updated Population'!$B$4)*('Total Distance Tables Sup #1'!I177/'Total Distance Tables Sup #1'!$B177)</f>
        <v>38.745889389143137</v>
      </c>
      <c r="J12" s="1">
        <f ca="1">$B12*('Updated Population'!J$4/'Updated Population'!$B$4)*('Total Distance Tables Sup #1'!J177/'Total Distance Tables Sup #1'!$B177)</f>
        <v>38.805737287784581</v>
      </c>
      <c r="K12" s="1">
        <f ca="1">$B12*('Updated Population'!K$4/'Updated Population'!$B$4)*('Total Distance Tables Sup #1'!K177/'Total Distance Tables Sup #1'!$B177)</f>
        <v>38.782152777714302</v>
      </c>
    </row>
    <row r="13" spans="1:11" x14ac:dyDescent="0.2">
      <c r="A13" t="str">
        <f ca="1">OFFSET(Northland_Reference,49,2)</f>
        <v>Local Ferry</v>
      </c>
      <c r="B13" s="4">
        <f ca="1">OFFSET(Northland_Reference,49,6)</f>
        <v>0</v>
      </c>
      <c r="C13" s="4">
        <f ca="1">$B13*('Updated Population'!C$4/'Updated Population'!$B$4)*('Total Distance Tables Sup #1'!C178/'Total Distance Tables Sup #1'!$B178)</f>
        <v>0</v>
      </c>
      <c r="D13" s="4">
        <f ca="1">$B13*('Updated Population'!D$4/'Updated Population'!$B$4)*('Total Distance Tables Sup #1'!D178/'Total Distance Tables Sup #1'!$B178)</f>
        <v>0</v>
      </c>
      <c r="E13" s="4">
        <f ca="1">$B13*('Updated Population'!E$4/'Updated Population'!$B$4)*('Total Distance Tables Sup #1'!E178/'Total Distance Tables Sup #1'!$B178)</f>
        <v>0</v>
      </c>
      <c r="F13" s="4">
        <f ca="1">$B13*('Updated Population'!F$4/'Updated Population'!$B$4)*('Total Distance Tables Sup #1'!F178/'Total Distance Tables Sup #1'!$B178)</f>
        <v>0</v>
      </c>
      <c r="G13" s="4">
        <f ca="1">$B13*('Updated Population'!G$4/'Updated Population'!$B$4)*('Total Distance Tables Sup #1'!G178/'Total Distance Tables Sup #1'!$B178)</f>
        <v>0</v>
      </c>
      <c r="H13" s="4">
        <f ca="1">$B13*('Updated Population'!H$4/'Updated Population'!$B$4)*('Total Distance Tables Sup #1'!H178/'Total Distance Tables Sup #1'!$B178)</f>
        <v>0</v>
      </c>
      <c r="I13" s="1">
        <f ca="1">$B13*('Updated Population'!I$4/'Updated Population'!$B$4)*('Total Distance Tables Sup #1'!I178/'Total Distance Tables Sup #1'!$B178)</f>
        <v>0</v>
      </c>
      <c r="J13" s="1">
        <f ca="1">$B13*('Updated Population'!J$4/'Updated Population'!$B$4)*('Total Distance Tables Sup #1'!J178/'Total Distance Tables Sup #1'!$B178)</f>
        <v>0</v>
      </c>
      <c r="K13" s="1">
        <f ca="1">$B13*('Updated Population'!K$4/'Updated Population'!$B$4)*('Total Distance Tables Sup #1'!K178/'Total Distance Tables Sup #1'!$B178)</f>
        <v>0</v>
      </c>
    </row>
    <row r="14" spans="1:11" x14ac:dyDescent="0.2">
      <c r="A14" t="str">
        <f ca="1">OFFSET(Northland_Reference,56,2)</f>
        <v>Other Household Travel</v>
      </c>
      <c r="B14" s="4">
        <f ca="1">OFFSET(Northland_Reference,56,6)</f>
        <v>0</v>
      </c>
      <c r="C14" s="4">
        <f ca="1">$B14*('Updated Population'!C$4/'Updated Population'!$B$4)*('Total Distance Tables Sup #1'!C179/'Total Distance Tables Sup #1'!$B179)</f>
        <v>0</v>
      </c>
      <c r="D14" s="4">
        <f ca="1">$B14*('Updated Population'!D$4/'Updated Population'!$B$4)*('Total Distance Tables Sup #1'!D179/'Total Distance Tables Sup #1'!$B179)</f>
        <v>0</v>
      </c>
      <c r="E14" s="4">
        <f ca="1">$B14*('Updated Population'!E$4/'Updated Population'!$B$4)*('Total Distance Tables Sup #1'!E179/'Total Distance Tables Sup #1'!$B179)</f>
        <v>0</v>
      </c>
      <c r="F14" s="4">
        <f ca="1">$B14*('Updated Population'!F$4/'Updated Population'!$B$4)*('Total Distance Tables Sup #1'!F179/'Total Distance Tables Sup #1'!$B179)</f>
        <v>0</v>
      </c>
      <c r="G14" s="4">
        <f ca="1">$B14*('Updated Population'!G$4/'Updated Population'!$B$4)*('Total Distance Tables Sup #1'!G179/'Total Distance Tables Sup #1'!$B179)</f>
        <v>0</v>
      </c>
      <c r="H14" s="4">
        <f ca="1">$B14*('Updated Population'!H$4/'Updated Population'!$B$4)*('Total Distance Tables Sup #1'!H179/'Total Distance Tables Sup #1'!$B179)</f>
        <v>0</v>
      </c>
      <c r="I14" s="1">
        <f ca="1">$B14*('Updated Population'!I$4/'Updated Population'!$B$4)*('Total Distance Tables Sup #1'!I179/'Total Distance Tables Sup #1'!$B179)</f>
        <v>0</v>
      </c>
      <c r="J14" s="1">
        <f ca="1">$B14*('Updated Population'!J$4/'Updated Population'!$B$4)*('Total Distance Tables Sup #1'!J179/'Total Distance Tables Sup #1'!$B179)</f>
        <v>0</v>
      </c>
      <c r="K14" s="1">
        <f ca="1">$B14*('Updated Population'!K$4/'Updated Population'!$B$4)*('Total Distance Tables Sup #1'!K179/'Total Distance Tables Sup #1'!$B179)</f>
        <v>0</v>
      </c>
    </row>
    <row r="15" spans="1:11" x14ac:dyDescent="0.2">
      <c r="A15" t="str">
        <f ca="1">OFFSET(Auckland_Reference,0,0)</f>
        <v>02 AUCKLAND</v>
      </c>
      <c r="I15" s="1"/>
      <c r="J15" s="1"/>
      <c r="K15" s="1"/>
    </row>
    <row r="16" spans="1:11" x14ac:dyDescent="0.2">
      <c r="A16" t="str">
        <f ca="1">OFFSET(Auckland_Reference,0,2)</f>
        <v>Pedestrian</v>
      </c>
      <c r="B16" s="4">
        <f ca="1">OFFSET(Auckland_Reference,0,6)</f>
        <v>294.55939388000002</v>
      </c>
      <c r="C16" s="4">
        <f ca="1">$B16*('Updated Population'!C$15/'Updated Population'!$B$15)*('Total Distance Tables Sup #1'!C170/'Total Distance Tables Sup #1'!$B170)</f>
        <v>333.5268769913302</v>
      </c>
      <c r="D16" s="4">
        <f ca="1">$B16*('Updated Population'!D$15/'Updated Population'!$B$15)*('Total Distance Tables Sup #1'!D170/'Total Distance Tables Sup #1'!$B170)</f>
        <v>361.80768844730159</v>
      </c>
      <c r="E16" s="4">
        <f ca="1">$B16*('Updated Population'!E$15/'Updated Population'!$B$15)*('Total Distance Tables Sup #1'!E170/'Total Distance Tables Sup #1'!$B170)</f>
        <v>383.62003862505628</v>
      </c>
      <c r="F16" s="4">
        <f ca="1">$B16*('Updated Population'!F$15/'Updated Population'!$B$15)*('Total Distance Tables Sup #1'!F170/'Total Distance Tables Sup #1'!$B170)</f>
        <v>401.64999573777357</v>
      </c>
      <c r="G16" s="4">
        <f ca="1">$B16*('Updated Population'!G$15/'Updated Population'!$B$15)*('Total Distance Tables Sup #1'!G170/'Total Distance Tables Sup #1'!$B170)</f>
        <v>418.69507948268239</v>
      </c>
      <c r="H16" s="4">
        <f ca="1">$B16*('Updated Population'!H$15/'Updated Population'!$B$15)*('Total Distance Tables Sup #1'!H170/'Total Distance Tables Sup #1'!$B170)</f>
        <v>434.03641888558428</v>
      </c>
      <c r="I16" s="1">
        <f ca="1">$B16*('Updated Population'!I$15/'Updated Population'!$B$15)*('Total Distance Tables Sup #1'!I170/'Total Distance Tables Sup #1'!$B170)</f>
        <v>452.6892974342021</v>
      </c>
      <c r="J16" s="1">
        <f ca="1">$B16*('Updated Population'!J$15/'Updated Population'!$B$15)*('Total Distance Tables Sup #1'!J170/'Total Distance Tables Sup #1'!$B170)</f>
        <v>470.64087542516688</v>
      </c>
      <c r="K16" s="1">
        <f ca="1">$B16*('Updated Population'!K$15/'Updated Population'!$B$15)*('Total Distance Tables Sup #1'!K170/'Total Distance Tables Sup #1'!$B170)</f>
        <v>488.25278392659749</v>
      </c>
    </row>
    <row r="17" spans="1:11" x14ac:dyDescent="0.2">
      <c r="A17" t="str">
        <f ca="1">OFFSET(Auckland_Reference,7,2)</f>
        <v>Cyclist</v>
      </c>
      <c r="B17" s="4">
        <f ca="1">OFFSET(Auckland_Reference,7,6)</f>
        <v>55.843008154000003</v>
      </c>
      <c r="C17" s="4">
        <f ca="1">$B17*('Updated Population'!C$15/'Updated Population'!$B$15)*('Total Distance Tables Sup #1'!C171/'Total Distance Tables Sup #1'!$B171)</f>
        <v>65.016930293773001</v>
      </c>
      <c r="D17" s="4">
        <f ca="1">$B17*('Updated Population'!D$15/'Updated Population'!$B$15)*('Total Distance Tables Sup #1'!D171/'Total Distance Tables Sup #1'!$B171)</f>
        <v>71.138778730336</v>
      </c>
      <c r="E17" s="4">
        <f ca="1">$B17*('Updated Population'!E$15/'Updated Population'!$B$15)*('Total Distance Tables Sup #1'!E171/'Total Distance Tables Sup #1'!$B171)</f>
        <v>74.980264968893408</v>
      </c>
      <c r="F17" s="4">
        <f ca="1">$B17*('Updated Population'!F$15/'Updated Population'!$B$15)*('Total Distance Tables Sup #1'!F171/'Total Distance Tables Sup #1'!$B171)</f>
        <v>79.6216221704547</v>
      </c>
      <c r="G17" s="4">
        <f ca="1">$B17*('Updated Population'!G$15/'Updated Population'!$B$15)*('Total Distance Tables Sup #1'!G171/'Total Distance Tables Sup #1'!$B171)</f>
        <v>85.393319867988737</v>
      </c>
      <c r="H17" s="4">
        <f ca="1">$B17*('Updated Population'!H$15/'Updated Population'!$B$15)*('Total Distance Tables Sup #1'!H171/'Total Distance Tables Sup #1'!$B171)</f>
        <v>91.210133774061646</v>
      </c>
      <c r="I17" s="1">
        <f ca="1">$B17*('Updated Population'!I$15/'Updated Population'!$B$15)*('Total Distance Tables Sup #1'!I171/'Total Distance Tables Sup #1'!$B171)</f>
        <v>95.129923620404554</v>
      </c>
      <c r="J17" s="1">
        <f ca="1">$B17*('Updated Population'!J$15/'Updated Population'!$B$15)*('Total Distance Tables Sup #1'!J171/'Total Distance Tables Sup #1'!$B171)</f>
        <v>98.902339387301339</v>
      </c>
      <c r="K17" s="1">
        <f ca="1">$B17*('Updated Population'!K$15/'Updated Population'!$B$15)*('Total Distance Tables Sup #1'!K171/'Total Distance Tables Sup #1'!$B171)</f>
        <v>102.60337566106959</v>
      </c>
    </row>
    <row r="18" spans="1:11" x14ac:dyDescent="0.2">
      <c r="A18" t="str">
        <f ca="1">OFFSET(Auckland_Reference,14,2)</f>
        <v>Light Vehicle Driver</v>
      </c>
      <c r="B18" s="4">
        <f ca="1">OFFSET(Auckland_Reference,14,6)</f>
        <v>9374.4733825999992</v>
      </c>
      <c r="C18" s="4">
        <f ca="1">$B18*('Updated Population'!C$15/'Updated Population'!$B$15)*('Total Distance Tables Sup #1'!C172/'Total Distance Tables Sup #1'!$B172)</f>
        <v>10969.642642936304</v>
      </c>
      <c r="D18" s="4">
        <f ca="1">$B18*('Updated Population'!D$15/'Updated Population'!$B$15)*('Total Distance Tables Sup #1'!D172/'Total Distance Tables Sup #1'!$B172)</f>
        <v>12148.420741859843</v>
      </c>
      <c r="E18" s="4">
        <f ca="1">$B18*('Updated Population'!E$15/'Updated Population'!$B$15)*('Total Distance Tables Sup #1'!E172/'Total Distance Tables Sup #1'!$B172)</f>
        <v>13013.656768364963</v>
      </c>
      <c r="F18" s="4">
        <f ca="1">$B18*('Updated Population'!F$15/'Updated Population'!$B$15)*('Total Distance Tables Sup #1'!F172/'Total Distance Tables Sup #1'!$B172)</f>
        <v>13838.465404928456</v>
      </c>
      <c r="G18" s="4">
        <f ca="1">$B18*('Updated Population'!G$15/'Updated Population'!$B$15)*('Total Distance Tables Sup #1'!G172/'Total Distance Tables Sup #1'!$B172)</f>
        <v>14542.679074542899</v>
      </c>
      <c r="H18" s="4">
        <f ca="1">$B18*('Updated Population'!H$15/'Updated Population'!$B$15)*('Total Distance Tables Sup #1'!H172/'Total Distance Tables Sup #1'!$B172)</f>
        <v>15205.36134800935</v>
      </c>
      <c r="I18" s="1">
        <f ca="1">$B18*('Updated Population'!I$15/'Updated Population'!$B$15)*('Total Distance Tables Sup #1'!I172/'Total Distance Tables Sup #1'!$B172)</f>
        <v>15858.817477890081</v>
      </c>
      <c r="J18" s="1">
        <f ca="1">$B18*('Updated Population'!J$15/'Updated Population'!$B$15)*('Total Distance Tables Sup #1'!J172/'Total Distance Tables Sup #1'!$B172)</f>
        <v>16487.705327486743</v>
      </c>
      <c r="K18" s="1">
        <f ca="1">$B18*('Updated Population'!K$15/'Updated Population'!$B$15)*('Total Distance Tables Sup #1'!K172/'Total Distance Tables Sup #1'!$B172)</f>
        <v>17104.693720949006</v>
      </c>
    </row>
    <row r="19" spans="1:11" x14ac:dyDescent="0.2">
      <c r="A19" t="str">
        <f ca="1">OFFSET(Auckland_Reference,21,2)</f>
        <v>Light Vehicle Passenger</v>
      </c>
      <c r="B19" s="4">
        <f ca="1">OFFSET(Auckland_Reference,21,6)</f>
        <v>4814.6436660999998</v>
      </c>
      <c r="C19" s="4">
        <f ca="1">$B19*('Updated Population'!C$15/'Updated Population'!$B$15)*('Total Distance Tables Sup #1'!C173/'Total Distance Tables Sup #1'!$B173)</f>
        <v>5395.8766738102095</v>
      </c>
      <c r="D19" s="4">
        <f ca="1">$B19*('Updated Population'!D$15/'Updated Population'!$B$15)*('Total Distance Tables Sup #1'!D173/'Total Distance Tables Sup #1'!$B173)</f>
        <v>5828.3331272245996</v>
      </c>
      <c r="E19" s="4">
        <f ca="1">$B19*('Updated Population'!E$15/'Updated Population'!$B$15)*('Total Distance Tables Sup #1'!E173/'Total Distance Tables Sup #1'!$B173)</f>
        <v>6149.9641574722355</v>
      </c>
      <c r="F19" s="4">
        <f ca="1">$B19*('Updated Population'!F$15/'Updated Population'!$B$15)*('Total Distance Tables Sup #1'!F173/'Total Distance Tables Sup #1'!$B173)</f>
        <v>6430.489152808289</v>
      </c>
      <c r="G19" s="4">
        <f ca="1">$B19*('Updated Population'!G$15/'Updated Population'!$B$15)*('Total Distance Tables Sup #1'!G173/'Total Distance Tables Sup #1'!$B173)</f>
        <v>6675.4947343590165</v>
      </c>
      <c r="H19" s="4">
        <f ca="1">$B19*('Updated Population'!H$15/'Updated Population'!$B$15)*('Total Distance Tables Sup #1'!H173/'Total Distance Tables Sup #1'!$B173)</f>
        <v>6888.1435216167847</v>
      </c>
      <c r="I19" s="1">
        <f ca="1">$B19*('Updated Population'!I$15/'Updated Population'!$B$15)*('Total Distance Tables Sup #1'!I173/'Total Distance Tables Sup #1'!$B173)</f>
        <v>7184.1640833568717</v>
      </c>
      <c r="J19" s="1">
        <f ca="1">$B19*('Updated Population'!J$15/'Updated Population'!$B$15)*('Total Distance Tables Sup #1'!J173/'Total Distance Tables Sup #1'!$B173)</f>
        <v>7469.0550285884938</v>
      </c>
      <c r="K19" s="1">
        <f ca="1">$B19*('Updated Population'!K$15/'Updated Population'!$B$15)*('Total Distance Tables Sup #1'!K173/'Total Distance Tables Sup #1'!$B173)</f>
        <v>7748.555430326478</v>
      </c>
    </row>
    <row r="20" spans="1:11" x14ac:dyDescent="0.2">
      <c r="A20" t="str">
        <f ca="1">OFFSET(Auckland_Reference,28,2)</f>
        <v>Taxi/Vehicle Share</v>
      </c>
      <c r="B20" s="4">
        <f ca="1">OFFSET(Auckland_Reference,28,6)</f>
        <v>41.157157814999998</v>
      </c>
      <c r="C20" s="4">
        <f ca="1">$B20*('Updated Population'!C$15/'Updated Population'!$B$15)*('Total Distance Tables Sup #1'!C174/'Total Distance Tables Sup #1'!$B174)</f>
        <v>50.391935743479891</v>
      </c>
      <c r="D20" s="4">
        <f ca="1">$B20*('Updated Population'!D$15/'Updated Population'!$B$15)*('Total Distance Tables Sup #1'!D174/'Total Distance Tables Sup #1'!$B174)</f>
        <v>58.906115536623297</v>
      </c>
      <c r="E20" s="4">
        <f ca="1">$B20*('Updated Population'!E$15/'Updated Population'!$B$15)*('Total Distance Tables Sup #1'!E174/'Total Distance Tables Sup #1'!$B174)</f>
        <v>66.857518188691699</v>
      </c>
      <c r="F20" s="4">
        <f ca="1">$B20*('Updated Population'!F$15/'Updated Population'!$B$15)*('Total Distance Tables Sup #1'!F174/'Total Distance Tables Sup #1'!$B174)</f>
        <v>74.499632733271909</v>
      </c>
      <c r="G20" s="4">
        <f ca="1">$B20*('Updated Population'!G$15/'Updated Population'!$B$15)*('Total Distance Tables Sup #1'!G174/'Total Distance Tables Sup #1'!$B174)</f>
        <v>81.380655386189162</v>
      </c>
      <c r="H20" s="4">
        <f ca="1">$B20*('Updated Population'!H$15/'Updated Population'!$B$15)*('Total Distance Tables Sup #1'!H174/'Total Distance Tables Sup #1'!$B174)</f>
        <v>88.345970758344606</v>
      </c>
      <c r="I20" s="1">
        <f ca="1">$B20*('Updated Population'!I$15/'Updated Population'!$B$15)*('Total Distance Tables Sup #1'!I174/'Total Distance Tables Sup #1'!$B174)</f>
        <v>92.142672120516579</v>
      </c>
      <c r="J20" s="1">
        <f ca="1">$B20*('Updated Population'!J$15/'Updated Population'!$B$15)*('Total Distance Tables Sup #1'!J174/'Total Distance Tables Sup #1'!$B174)</f>
        <v>95.796627215639575</v>
      </c>
      <c r="K20" s="1">
        <f ca="1">$B20*('Updated Population'!K$15/'Updated Population'!$B$15)*('Total Distance Tables Sup #1'!K174/'Total Distance Tables Sup #1'!$B174)</f>
        <v>99.38144426269983</v>
      </c>
    </row>
    <row r="21" spans="1:11" x14ac:dyDescent="0.2">
      <c r="A21" t="str">
        <f ca="1">OFFSET(Auckland_Reference,35,2)</f>
        <v>Motorcyclist</v>
      </c>
      <c r="B21" s="4">
        <f ca="1">OFFSET(Auckland_Reference,35,6)</f>
        <v>43.570185572</v>
      </c>
      <c r="C21" s="4">
        <f ca="1">$B21*('Updated Population'!C$15/'Updated Population'!$B$15)*('Total Distance Tables Sup #1'!C175/'Total Distance Tables Sup #1'!$B175)</f>
        <v>50.468526588437115</v>
      </c>
      <c r="D21" s="4">
        <f ca="1">$B21*('Updated Population'!D$15/'Updated Population'!$B$15)*('Total Distance Tables Sup #1'!D175/'Total Distance Tables Sup #1'!$B175)</f>
        <v>55.347637545707173</v>
      </c>
      <c r="E21" s="4">
        <f ca="1">$B21*('Updated Population'!E$15/'Updated Population'!$B$15)*('Total Distance Tables Sup #1'!E175/'Total Distance Tables Sup #1'!$B175)</f>
        <v>57.871645764661352</v>
      </c>
      <c r="F21" s="4">
        <f ca="1">$B21*('Updated Population'!F$15/'Updated Population'!$B$15)*('Total Distance Tables Sup #1'!F175/'Total Distance Tables Sup #1'!$B175)</f>
        <v>59.788427171073586</v>
      </c>
      <c r="G21" s="4">
        <f ca="1">$B21*('Updated Population'!G$15/'Updated Population'!$B$15)*('Total Distance Tables Sup #1'!G175/'Total Distance Tables Sup #1'!$B175)</f>
        <v>60.580145201398636</v>
      </c>
      <c r="H21" s="4">
        <f ca="1">$B21*('Updated Population'!H$15/'Updated Population'!$B$15)*('Total Distance Tables Sup #1'!H175/'Total Distance Tables Sup #1'!$B175)</f>
        <v>61.001919275953988</v>
      </c>
      <c r="I21" s="1">
        <f ca="1">$B21*('Updated Population'!I$15/'Updated Population'!$B$15)*('Total Distance Tables Sup #1'!I175/'Total Distance Tables Sup #1'!$B175)</f>
        <v>63.623499728600081</v>
      </c>
      <c r="J21" s="1">
        <f ca="1">$B21*('Updated Population'!J$15/'Updated Population'!$B$15)*('Total Distance Tables Sup #1'!J175/'Total Distance Tables Sup #1'!$B175)</f>
        <v>66.146515456848206</v>
      </c>
      <c r="K21" s="1">
        <f ca="1">$B21*('Updated Population'!K$15/'Updated Population'!$B$15)*('Total Distance Tables Sup #1'!K175/'Total Distance Tables Sup #1'!$B175)</f>
        <v>68.621792124779091</v>
      </c>
    </row>
    <row r="22" spans="1:11" x14ac:dyDescent="0.2">
      <c r="A22" t="str">
        <f ca="1">OFFSET(Auckland_Reference,42,2)</f>
        <v>Local Train</v>
      </c>
      <c r="B22" s="4">
        <f ca="1">OFFSET(Auckland_Reference,42,6)</f>
        <v>126.27968744</v>
      </c>
      <c r="C22" s="4">
        <f ca="1">OFFSET(Auckland_Reference,43,6)</f>
        <v>144.32576847999999</v>
      </c>
      <c r="D22" s="4">
        <f ca="1">OFFSET(Auckland_Reference,44,6)</f>
        <v>156.37574419000001</v>
      </c>
      <c r="E22" s="4">
        <f ca="1">OFFSET(Auckland_Reference,45,6)</f>
        <v>167.89874710000001</v>
      </c>
      <c r="F22" s="4">
        <f ca="1">OFFSET(Auckland_Reference,46,6)</f>
        <v>178.86448240000001</v>
      </c>
      <c r="G22" s="4">
        <f ca="1">OFFSET(Auckland_Reference,47,6)</f>
        <v>187.36236491</v>
      </c>
      <c r="H22" s="4">
        <f ca="1">OFFSET(Auckland_Reference,48,6)</f>
        <v>194.74504454999999</v>
      </c>
      <c r="I22" s="1">
        <f ca="1">OFFSET(Auckland_Reference,48,6)*('Updated Population'!I15/'Updated Population'!H15)</f>
        <v>203.1142861755371</v>
      </c>
      <c r="J22" s="1">
        <f ca="1">OFFSET(Auckland_Reference,48,6)*('Updated Population'!J15/'Updated Population'!H15)</f>
        <v>211.16886570729483</v>
      </c>
      <c r="K22" s="1">
        <f ca="1">OFFSET(Auckland_Reference,48,6)*('Updated Population'!K15/'Updated Population'!H15)</f>
        <v>219.07104109277964</v>
      </c>
    </row>
    <row r="23" spans="1:11" x14ac:dyDescent="0.2">
      <c r="A23" t="str">
        <f ca="1">OFFSET(Auckland_Reference,49,2)</f>
        <v>Local Bus</v>
      </c>
      <c r="B23" s="4">
        <f ca="1">OFFSET(Auckland_Reference,49,6)</f>
        <v>439.27566032999999</v>
      </c>
      <c r="C23" s="4">
        <f ca="1">OFFSET(Auckland_Reference,50,6)</f>
        <v>484.18754948999998</v>
      </c>
      <c r="D23" s="4">
        <f ca="1">OFFSET(Auckland_Reference,51,6)</f>
        <v>510.65408436000001</v>
      </c>
      <c r="E23" s="4">
        <f ca="1">OFFSET(Auckland_Reference,52,6)</f>
        <v>540.44903929999998</v>
      </c>
      <c r="F23" s="4">
        <f ca="1">OFFSET(Auckland_Reference,53,6)</f>
        <v>560.33770738999999</v>
      </c>
      <c r="G23" s="4">
        <f ca="1">OFFSET(Auckland_Reference,54,6)</f>
        <v>580.12991282999997</v>
      </c>
      <c r="H23" s="4">
        <f ca="1">OFFSET(Auckland_Reference,55,6)</f>
        <v>596.30149001999996</v>
      </c>
      <c r="I23" s="1">
        <f ca="1">OFFSET(Auckland_Reference,55,6)*('Updated Population'!I15/'Updated Population'!H15)</f>
        <v>621.92777110549309</v>
      </c>
      <c r="J23" s="1">
        <f ca="1">OFFSET(Auckland_Reference,55,6)*('Updated Population'!J15/'Updated Population'!H15)</f>
        <v>646.59056952159642</v>
      </c>
      <c r="K23" s="1">
        <f ca="1">OFFSET(Auckland_Reference,55,6)*('Updated Population'!K15/'Updated Population'!H15)</f>
        <v>670.78671257443887</v>
      </c>
    </row>
    <row r="24" spans="1:11" x14ac:dyDescent="0.2">
      <c r="A24" t="str">
        <f ca="1">OFFSET(Auckland_Reference,56,2)</f>
        <v>Local Ferry</v>
      </c>
      <c r="B24" s="4">
        <f ca="1">OFFSET(Auckland_Reference,56,6)</f>
        <v>0</v>
      </c>
      <c r="C24" s="4">
        <f ca="1">$B24*('Updated Population'!C$15/'Updated Population'!$B$15)*('Total Distance Tables Sup #1'!C178/'Total Distance Tables Sup #1'!$B178)</f>
        <v>0</v>
      </c>
      <c r="D24" s="4">
        <f ca="1">$B24*('Updated Population'!D$15/'Updated Population'!$B$15)*('Total Distance Tables Sup #1'!D178/'Total Distance Tables Sup #1'!$B178)</f>
        <v>0</v>
      </c>
      <c r="E24" s="4">
        <f ca="1">$B24*('Updated Population'!E$15/'Updated Population'!$B$15)*('Total Distance Tables Sup #1'!E178/'Total Distance Tables Sup #1'!$B178)</f>
        <v>0</v>
      </c>
      <c r="F24" s="4">
        <f ca="1">$B24*('Updated Population'!F$15/'Updated Population'!$B$15)*('Total Distance Tables Sup #1'!F178/'Total Distance Tables Sup #1'!$B178)</f>
        <v>0</v>
      </c>
      <c r="G24" s="4">
        <f ca="1">$B24*('Updated Population'!G$15/'Updated Population'!$B$15)*('Total Distance Tables Sup #1'!G178/'Total Distance Tables Sup #1'!$B178)</f>
        <v>0</v>
      </c>
      <c r="H24" s="4">
        <f ca="1">$B24*('Updated Population'!H$15/'Updated Population'!$B$15)*('Total Distance Tables Sup #1'!H178/'Total Distance Tables Sup #1'!$B178)</f>
        <v>0</v>
      </c>
      <c r="I24" s="1">
        <f ca="1">$B24*('Updated Population'!I$15/'Updated Population'!$B$15)*('Total Distance Tables Sup #1'!I178/'Total Distance Tables Sup #1'!$B178)</f>
        <v>0</v>
      </c>
      <c r="J24" s="1">
        <f ca="1">$B24*('Updated Population'!J$15/'Updated Population'!$B$15)*('Total Distance Tables Sup #1'!J178/'Total Distance Tables Sup #1'!$B178)</f>
        <v>0</v>
      </c>
      <c r="K24" s="1">
        <f ca="1">$B24*('Updated Population'!K$15/'Updated Population'!$B$15)*('Total Distance Tables Sup #1'!K178/'Total Distance Tables Sup #1'!$B178)</f>
        <v>0</v>
      </c>
    </row>
    <row r="25" spans="1:11" x14ac:dyDescent="0.2">
      <c r="A25" t="str">
        <f ca="1">OFFSET(Auckland_Reference,63,2)</f>
        <v>Other Household Travel</v>
      </c>
      <c r="B25" s="4">
        <f ca="1">OFFSET(Auckland_Reference,63,6)</f>
        <v>1.8241938706</v>
      </c>
      <c r="C25" s="4">
        <f ca="1">$B25*('Updated Population'!C$15/'Updated Population'!$B$15)*('Total Distance Tables Sup #1'!C179/'Total Distance Tables Sup #1'!$B179)</f>
        <v>1.9518945726787162</v>
      </c>
      <c r="D25" s="4">
        <f ca="1">$B25*('Updated Population'!D$15/'Updated Population'!$B$15)*('Total Distance Tables Sup #1'!D179/'Total Distance Tables Sup #1'!$B179)</f>
        <v>1.9723988180203154</v>
      </c>
      <c r="E25" s="4">
        <f ca="1">$B25*('Updated Population'!E$15/'Updated Population'!$B$15)*('Total Distance Tables Sup #1'!E179/'Total Distance Tables Sup #1'!$B179)</f>
        <v>1.9903862938194317</v>
      </c>
      <c r="F25" s="4">
        <f ca="1">$B25*('Updated Population'!F$15/'Updated Population'!$B$15)*('Total Distance Tables Sup #1'!F179/'Total Distance Tables Sup #1'!$B179)</f>
        <v>1.9080564271374407</v>
      </c>
      <c r="G25" s="4">
        <f ca="1">$B25*('Updated Population'!G$15/'Updated Population'!$B$15)*('Total Distance Tables Sup #1'!G179/'Total Distance Tables Sup #1'!$B179)</f>
        <v>1.7348821120054125</v>
      </c>
      <c r="H25" s="4">
        <f ca="1">$B25*('Updated Population'!H$15/'Updated Population'!$B$15)*('Total Distance Tables Sup #1'!H179/'Total Distance Tables Sup #1'!$B179)</f>
        <v>1.5593955645326949</v>
      </c>
      <c r="I25" s="1">
        <f ca="1">$B25*('Updated Population'!I$15/'Updated Population'!$B$15)*('Total Distance Tables Sup #1'!I179/'Total Distance Tables Sup #1'!$B179)</f>
        <v>1.6264111761469573</v>
      </c>
      <c r="J25" s="1">
        <f ca="1">$B25*('Updated Population'!J$15/'Updated Population'!$B$15)*('Total Distance Tables Sup #1'!J179/'Total Distance Tables Sup #1'!$B179)</f>
        <v>1.6909071720528965</v>
      </c>
      <c r="K25" s="1">
        <f ca="1">$B25*('Updated Population'!K$15/'Updated Population'!$B$15)*('Total Distance Tables Sup #1'!K179/'Total Distance Tables Sup #1'!$B179)</f>
        <v>1.7541828116192766</v>
      </c>
    </row>
    <row r="26" spans="1:11" x14ac:dyDescent="0.2">
      <c r="A26" t="str">
        <f ca="1">OFFSET(Waikato_Reference,0,0)</f>
        <v>03 WAIKATO</v>
      </c>
      <c r="I26" s="1"/>
      <c r="J26" s="1"/>
      <c r="K26" s="1"/>
    </row>
    <row r="27" spans="1:11" x14ac:dyDescent="0.2">
      <c r="A27" t="str">
        <f ca="1">OFFSET(Waikato_Reference,0,2)</f>
        <v>Pedestrian</v>
      </c>
      <c r="B27" s="4">
        <f ca="1">OFFSET(Waikato_Reference,0,6)</f>
        <v>52.675735545000002</v>
      </c>
      <c r="C27" s="4">
        <f ca="1">$B27*('Updated Population'!C$26/'Updated Population'!$B$26)*('Total Distance Tables Sup #1'!C170/'Total Distance Tables Sup #1'!$B170)</f>
        <v>57.648235604401364</v>
      </c>
      <c r="D27" s="4">
        <f ca="1">$B27*('Updated Population'!D$26/'Updated Population'!$B$26)*('Total Distance Tables Sup #1'!D170/'Total Distance Tables Sup #1'!$B170)</f>
        <v>60.393639421089269</v>
      </c>
      <c r="E27" s="4">
        <f ca="1">$B27*('Updated Population'!E$26/'Updated Population'!$B$26)*('Total Distance Tables Sup #1'!E170/'Total Distance Tables Sup #1'!$B170)</f>
        <v>62.383809186588707</v>
      </c>
      <c r="F27" s="4">
        <f ca="1">$B27*('Updated Population'!F$26/'Updated Population'!$B$26)*('Total Distance Tables Sup #1'!F170/'Total Distance Tables Sup #1'!$B170)</f>
        <v>63.746564524657849</v>
      </c>
      <c r="G27" s="4">
        <f ca="1">$B27*('Updated Population'!G$26/'Updated Population'!$B$26)*('Total Distance Tables Sup #1'!G170/'Total Distance Tables Sup #1'!$B170)</f>
        <v>64.978452186825379</v>
      </c>
      <c r="H27" s="4">
        <f ca="1">$B27*('Updated Population'!H$26/'Updated Population'!$B$26)*('Total Distance Tables Sup #1'!H170/'Total Distance Tables Sup #1'!$B170)</f>
        <v>65.958144235161143</v>
      </c>
      <c r="I27" s="1">
        <f ca="1">$B27*('Updated Population'!I$26/'Updated Population'!$B$26)*('Total Distance Tables Sup #1'!I170/'Total Distance Tables Sup #1'!$B170)</f>
        <v>67.361730406970921</v>
      </c>
      <c r="J27" s="1">
        <f ca="1">$B27*('Updated Population'!J$26/'Updated Population'!$B$26)*('Total Distance Tables Sup #1'!J170/'Total Distance Tables Sup #1'!$B170)</f>
        <v>68.57619789873992</v>
      </c>
      <c r="K27" s="1">
        <f ca="1">$B27*('Updated Population'!K$26/'Updated Population'!$B$26)*('Total Distance Tables Sup #1'!K170/'Total Distance Tables Sup #1'!$B170)</f>
        <v>69.66252937386507</v>
      </c>
    </row>
    <row r="28" spans="1:11" x14ac:dyDescent="0.2">
      <c r="A28" t="str">
        <f ca="1">OFFSET(Waikato_Reference,7,2)</f>
        <v>Cyclist</v>
      </c>
      <c r="B28" s="4">
        <f ca="1">OFFSET(Waikato_Reference,7,6)</f>
        <v>21.829422874999999</v>
      </c>
      <c r="C28" s="4">
        <f ca="1">$B28*('Updated Population'!C$26/'Updated Population'!$B$26)*('Total Distance Tables Sup #1'!C171/'Total Distance Tables Sup #1'!$B171)</f>
        <v>24.565033554153487</v>
      </c>
      <c r="D28" s="4">
        <f ca="1">$B28*('Updated Population'!D$26/'Updated Population'!$B$26)*('Total Distance Tables Sup #1'!D171/'Total Distance Tables Sup #1'!$B171)</f>
        <v>25.957061942849059</v>
      </c>
      <c r="E28" s="4">
        <f ca="1">$B28*('Updated Population'!E$26/'Updated Population'!$B$26)*('Total Distance Tables Sup #1'!E171/'Total Distance Tables Sup #1'!$B171)</f>
        <v>26.653441522610713</v>
      </c>
      <c r="F28" s="4">
        <f ca="1">$B28*('Updated Population'!F$26/'Updated Population'!$B$26)*('Total Distance Tables Sup #1'!F171/'Total Distance Tables Sup #1'!$B171)</f>
        <v>27.623312538597887</v>
      </c>
      <c r="G28" s="4">
        <f ca="1">$B28*('Updated Population'!G$26/'Updated Population'!$B$26)*('Total Distance Tables Sup #1'!G171/'Total Distance Tables Sup #1'!$B171)</f>
        <v>28.968841068989491</v>
      </c>
      <c r="H28" s="4">
        <f ca="1">$B28*('Updated Population'!H$26/'Updated Population'!$B$26)*('Total Distance Tables Sup #1'!H171/'Total Distance Tables Sup #1'!$B171)</f>
        <v>30.298495740036493</v>
      </c>
      <c r="I28" s="1">
        <f ca="1">$B28*('Updated Population'!I$26/'Updated Population'!$B$26)*('Total Distance Tables Sup #1'!I171/'Total Distance Tables Sup #1'!$B171)</f>
        <v>30.943246288137608</v>
      </c>
      <c r="J28" s="1">
        <f ca="1">$B28*('Updated Population'!J$26/'Updated Population'!$B$26)*('Total Distance Tables Sup #1'!J171/'Total Distance Tables Sup #1'!$B171)</f>
        <v>31.501123386598483</v>
      </c>
      <c r="K28" s="1">
        <f ca="1">$B28*('Updated Population'!K$26/'Updated Population'!$B$26)*('Total Distance Tables Sup #1'!K171/'Total Distance Tables Sup #1'!$B171)</f>
        <v>32.000139997102231</v>
      </c>
    </row>
    <row r="29" spans="1:11" x14ac:dyDescent="0.2">
      <c r="A29" t="str">
        <f ca="1">OFFSET(Waikato_Reference,14,2)</f>
        <v>Light Vehicle Driver</v>
      </c>
      <c r="B29" s="4">
        <f ca="1">OFFSET(Waikato_Reference,14,6)</f>
        <v>3709.9843593000001</v>
      </c>
      <c r="C29" s="4">
        <f ca="1">$B29*('Updated Population'!C$26/'Updated Population'!$B$26)*('Total Distance Tables Sup #1'!C172/'Total Distance Tables Sup #1'!$B172)</f>
        <v>4195.9966218282671</v>
      </c>
      <c r="D29" s="4">
        <f ca="1">$B29*('Updated Population'!D$26/'Updated Population'!$B$26)*('Total Distance Tables Sup #1'!D172/'Total Distance Tables Sup #1'!$B172)</f>
        <v>4487.6678146418317</v>
      </c>
      <c r="E29" s="4">
        <f ca="1">$B29*('Updated Population'!E$26/'Updated Population'!$B$26)*('Total Distance Tables Sup #1'!E172/'Total Distance Tables Sup #1'!$B172)</f>
        <v>4683.3586820448354</v>
      </c>
      <c r="F29" s="4">
        <f ca="1">$B29*('Updated Population'!F$26/'Updated Population'!$B$26)*('Total Distance Tables Sup #1'!F172/'Total Distance Tables Sup #1'!$B172)</f>
        <v>4860.5388343798668</v>
      </c>
      <c r="G29" s="4">
        <f ca="1">$B29*('Updated Population'!G$26/'Updated Population'!$B$26)*('Total Distance Tables Sup #1'!G172/'Total Distance Tables Sup #1'!$B172)</f>
        <v>4994.6308178624431</v>
      </c>
      <c r="H29" s="4">
        <f ca="1">$B29*('Updated Population'!H$26/'Updated Population'!$B$26)*('Total Distance Tables Sup #1'!H172/'Total Distance Tables Sup #1'!$B172)</f>
        <v>5113.5966540791251</v>
      </c>
      <c r="I29" s="1">
        <f ca="1">$B29*('Updated Population'!I$26/'Updated Population'!$B$26)*('Total Distance Tables Sup #1'!I172/'Total Distance Tables Sup #1'!$B172)</f>
        <v>5222.4137476330106</v>
      </c>
      <c r="J29" s="1">
        <f ca="1">$B29*('Updated Population'!J$26/'Updated Population'!$B$26)*('Total Distance Tables Sup #1'!J172/'Total Distance Tables Sup #1'!$B172)</f>
        <v>5316.5688663740139</v>
      </c>
      <c r="K29" s="1">
        <f ca="1">$B29*('Updated Population'!K$26/'Updated Population'!$B$26)*('Total Distance Tables Sup #1'!K172/'Total Distance Tables Sup #1'!$B172)</f>
        <v>5400.7898683569583</v>
      </c>
    </row>
    <row r="30" spans="1:11" x14ac:dyDescent="0.2">
      <c r="A30" t="str">
        <f ca="1">OFFSET(Waikato_Reference,21,2)</f>
        <v>Light Vehicle Passenger</v>
      </c>
      <c r="B30" s="4">
        <f ca="1">OFFSET(Waikato_Reference,21,6)</f>
        <v>1955.0668243</v>
      </c>
      <c r="C30" s="4">
        <f ca="1">$B30*('Updated Population'!C$26/'Updated Population'!$B$26)*('Total Distance Tables Sup #1'!C173/'Total Distance Tables Sup #1'!$B173)</f>
        <v>2117.7608845751633</v>
      </c>
      <c r="D30" s="4">
        <f ca="1">$B30*('Updated Population'!D$26/'Updated Population'!$B$26)*('Total Distance Tables Sup #1'!D173/'Total Distance Tables Sup #1'!$B173)</f>
        <v>2209.1108138131654</v>
      </c>
      <c r="E30" s="4">
        <f ca="1">$B30*('Updated Population'!E$26/'Updated Population'!$B$26)*('Total Distance Tables Sup #1'!E173/'Total Distance Tables Sup #1'!$B173)</f>
        <v>2270.9256420102247</v>
      </c>
      <c r="F30" s="4">
        <f ca="1">$B30*('Updated Population'!F$26/'Updated Population'!$B$26)*('Total Distance Tables Sup #1'!F173/'Total Distance Tables Sup #1'!$B173)</f>
        <v>2317.4626979908812</v>
      </c>
      <c r="G30" s="4">
        <f ca="1">$B30*('Updated Population'!G$26/'Updated Population'!$B$26)*('Total Distance Tables Sup #1'!G173/'Total Distance Tables Sup #1'!$B173)</f>
        <v>2352.4190483344091</v>
      </c>
      <c r="H30" s="4">
        <f ca="1">$B30*('Updated Population'!H$26/'Updated Population'!$B$26)*('Total Distance Tables Sup #1'!H173/'Total Distance Tables Sup #1'!$B173)</f>
        <v>2376.8631015999472</v>
      </c>
      <c r="I30" s="1">
        <f ca="1">$B30*('Updated Population'!I$26/'Updated Population'!$B$26)*('Total Distance Tables Sup #1'!I173/'Total Distance Tables Sup #1'!$B173)</f>
        <v>2427.4426353387412</v>
      </c>
      <c r="J30" s="1">
        <f ca="1">$B30*('Updated Population'!J$26/'Updated Population'!$B$26)*('Total Distance Tables Sup #1'!J173/'Total Distance Tables Sup #1'!$B173)</f>
        <v>2471.2071014672401</v>
      </c>
      <c r="K30" s="1">
        <f ca="1">$B30*('Updated Population'!K$26/'Updated Population'!$B$26)*('Total Distance Tables Sup #1'!K173/'Total Distance Tables Sup #1'!$B173)</f>
        <v>2510.3540670053517</v>
      </c>
    </row>
    <row r="31" spans="1:11" x14ac:dyDescent="0.2">
      <c r="A31" t="str">
        <f ca="1">OFFSET(Waikato_Reference,28,2)</f>
        <v>Taxi/Vehicle Share</v>
      </c>
      <c r="B31" s="4">
        <f ca="1">OFFSET(Waikato_Reference,28,6)</f>
        <v>2.4426175743999998</v>
      </c>
      <c r="C31" s="4">
        <f ca="1">$B31*('Updated Population'!C$26/'Updated Population'!$B$26)*('Total Distance Tables Sup #1'!C174/'Total Distance Tables Sup #1'!$B174)</f>
        <v>2.8906039684226039</v>
      </c>
      <c r="D31" s="4">
        <f ca="1">$B31*('Updated Population'!D$26/'Updated Population'!$B$26)*('Total Distance Tables Sup #1'!D174/'Total Distance Tables Sup #1'!$B174)</f>
        <v>3.263218582238208</v>
      </c>
      <c r="E31" s="4">
        <f ca="1">$B31*('Updated Population'!E$26/'Updated Population'!$B$26)*('Total Distance Tables Sup #1'!E174/'Total Distance Tables Sup #1'!$B174)</f>
        <v>3.608221800331465</v>
      </c>
      <c r="F31" s="4">
        <f ca="1">$B31*('Updated Population'!F$26/'Updated Population'!$B$26)*('Total Distance Tables Sup #1'!F174/'Total Distance Tables Sup #1'!$B174)</f>
        <v>3.9240589202586067</v>
      </c>
      <c r="G31" s="4">
        <f ca="1">$B31*('Updated Population'!G$26/'Updated Population'!$B$26)*('Total Distance Tables Sup #1'!G174/'Total Distance Tables Sup #1'!$B174)</f>
        <v>4.1914574165233036</v>
      </c>
      <c r="H31" s="4">
        <f ca="1">$B31*('Updated Population'!H$26/'Updated Population'!$B$26)*('Total Distance Tables Sup #1'!H174/'Total Distance Tables Sup #1'!$B174)</f>
        <v>4.4555505358820584</v>
      </c>
      <c r="I31" s="1">
        <f ca="1">$B31*('Updated Population'!I$26/'Updated Population'!$B$26)*('Total Distance Tables Sup #1'!I174/'Total Distance Tables Sup #1'!$B174)</f>
        <v>4.5503644393428218</v>
      </c>
      <c r="J31" s="1">
        <f ca="1">$B31*('Updated Population'!J$26/'Updated Population'!$B$26)*('Total Distance Tables Sup #1'!J174/'Total Distance Tables Sup #1'!$B174)</f>
        <v>4.6324031526284832</v>
      </c>
      <c r="K31" s="1">
        <f ca="1">$B31*('Updated Population'!K$26/'Updated Population'!$B$26)*('Total Distance Tables Sup #1'!K174/'Total Distance Tables Sup #1'!$B174)</f>
        <v>4.7057861266685448</v>
      </c>
    </row>
    <row r="32" spans="1:11" x14ac:dyDescent="0.2">
      <c r="A32" t="str">
        <f ca="1">OFFSET(Waikato_Reference,35,2)</f>
        <v>Motorcyclist</v>
      </c>
      <c r="B32" s="4">
        <f ca="1">OFFSET(Waikato_Reference,35,6)</f>
        <v>38.030338682999997</v>
      </c>
      <c r="C32" s="4">
        <f ca="1">$B32*('Updated Population'!C$26/'Updated Population'!$B$26)*('Total Distance Tables Sup #1'!C175/'Total Distance Tables Sup #1'!$B175)</f>
        <v>42.577372871314964</v>
      </c>
      <c r="D32" s="4">
        <f ca="1">$B32*('Updated Population'!D$26/'Updated Population'!$B$26)*('Total Distance Tables Sup #1'!D175/'Total Distance Tables Sup #1'!$B175)</f>
        <v>45.093666726267131</v>
      </c>
      <c r="E32" s="4">
        <f ca="1">$B32*('Updated Population'!E$26/'Updated Population'!$B$26)*('Total Distance Tables Sup #1'!E175/'Total Distance Tables Sup #1'!$B175)</f>
        <v>45.93455253330167</v>
      </c>
      <c r="F32" s="4">
        <f ca="1">$B32*('Updated Population'!F$26/'Updated Population'!$B$26)*('Total Distance Tables Sup #1'!F175/'Total Distance Tables Sup #1'!$B175)</f>
        <v>46.315803079260853</v>
      </c>
      <c r="G32" s="4">
        <f ca="1">$B32*('Updated Population'!G$26/'Updated Population'!$B$26)*('Total Distance Tables Sup #1'!G175/'Total Distance Tables Sup #1'!$B175)</f>
        <v>45.888606237688521</v>
      </c>
      <c r="H32" s="4">
        <f ca="1">$B32*('Updated Population'!H$26/'Updated Population'!$B$26)*('Total Distance Tables Sup #1'!H175/'Total Distance Tables Sup #1'!$B175)</f>
        <v>45.246897731858979</v>
      </c>
      <c r="I32" s="1">
        <f ca="1">$B32*('Updated Population'!I$26/'Updated Population'!$B$26)*('Total Distance Tables Sup #1'!I175/'Total Distance Tables Sup #1'!$B175)</f>
        <v>46.209749563276539</v>
      </c>
      <c r="J32" s="1">
        <f ca="1">$B32*('Updated Population'!J$26/'Updated Population'!$B$26)*('Total Distance Tables Sup #1'!J175/'Total Distance Tables Sup #1'!$B175)</f>
        <v>47.04286709615954</v>
      </c>
      <c r="K32" s="1">
        <f ca="1">$B32*('Updated Population'!K$26/'Updated Population'!$B$26)*('Total Distance Tables Sup #1'!K175/'Total Distance Tables Sup #1'!$B175)</f>
        <v>47.788084077744735</v>
      </c>
    </row>
    <row r="33" spans="1:11" x14ac:dyDescent="0.2">
      <c r="A33" t="str">
        <f ca="1">OFFSET(Waikato_Reference,42,2)</f>
        <v>Local Train</v>
      </c>
      <c r="B33" s="4">
        <v>0</v>
      </c>
      <c r="C33" s="4">
        <f ca="1">$B33*('Updated Population'!C$26/'Updated Population'!$B$26)*('Total Distance Tables Sup #1'!C176/'Total Distance Tables Sup #1'!$B176)</f>
        <v>0</v>
      </c>
      <c r="D33" s="4">
        <f ca="1">$B33*('Updated Population'!D$26/'Updated Population'!$B$26)*('Total Distance Tables Sup #1'!D176/'Total Distance Tables Sup #1'!$B176)</f>
        <v>0</v>
      </c>
      <c r="E33" s="4">
        <f ca="1">$B33*('Updated Population'!E$26/'Updated Population'!$B$26)*('Total Distance Tables Sup #1'!E176/'Total Distance Tables Sup #1'!$B176)</f>
        <v>0</v>
      </c>
      <c r="F33" s="4">
        <f ca="1">$B33*('Updated Population'!F$26/'Updated Population'!$B$26)*('Total Distance Tables Sup #1'!F176/'Total Distance Tables Sup #1'!$B176)</f>
        <v>0</v>
      </c>
      <c r="G33" s="4">
        <f ca="1">$B33*('Updated Population'!G$26/'Updated Population'!$B$26)*('Total Distance Tables Sup #1'!G176/'Total Distance Tables Sup #1'!$B176)</f>
        <v>0</v>
      </c>
      <c r="H33" s="4">
        <f ca="1">$B33*('Updated Population'!H$26/'Updated Population'!$B$26)*('Total Distance Tables Sup #1'!H176/'Total Distance Tables Sup #1'!$B176)</f>
        <v>0</v>
      </c>
      <c r="I33" s="1">
        <f ca="1">$B33*('Updated Population'!I$26/'Updated Population'!$B$26)*('Total Distance Tables Sup #1'!I176/'Total Distance Tables Sup #1'!$B176)</f>
        <v>0</v>
      </c>
      <c r="J33" s="1">
        <f ca="1">$B33*('Updated Population'!J$26/'Updated Population'!$B$26)*('Total Distance Tables Sup #1'!J176/'Total Distance Tables Sup #1'!$B176)</f>
        <v>0</v>
      </c>
      <c r="K33" s="1">
        <f ca="1">$B33*('Updated Population'!K$26/'Updated Population'!$B$26)*('Total Distance Tables Sup #1'!K176/'Total Distance Tables Sup #1'!$B176)</f>
        <v>0</v>
      </c>
    </row>
    <row r="34" spans="1:11" x14ac:dyDescent="0.2">
      <c r="A34" t="str">
        <f ca="1">OFFSET(Waikato_Reference,49,2)</f>
        <v>Local Bus</v>
      </c>
      <c r="B34" s="4">
        <f ca="1">OFFSET(Waikato_Reference,49,6)</f>
        <v>54.303948532</v>
      </c>
      <c r="C34" s="4">
        <f ca="1">$B34*('Updated Population'!C$26/'Updated Population'!$B$26)*('Total Distance Tables Sup #1'!C177/'Total Distance Tables Sup #1'!$B177)</f>
        <v>54.505501603353771</v>
      </c>
      <c r="D34" s="4">
        <f ca="1">$B34*('Updated Population'!D$26/'Updated Population'!$B$26)*('Total Distance Tables Sup #1'!D177/'Total Distance Tables Sup #1'!$B177)</f>
        <v>54.264769903804428</v>
      </c>
      <c r="E34" s="4">
        <f ca="1">$B34*('Updated Population'!E$26/'Updated Population'!$B$26)*('Total Distance Tables Sup #1'!E177/'Total Distance Tables Sup #1'!$B177)</f>
        <v>54.080313179608424</v>
      </c>
      <c r="F34" s="4">
        <f ca="1">$B34*('Updated Population'!F$26/'Updated Population'!$B$26)*('Total Distance Tables Sup #1'!F177/'Total Distance Tables Sup #1'!$B177)</f>
        <v>53.031195324344161</v>
      </c>
      <c r="G34" s="4">
        <f ca="1">$B34*('Updated Population'!G$26/'Updated Population'!$B$26)*('Total Distance Tables Sup #1'!G177/'Total Distance Tables Sup #1'!$B177)</f>
        <v>52.574907138448054</v>
      </c>
      <c r="H34" s="4">
        <f ca="1">$B34*('Updated Population'!H$26/'Updated Population'!$B$26)*('Total Distance Tables Sup #1'!H177/'Total Distance Tables Sup #1'!$B177)</f>
        <v>51.889732672387296</v>
      </c>
      <c r="I34" s="1">
        <f ca="1">$B34*('Updated Population'!I$26/'Updated Population'!$B$26)*('Total Distance Tables Sup #1'!I177/'Total Distance Tables Sup #1'!$B177)</f>
        <v>52.993943715351165</v>
      </c>
      <c r="J34" s="1">
        <f ca="1">$B34*('Updated Population'!J$26/'Updated Population'!$B$26)*('Total Distance Tables Sup #1'!J177/'Total Distance Tables Sup #1'!$B177)</f>
        <v>53.949373772062856</v>
      </c>
      <c r="K34" s="1">
        <f ca="1">$B34*('Updated Population'!K$26/'Updated Population'!$B$26)*('Total Distance Tables Sup #1'!K177/'Total Distance Tables Sup #1'!$B177)</f>
        <v>54.803998329674279</v>
      </c>
    </row>
    <row r="35" spans="1:11" x14ac:dyDescent="0.2">
      <c r="A35" t="str">
        <f ca="1">OFFSET(Waikato_Reference,56,2)</f>
        <v>Local Ferry</v>
      </c>
      <c r="B35" s="4">
        <f ca="1">OFFSET(Waikato_Reference,56,6)</f>
        <v>0</v>
      </c>
      <c r="C35" s="4">
        <f ca="1">$B35*('Updated Population'!C$26/'Updated Population'!$B$26)*('Total Distance Tables Sup #1'!C178/'Total Distance Tables Sup #1'!$B178)</f>
        <v>0</v>
      </c>
      <c r="D35" s="4">
        <f ca="1">$B35*('Updated Population'!D$26/'Updated Population'!$B$26)*('Total Distance Tables Sup #1'!D178/'Total Distance Tables Sup #1'!$B178)</f>
        <v>0</v>
      </c>
      <c r="E35" s="4">
        <f ca="1">$B35*('Updated Population'!E$26/'Updated Population'!$B$26)*('Total Distance Tables Sup #1'!E178/'Total Distance Tables Sup #1'!$B178)</f>
        <v>0</v>
      </c>
      <c r="F35" s="4">
        <f ca="1">$B35*('Updated Population'!F$26/'Updated Population'!$B$26)*('Total Distance Tables Sup #1'!F178/'Total Distance Tables Sup #1'!$B178)</f>
        <v>0</v>
      </c>
      <c r="G35" s="4">
        <f ca="1">$B35*('Updated Population'!G$26/'Updated Population'!$B$26)*('Total Distance Tables Sup #1'!G178/'Total Distance Tables Sup #1'!$B178)</f>
        <v>0</v>
      </c>
      <c r="H35" s="4">
        <f ca="1">$B35*('Updated Population'!H$26/'Updated Population'!$B$26)*('Total Distance Tables Sup #1'!H178/'Total Distance Tables Sup #1'!$B178)</f>
        <v>0</v>
      </c>
      <c r="I35" s="1">
        <f ca="1">$B35*('Updated Population'!I$26/'Updated Population'!$B$26)*('Total Distance Tables Sup #1'!I178/'Total Distance Tables Sup #1'!$B178)</f>
        <v>0</v>
      </c>
      <c r="J35" s="1">
        <f ca="1">$B35*('Updated Population'!J$26/'Updated Population'!$B$26)*('Total Distance Tables Sup #1'!J178/'Total Distance Tables Sup #1'!$B178)</f>
        <v>0</v>
      </c>
      <c r="K35" s="1">
        <f ca="1">$B35*('Updated Population'!K$26/'Updated Population'!$B$26)*('Total Distance Tables Sup #1'!K178/'Total Distance Tables Sup #1'!$B178)</f>
        <v>0</v>
      </c>
    </row>
    <row r="36" spans="1:11" x14ac:dyDescent="0.2">
      <c r="A36" t="str">
        <f ca="1">OFFSET(Waikato_Reference,63,2)</f>
        <v>Other Household Travel</v>
      </c>
      <c r="B36" s="4">
        <f ca="1">OFFSET(Waikato_Reference,63,6)</f>
        <v>0</v>
      </c>
      <c r="C36" s="4">
        <f ca="1">$B36*('Updated Population'!C$26/'Updated Population'!$B$26)*('Total Distance Tables Sup #1'!C179/'Total Distance Tables Sup #1'!$B179)</f>
        <v>0</v>
      </c>
      <c r="D36" s="4">
        <f ca="1">$B36*('Updated Population'!D$26/'Updated Population'!$B$26)*('Total Distance Tables Sup #1'!D179/'Total Distance Tables Sup #1'!$B179)</f>
        <v>0</v>
      </c>
      <c r="E36" s="4">
        <f ca="1">$B36*('Updated Population'!E$26/'Updated Population'!$B$26)*('Total Distance Tables Sup #1'!E179/'Total Distance Tables Sup #1'!$B179)</f>
        <v>0</v>
      </c>
      <c r="F36" s="4">
        <f ca="1">$B36*('Updated Population'!F$26/'Updated Population'!$B$26)*('Total Distance Tables Sup #1'!F179/'Total Distance Tables Sup #1'!$B179)</f>
        <v>0</v>
      </c>
      <c r="G36" s="4">
        <f ca="1">$B36*('Updated Population'!G$26/'Updated Population'!$B$26)*('Total Distance Tables Sup #1'!G179/'Total Distance Tables Sup #1'!$B179)</f>
        <v>0</v>
      </c>
      <c r="H36" s="4">
        <f ca="1">$B36*('Updated Population'!H$26/'Updated Population'!$B$26)*('Total Distance Tables Sup #1'!H179/'Total Distance Tables Sup #1'!$B179)</f>
        <v>0</v>
      </c>
      <c r="I36" s="1">
        <f ca="1">$B36*('Updated Population'!I$26/'Updated Population'!$B$26)*('Total Distance Tables Sup #1'!I179/'Total Distance Tables Sup #1'!$B179)</f>
        <v>0</v>
      </c>
      <c r="J36" s="1">
        <f ca="1">$B36*('Updated Population'!J$26/'Updated Population'!$B$26)*('Total Distance Tables Sup #1'!J179/'Total Distance Tables Sup #1'!$B179)</f>
        <v>0</v>
      </c>
      <c r="K36" s="1">
        <f ca="1">$B36*('Updated Population'!K$26/'Updated Population'!$B$26)*('Total Distance Tables Sup #1'!K179/'Total Distance Tables Sup #1'!$B179)</f>
        <v>0</v>
      </c>
    </row>
    <row r="37" spans="1:11" x14ac:dyDescent="0.2">
      <c r="A37" t="str">
        <f ca="1">OFFSET(BOP_Reference,0,0)</f>
        <v>04 BAY OF PLENTY</v>
      </c>
      <c r="I37" s="1"/>
      <c r="J37" s="1"/>
      <c r="K37" s="1"/>
    </row>
    <row r="38" spans="1:11" x14ac:dyDescent="0.2">
      <c r="A38" t="str">
        <f ca="1">OFFSET(BOP_Reference,0,2)</f>
        <v>Pedestrian</v>
      </c>
      <c r="B38" s="4">
        <f ca="1">OFFSET(BOP_Reference,0,6)</f>
        <v>35.579183637</v>
      </c>
      <c r="C38" s="4">
        <f ca="1">$B38*('Updated Population'!C$37/'Updated Population'!$B$37)*('Total Distance Tables Sup #1'!C170/'Total Distance Tables Sup #1'!$B170)</f>
        <v>38.398545570354329</v>
      </c>
      <c r="D38" s="4">
        <f ca="1">$B38*('Updated Population'!D$37/'Updated Population'!$B$37)*('Total Distance Tables Sup #1'!D170/'Total Distance Tables Sup #1'!$B170)</f>
        <v>39.953055407145847</v>
      </c>
      <c r="E38" s="4">
        <f ca="1">$B38*('Updated Population'!E$37/'Updated Population'!$B$37)*('Total Distance Tables Sup #1'!E170/'Total Distance Tables Sup #1'!$B170)</f>
        <v>40.994505560105679</v>
      </c>
      <c r="F38" s="4">
        <f ca="1">$B38*('Updated Population'!F$37/'Updated Population'!$B$37)*('Total Distance Tables Sup #1'!F170/'Total Distance Tables Sup #1'!$B170)</f>
        <v>41.621172186327691</v>
      </c>
      <c r="G38" s="4">
        <f ca="1">$B38*('Updated Population'!G$37/'Updated Population'!$B$37)*('Total Distance Tables Sup #1'!G170/'Total Distance Tables Sup #1'!$B170)</f>
        <v>42.137612380481812</v>
      </c>
      <c r="H38" s="4">
        <f ca="1">$B38*('Updated Population'!H$37/'Updated Population'!$B$37)*('Total Distance Tables Sup #1'!H170/'Total Distance Tables Sup #1'!$B170)</f>
        <v>42.484005278010805</v>
      </c>
      <c r="I38" s="1">
        <f ca="1">$B38*('Updated Population'!I$37/'Updated Population'!$B$37)*('Total Distance Tables Sup #1'!I170/'Total Distance Tables Sup #1'!$B170)</f>
        <v>43.094984150074801</v>
      </c>
      <c r="J38" s="1">
        <f ca="1">$B38*('Updated Population'!J$37/'Updated Population'!$B$37)*('Total Distance Tables Sup #1'!J170/'Total Distance Tables Sup #1'!$B170)</f>
        <v>43.575598164359455</v>
      </c>
      <c r="K38" s="1">
        <f ca="1">$B38*('Updated Population'!K$37/'Updated Population'!$B$37)*('Total Distance Tables Sup #1'!K170/'Total Distance Tables Sup #1'!$B170)</f>
        <v>43.96688103094052</v>
      </c>
    </row>
    <row r="39" spans="1:11" x14ac:dyDescent="0.2">
      <c r="A39" t="str">
        <f ca="1">OFFSET(BOP_Reference,7,2)</f>
        <v>Cyclist</v>
      </c>
      <c r="B39" s="4">
        <f ca="1">OFFSET(BOP_Reference,7,6)</f>
        <v>8.5028812633000008</v>
      </c>
      <c r="C39" s="4">
        <f ca="1">$B39*('Updated Population'!C$37/'Updated Population'!$B$37)*('Total Distance Tables Sup #1'!C171/'Total Distance Tables Sup #1'!$B171)</f>
        <v>9.4359277516127751</v>
      </c>
      <c r="D39" s="4">
        <f ca="1">$B39*('Updated Population'!D$37/'Updated Population'!$B$37)*('Total Distance Tables Sup #1'!D171/'Total Distance Tables Sup #1'!$B171)</f>
        <v>9.9026816927419947</v>
      </c>
      <c r="E39" s="4">
        <f ca="1">$B39*('Updated Population'!E$37/'Updated Population'!$B$37)*('Total Distance Tables Sup #1'!E171/'Total Distance Tables Sup #1'!$B171)</f>
        <v>10.100562189890212</v>
      </c>
      <c r="F39" s="4">
        <f ca="1">$B39*('Updated Population'!F$37/'Updated Population'!$B$37)*('Total Distance Tables Sup #1'!F171/'Total Distance Tables Sup #1'!$B171)</f>
        <v>10.400920338652274</v>
      </c>
      <c r="G39" s="4">
        <f ca="1">$B39*('Updated Population'!G$37/'Updated Population'!$B$37)*('Total Distance Tables Sup #1'!G171/'Total Distance Tables Sup #1'!$B171)</f>
        <v>10.833534557369701</v>
      </c>
      <c r="H39" s="4">
        <f ca="1">$B39*('Updated Population'!H$37/'Updated Population'!$B$37)*('Total Distance Tables Sup #1'!H171/'Total Distance Tables Sup #1'!$B171)</f>
        <v>11.254250651396829</v>
      </c>
      <c r="I39" s="1">
        <f ca="1">$B39*('Updated Population'!I$37/'Updated Population'!$B$37)*('Total Distance Tables Sup #1'!I171/'Total Distance Tables Sup #1'!$B171)</f>
        <v>11.416102372389691</v>
      </c>
      <c r="J39" s="1">
        <f ca="1">$B39*('Updated Population'!J$37/'Updated Population'!$B$37)*('Total Distance Tables Sup #1'!J171/'Total Distance Tables Sup #1'!$B171)</f>
        <v>11.54341971330277</v>
      </c>
      <c r="K39" s="1">
        <f ca="1">$B39*('Updated Population'!K$37/'Updated Population'!$B$37)*('Total Distance Tables Sup #1'!K171/'Total Distance Tables Sup #1'!$B171)</f>
        <v>11.647072733475509</v>
      </c>
    </row>
    <row r="40" spans="1:11" x14ac:dyDescent="0.2">
      <c r="A40" t="str">
        <f ca="1">OFFSET(BOP_Reference,14,2)</f>
        <v>Light Vehicle Driver</v>
      </c>
      <c r="B40" s="4">
        <f ca="1">OFFSET(BOP_Reference,14,6)</f>
        <v>1972.0747595</v>
      </c>
      <c r="C40" s="4">
        <f ca="1">$B40*('Updated Population'!C$37/'Updated Population'!$B$37)*('Total Distance Tables Sup #1'!C172/'Total Distance Tables Sup #1'!$B172)</f>
        <v>2199.5295985428584</v>
      </c>
      <c r="D40" s="4">
        <f ca="1">$B40*('Updated Population'!D$37/'Updated Population'!$B$37)*('Total Distance Tables Sup #1'!D172/'Total Distance Tables Sup #1'!$B172)</f>
        <v>2336.3904564797426</v>
      </c>
      <c r="E40" s="4">
        <f ca="1">$B40*('Updated Population'!E$37/'Updated Population'!$B$37)*('Total Distance Tables Sup #1'!E172/'Total Distance Tables Sup #1'!$B172)</f>
        <v>2422.0165641435078</v>
      </c>
      <c r="F40" s="4">
        <f ca="1">$B40*('Updated Population'!F$37/'Updated Population'!$B$37)*('Total Distance Tables Sup #1'!F172/'Total Distance Tables Sup #1'!$B172)</f>
        <v>2497.5136223103109</v>
      </c>
      <c r="G40" s="4">
        <f ca="1">$B40*('Updated Population'!G$37/'Updated Population'!$B$37)*('Total Distance Tables Sup #1'!G172/'Total Distance Tables Sup #1'!$B172)</f>
        <v>2549.0002603276193</v>
      </c>
      <c r="H40" s="4">
        <f ca="1">$B40*('Updated Population'!H$37/'Updated Population'!$B$37)*('Total Distance Tables Sup #1'!H172/'Total Distance Tables Sup #1'!$B172)</f>
        <v>2592.0860856361287</v>
      </c>
      <c r="I40" s="1">
        <f ca="1">$B40*('Updated Population'!I$37/'Updated Population'!$B$37)*('Total Distance Tables Sup #1'!I172/'Total Distance Tables Sup #1'!$B172)</f>
        <v>2629.3638757722306</v>
      </c>
      <c r="J40" s="1">
        <f ca="1">$B40*('Updated Population'!J$37/'Updated Population'!$B$37)*('Total Distance Tables Sup #1'!J172/'Total Distance Tables Sup #1'!$B172)</f>
        <v>2658.6876857764109</v>
      </c>
      <c r="K40" s="1">
        <f ca="1">$B40*('Updated Population'!K$37/'Updated Population'!$B$37)*('Total Distance Tables Sup #1'!K172/'Total Distance Tables Sup #1'!$B172)</f>
        <v>2682.5611145497937</v>
      </c>
    </row>
    <row r="41" spans="1:11" x14ac:dyDescent="0.2">
      <c r="A41" t="str">
        <f ca="1">OFFSET(BOP_Reference,21,2)</f>
        <v>Light Vehicle Passenger</v>
      </c>
      <c r="B41" s="4">
        <f ca="1">OFFSET(BOP_Reference,21,6)</f>
        <v>1385.2330090999999</v>
      </c>
      <c r="C41" s="4">
        <f ca="1">$B41*('Updated Population'!C$37/'Updated Population'!$B$37)*('Total Distance Tables Sup #1'!C173/'Total Distance Tables Sup #1'!$B173)</f>
        <v>1479.7267777082882</v>
      </c>
      <c r="D41" s="4">
        <f ca="1">$B41*('Updated Population'!D$37/'Updated Population'!$B$37)*('Total Distance Tables Sup #1'!D173/'Total Distance Tables Sup #1'!$B173)</f>
        <v>1533.0352918588858</v>
      </c>
      <c r="E41" s="4">
        <f ca="1">$B41*('Updated Population'!E$37/'Updated Population'!$B$37)*('Total Distance Tables Sup #1'!E173/'Total Distance Tables Sup #1'!$B173)</f>
        <v>1565.4259641958718</v>
      </c>
      <c r="F41" s="4">
        <f ca="1">$B41*('Updated Population'!F$37/'Updated Population'!$B$37)*('Total Distance Tables Sup #1'!F173/'Total Distance Tables Sup #1'!$B173)</f>
        <v>1587.2529049623772</v>
      </c>
      <c r="G41" s="4">
        <f ca="1">$B41*('Updated Population'!G$37/'Updated Population'!$B$37)*('Total Distance Tables Sup #1'!G173/'Total Distance Tables Sup #1'!$B173)</f>
        <v>1600.2620439790148</v>
      </c>
      <c r="H41" s="4">
        <f ca="1">$B41*('Updated Population'!H$37/'Updated Population'!$B$37)*('Total Distance Tables Sup #1'!H173/'Total Distance Tables Sup #1'!$B173)</f>
        <v>1605.9686018436992</v>
      </c>
      <c r="I41" s="1">
        <f ca="1">$B41*('Updated Population'!I$37/'Updated Population'!$B$37)*('Total Distance Tables Sup #1'!I173/'Total Distance Tables Sup #1'!$B173)</f>
        <v>1629.064655958741</v>
      </c>
      <c r="J41" s="1">
        <f ca="1">$B41*('Updated Population'!J$37/'Updated Population'!$B$37)*('Total Distance Tables Sup #1'!J173/'Total Distance Tables Sup #1'!$B173)</f>
        <v>1647.2326938237281</v>
      </c>
      <c r="K41" s="1">
        <f ca="1">$B41*('Updated Population'!K$37/'Updated Population'!$B$37)*('Total Distance Tables Sup #1'!K173/'Total Distance Tables Sup #1'!$B173)</f>
        <v>1662.0238603829184</v>
      </c>
    </row>
    <row r="42" spans="1:11" x14ac:dyDescent="0.2">
      <c r="A42" t="str">
        <f ca="1">OFFSET(BOP_Reference,28,2)</f>
        <v>Taxi/Vehicle Share</v>
      </c>
      <c r="B42" s="4">
        <f ca="1">OFFSET(BOP_Reference,28,6)</f>
        <v>0.98369936449999995</v>
      </c>
      <c r="C42" s="4">
        <f ca="1">$B42*('Updated Population'!C$37/'Updated Population'!$B$37)*('Total Distance Tables Sup #1'!C174/'Total Distance Tables Sup #1'!$B174)</f>
        <v>1.1479920821261531</v>
      </c>
      <c r="D42" s="4">
        <f ca="1">$B42*('Updated Population'!D$37/'Updated Population'!$B$37)*('Total Distance Tables Sup #1'!D174/'Total Distance Tables Sup #1'!$B174)</f>
        <v>1.2871421259201714</v>
      </c>
      <c r="E42" s="4">
        <f ca="1">$B42*('Updated Population'!E$37/'Updated Population'!$B$37)*('Total Distance Tables Sup #1'!E174/'Total Distance Tables Sup #1'!$B174)</f>
        <v>1.413736700372981</v>
      </c>
      <c r="F42" s="4">
        <f ca="1">$B42*('Updated Population'!F$37/'Updated Population'!$B$37)*('Total Distance Tables Sup #1'!F174/'Total Distance Tables Sup #1'!$B174)</f>
        <v>1.5276173614162833</v>
      </c>
      <c r="G42" s="4">
        <f ca="1">$B42*('Updated Population'!G$37/'Updated Population'!$B$37)*('Total Distance Tables Sup #1'!G174/'Total Distance Tables Sup #1'!$B174)</f>
        <v>1.6206422733486914</v>
      </c>
      <c r="H42" s="4">
        <f ca="1">$B42*('Updated Population'!H$37/'Updated Population'!$B$37)*('Total Distance Tables Sup #1'!H174/'Total Distance Tables Sup #1'!$B174)</f>
        <v>1.7111179334800082</v>
      </c>
      <c r="I42" s="1">
        <f ca="1">$B42*('Updated Population'!I$37/'Updated Population'!$B$37)*('Total Distance Tables Sup #1'!I174/'Total Distance Tables Sup #1'!$B174)</f>
        <v>1.7357261807044575</v>
      </c>
      <c r="J42" s="1">
        <f ca="1">$B42*('Updated Population'!J$37/'Updated Population'!$B$37)*('Total Distance Tables Sup #1'!J174/'Total Distance Tables Sup #1'!$B174)</f>
        <v>1.7550837543028663</v>
      </c>
      <c r="K42" s="1">
        <f ca="1">$B42*('Updated Population'!K$37/'Updated Population'!$B$37)*('Total Distance Tables Sup #1'!K174/'Total Distance Tables Sup #1'!$B174)</f>
        <v>1.7708433590220773</v>
      </c>
    </row>
    <row r="43" spans="1:11" x14ac:dyDescent="0.2">
      <c r="A43" t="str">
        <f ca="1">OFFSET(BOP_Reference,35,2)</f>
        <v>Motorcyclist</v>
      </c>
      <c r="B43" s="4">
        <f ca="1">OFFSET(BOP_Reference,35,6)</f>
        <v>35.608960758999999</v>
      </c>
      <c r="C43" s="4">
        <f ca="1">$B43*('Updated Population'!C$37/'Updated Population'!$B$37)*('Total Distance Tables Sup #1'!C175/'Total Distance Tables Sup #1'!$B175)</f>
        <v>39.314372806110697</v>
      </c>
      <c r="D43" s="4">
        <f ca="1">$B43*('Updated Population'!D$37/'Updated Population'!$B$37)*('Total Distance Tables Sup #1'!D175/'Total Distance Tables Sup #1'!$B175)</f>
        <v>41.354053213950216</v>
      </c>
      <c r="E43" s="4">
        <f ca="1">$B43*('Updated Population'!E$37/'Updated Population'!$B$37)*('Total Distance Tables Sup #1'!E175/'Total Distance Tables Sup #1'!$B175)</f>
        <v>41.844365699335341</v>
      </c>
      <c r="F43" s="4">
        <f ca="1">$B43*('Updated Population'!F$37/'Updated Population'!$B$37)*('Total Distance Tables Sup #1'!F175/'Total Distance Tables Sup #1'!$B175)</f>
        <v>41.920886410441113</v>
      </c>
      <c r="G43" s="4">
        <f ca="1">$B43*('Updated Population'!G$37/'Updated Population'!$B$37)*('Total Distance Tables Sup #1'!G175/'Total Distance Tables Sup #1'!$B175)</f>
        <v>41.252394714341875</v>
      </c>
      <c r="H43" s="4">
        <f ca="1">$B43*('Updated Population'!H$37/'Updated Population'!$B$37)*('Total Distance Tables Sup #1'!H175/'Total Distance Tables Sup #1'!$B175)</f>
        <v>40.400763232802433</v>
      </c>
      <c r="I43" s="1">
        <f ca="1">$B43*('Updated Population'!I$37/'Updated Population'!$B$37)*('Total Distance Tables Sup #1'!I175/'Total Distance Tables Sup #1'!$B175)</f>
        <v>40.981782197209682</v>
      </c>
      <c r="J43" s="1">
        <f ca="1">$B43*('Updated Population'!J$37/'Updated Population'!$B$37)*('Total Distance Tables Sup #1'!J175/'Total Distance Tables Sup #1'!$B175)</f>
        <v>41.438828863841451</v>
      </c>
      <c r="K43" s="1">
        <f ca="1">$B43*('Updated Population'!K$37/'Updated Population'!$B$37)*('Total Distance Tables Sup #1'!K175/'Total Distance Tables Sup #1'!$B175)</f>
        <v>41.81092481727962</v>
      </c>
    </row>
    <row r="44" spans="1:11" x14ac:dyDescent="0.2">
      <c r="A44" t="str">
        <f ca="1">OFFSET(Auckland_Reference,42,2)</f>
        <v>Local Train</v>
      </c>
      <c r="B44" s="4">
        <v>0</v>
      </c>
      <c r="C44" s="4">
        <f ca="1">$B44*('Updated Population'!C$37/'Updated Population'!$B$37)*('Total Distance Tables Sup #1'!C176/'Total Distance Tables Sup #1'!$B176)</f>
        <v>0</v>
      </c>
      <c r="D44" s="4">
        <f ca="1">$B44*('Updated Population'!D$37/'Updated Population'!$B$37)*('Total Distance Tables Sup #1'!D176/'Total Distance Tables Sup #1'!$B176)</f>
        <v>0</v>
      </c>
      <c r="E44" s="4">
        <f ca="1">$B44*('Updated Population'!E$37/'Updated Population'!$B$37)*('Total Distance Tables Sup #1'!E176/'Total Distance Tables Sup #1'!$B176)</f>
        <v>0</v>
      </c>
      <c r="F44" s="4">
        <f ca="1">$B44*('Updated Population'!F$37/'Updated Population'!$B$37)*('Total Distance Tables Sup #1'!F176/'Total Distance Tables Sup #1'!$B176)</f>
        <v>0</v>
      </c>
      <c r="G44" s="4">
        <f ca="1">$B44*('Updated Population'!G$37/'Updated Population'!$B$37)*('Total Distance Tables Sup #1'!G176/'Total Distance Tables Sup #1'!$B176)</f>
        <v>0</v>
      </c>
      <c r="H44" s="4">
        <f ca="1">$B44*('Updated Population'!H$37/'Updated Population'!$B$37)*('Total Distance Tables Sup #1'!H176/'Total Distance Tables Sup #1'!$B176)</f>
        <v>0</v>
      </c>
      <c r="I44" s="1">
        <f ca="1">$B44*('Updated Population'!I$37/'Updated Population'!$B$37)*('Total Distance Tables Sup #1'!I176/'Total Distance Tables Sup #1'!$B176)</f>
        <v>0</v>
      </c>
      <c r="J44" s="1">
        <f ca="1">$B44*('Updated Population'!J$37/'Updated Population'!$B$37)*('Total Distance Tables Sup #1'!J176/'Total Distance Tables Sup #1'!$B176)</f>
        <v>0</v>
      </c>
      <c r="K44" s="1">
        <f ca="1">$B44*('Updated Population'!K$37/'Updated Population'!$B$37)*('Total Distance Tables Sup #1'!K176/'Total Distance Tables Sup #1'!$B176)</f>
        <v>0</v>
      </c>
    </row>
    <row r="45" spans="1:11" x14ac:dyDescent="0.2">
      <c r="A45" t="str">
        <f ca="1">OFFSET(BOP_Reference,42,2)</f>
        <v>Local Bus</v>
      </c>
      <c r="B45" s="4">
        <f ca="1">OFFSET(BOP_Reference,42,6)</f>
        <v>52.669440211999998</v>
      </c>
      <c r="C45" s="4">
        <f ca="1">$B45*('Updated Population'!C$37/'Updated Population'!$B$37)*('Total Distance Tables Sup #1'!C177/'Total Distance Tables Sup #1'!$B177)</f>
        <v>52.132796153094887</v>
      </c>
      <c r="D45" s="4">
        <f ca="1">$B45*('Updated Population'!D$37/'Updated Population'!$B$37)*('Total Distance Tables Sup #1'!D177/'Total Distance Tables Sup #1'!$B177)</f>
        <v>51.548814843109682</v>
      </c>
      <c r="E45" s="4">
        <f ca="1">$B45*('Updated Population'!E$37/'Updated Population'!$B$37)*('Total Distance Tables Sup #1'!E177/'Total Distance Tables Sup #1'!$B177)</f>
        <v>51.031094654930889</v>
      </c>
      <c r="F45" s="4">
        <f ca="1">$B45*('Updated Population'!F$37/'Updated Population'!$B$37)*('Total Distance Tables Sup #1'!F177/'Total Distance Tables Sup #1'!$B177)</f>
        <v>49.719970487622447</v>
      </c>
      <c r="G45" s="4">
        <f ca="1">$B45*('Updated Population'!G$37/'Updated Population'!$B$37)*('Total Distance Tables Sup #1'!G177/'Total Distance Tables Sup #1'!$B177)</f>
        <v>48.957699148808921</v>
      </c>
      <c r="H45" s="4">
        <f ca="1">$B45*('Updated Population'!H$37/'Updated Population'!$B$37)*('Total Distance Tables Sup #1'!H177/'Total Distance Tables Sup #1'!$B177)</f>
        <v>47.993274547137808</v>
      </c>
      <c r="I45" s="1">
        <f ca="1">$B45*('Updated Population'!I$37/'Updated Population'!$B$37)*('Total Distance Tables Sup #1'!I177/'Total Distance Tables Sup #1'!$B177)</f>
        <v>48.683484346274724</v>
      </c>
      <c r="J45" s="1">
        <f ca="1">$B45*('Updated Population'!J$37/'Updated Population'!$B$37)*('Total Distance Tables Sup #1'!J177/'Total Distance Tables Sup #1'!$B177)</f>
        <v>49.22642374635771</v>
      </c>
      <c r="K45" s="1">
        <f ca="1">$B45*('Updated Population'!K$37/'Updated Population'!$B$37)*('Total Distance Tables Sup #1'!K177/'Total Distance Tables Sup #1'!$B177)</f>
        <v>49.668447654379776</v>
      </c>
    </row>
    <row r="46" spans="1:11" x14ac:dyDescent="0.2">
      <c r="A46" t="str">
        <f ca="1">OFFSET(Waikato_Reference,56,2)</f>
        <v>Local Ferry</v>
      </c>
      <c r="B46" s="4">
        <v>0</v>
      </c>
      <c r="C46" s="4">
        <f ca="1">$B46*('Updated Population'!C$37/'Updated Population'!$B$37)*('Total Distance Tables Sup #1'!C178/'Total Distance Tables Sup #1'!$B178)</f>
        <v>0</v>
      </c>
      <c r="D46" s="4">
        <f ca="1">$B46*('Updated Population'!D$37/'Updated Population'!$B$37)*('Total Distance Tables Sup #1'!D178/'Total Distance Tables Sup #1'!$B178)</f>
        <v>0</v>
      </c>
      <c r="E46" s="4">
        <f ca="1">$B46*('Updated Population'!E$37/'Updated Population'!$B$37)*('Total Distance Tables Sup #1'!E178/'Total Distance Tables Sup #1'!$B178)</f>
        <v>0</v>
      </c>
      <c r="F46" s="4">
        <f ca="1">$B46*('Updated Population'!F$37/'Updated Population'!$B$37)*('Total Distance Tables Sup #1'!F178/'Total Distance Tables Sup #1'!$B178)</f>
        <v>0</v>
      </c>
      <c r="G46" s="4">
        <f ca="1">$B46*('Updated Population'!G$37/'Updated Population'!$B$37)*('Total Distance Tables Sup #1'!G178/'Total Distance Tables Sup #1'!$B178)</f>
        <v>0</v>
      </c>
      <c r="H46" s="4">
        <f ca="1">$B46*('Updated Population'!H$37/'Updated Population'!$B$37)*('Total Distance Tables Sup #1'!H178/'Total Distance Tables Sup #1'!$B178)</f>
        <v>0</v>
      </c>
      <c r="I46" s="1">
        <f ca="1">$B46*('Updated Population'!I$37/'Updated Population'!$B$37)*('Total Distance Tables Sup #1'!I178/'Total Distance Tables Sup #1'!$B178)</f>
        <v>0</v>
      </c>
      <c r="J46" s="1">
        <f ca="1">$B46*('Updated Population'!J$37/'Updated Population'!$B$37)*('Total Distance Tables Sup #1'!J178/'Total Distance Tables Sup #1'!$B178)</f>
        <v>0</v>
      </c>
      <c r="K46" s="1">
        <f ca="1">$B46*('Updated Population'!K$37/'Updated Population'!$B$37)*('Total Distance Tables Sup #1'!K178/'Total Distance Tables Sup #1'!$B178)</f>
        <v>0</v>
      </c>
    </row>
    <row r="47" spans="1:11" x14ac:dyDescent="0.2">
      <c r="A47" t="str">
        <f ca="1">OFFSET(BOP_Reference,49,2)</f>
        <v>Other Household Travel</v>
      </c>
      <c r="B47" s="4">
        <f ca="1">OFFSET(BOP_Reference,49,6)</f>
        <v>0</v>
      </c>
      <c r="C47" s="4">
        <f ca="1">$B47*('Updated Population'!C$37/'Updated Population'!$B$37)*('Total Distance Tables Sup #1'!C179/'Total Distance Tables Sup #1'!$B179)</f>
        <v>0</v>
      </c>
      <c r="D47" s="4">
        <f ca="1">$B47*('Updated Population'!D$37/'Updated Population'!$B$37)*('Total Distance Tables Sup #1'!D179/'Total Distance Tables Sup #1'!$B179)</f>
        <v>0</v>
      </c>
      <c r="E47" s="4">
        <f ca="1">$B47*('Updated Population'!E$37/'Updated Population'!$B$37)*('Total Distance Tables Sup #1'!E179/'Total Distance Tables Sup #1'!$B179)</f>
        <v>0</v>
      </c>
      <c r="F47" s="4">
        <f ca="1">$B47*('Updated Population'!F$37/'Updated Population'!$B$37)*('Total Distance Tables Sup #1'!F179/'Total Distance Tables Sup #1'!$B179)</f>
        <v>0</v>
      </c>
      <c r="G47" s="4">
        <f ca="1">$B47*('Updated Population'!G$37/'Updated Population'!$B$37)*('Total Distance Tables Sup #1'!G179/'Total Distance Tables Sup #1'!$B179)</f>
        <v>0</v>
      </c>
      <c r="H47" s="4">
        <f ca="1">$B47*('Updated Population'!H$37/'Updated Population'!$B$37)*('Total Distance Tables Sup #1'!H179/'Total Distance Tables Sup #1'!$B179)</f>
        <v>0</v>
      </c>
      <c r="I47" s="1">
        <f ca="1">$B47*('Updated Population'!I$37/'Updated Population'!$B$37)*('Total Distance Tables Sup #1'!I179/'Total Distance Tables Sup #1'!$B179)</f>
        <v>0</v>
      </c>
      <c r="J47" s="1">
        <f ca="1">$B47*('Updated Population'!J$37/'Updated Population'!$B$37)*('Total Distance Tables Sup #1'!J179/'Total Distance Tables Sup #1'!$B179)</f>
        <v>0</v>
      </c>
      <c r="K47" s="1">
        <f ca="1">$B47*('Updated Population'!K$37/'Updated Population'!$B$37)*('Total Distance Tables Sup #1'!K179/'Total Distance Tables Sup #1'!$B179)</f>
        <v>0</v>
      </c>
    </row>
    <row r="48" spans="1:11" x14ac:dyDescent="0.2">
      <c r="A48" t="str">
        <f ca="1">OFFSET(Gisborne_Reference,0,0)</f>
        <v>05 GISBORNE</v>
      </c>
      <c r="I48" s="1"/>
      <c r="J48" s="1"/>
      <c r="K48" s="1"/>
    </row>
    <row r="49" spans="1:11" x14ac:dyDescent="0.2">
      <c r="A49" t="str">
        <f ca="1">OFFSET(Gisborne_Reference,0,2)</f>
        <v>Pedestrian</v>
      </c>
      <c r="B49" s="4">
        <f ca="1">OFFSET(Gisborne_Reference,0,6)</f>
        <v>7.5635235767999998</v>
      </c>
      <c r="C49" s="4">
        <f ca="1">$B49*('Updated Population'!C$48/'Updated Population'!$B$48)*('Total Distance Tables Sup #1'!C170/'Total Distance Tables Sup #1'!$B170)</f>
        <v>7.7628395969588935</v>
      </c>
      <c r="D49" s="4">
        <f ca="1">$B49*('Updated Population'!D$48/'Updated Population'!$B$48)*('Total Distance Tables Sup #1'!D170/'Total Distance Tables Sup #1'!$B170)</f>
        <v>7.8419971813962039</v>
      </c>
      <c r="E49" s="4">
        <f ca="1">$B49*('Updated Population'!E$48/'Updated Population'!$B$48)*('Total Distance Tables Sup #1'!E170/'Total Distance Tables Sup #1'!$B170)</f>
        <v>7.8626292953621553</v>
      </c>
      <c r="F49" s="4">
        <f ca="1">$B49*('Updated Population'!F$48/'Updated Population'!$B$48)*('Total Distance Tables Sup #1'!F170/'Total Distance Tables Sup #1'!$B170)</f>
        <v>7.8035685309849869</v>
      </c>
      <c r="G49" s="4">
        <f ca="1">$B49*('Updated Population'!G$48/'Updated Population'!$B$48)*('Total Distance Tables Sup #1'!G170/'Total Distance Tables Sup #1'!$B170)</f>
        <v>7.7142220479243049</v>
      </c>
      <c r="H49" s="4">
        <f ca="1">$B49*('Updated Population'!H$48/'Updated Population'!$B$48)*('Total Distance Tables Sup #1'!H170/'Total Distance Tables Sup #1'!$B170)</f>
        <v>7.595407457045134</v>
      </c>
      <c r="I49" s="1">
        <f ca="1">$B49*('Updated Population'!I$48/'Updated Population'!$B$48)*('Total Distance Tables Sup #1'!I170/'Total Distance Tables Sup #1'!$B170)</f>
        <v>7.5241207833605372</v>
      </c>
      <c r="J49" s="1">
        <f ca="1">$B49*('Updated Population'!J$48/'Updated Population'!$B$48)*('Total Distance Tables Sup #1'!J170/'Total Distance Tables Sup #1'!$B170)</f>
        <v>7.429777385672991</v>
      </c>
      <c r="K49" s="1">
        <f ca="1">$B49*('Updated Population'!K$48/'Updated Population'!$B$48)*('Total Distance Tables Sup #1'!K170/'Total Distance Tables Sup #1'!$B170)</f>
        <v>7.3208500767472602</v>
      </c>
    </row>
    <row r="50" spans="1:11" x14ac:dyDescent="0.2">
      <c r="A50" t="str">
        <f ca="1">OFFSET(Gisborne_Reference,7,2)</f>
        <v>Cyclist</v>
      </c>
      <c r="B50" s="4">
        <f ca="1">OFFSET(Gisborne_Reference,7,6)</f>
        <v>3.8031873472000002</v>
      </c>
      <c r="C50" s="4">
        <f ca="1">$B50*('Updated Population'!C$48/'Updated Population'!$B$48)*('Total Distance Tables Sup #1'!C171/'Total Distance Tables Sup #1'!$B171)</f>
        <v>4.0136903436177871</v>
      </c>
      <c r="D50" s="4">
        <f ca="1">$B50*('Updated Population'!D$48/'Updated Population'!$B$48)*('Total Distance Tables Sup #1'!D171/'Total Distance Tables Sup #1'!$B171)</f>
        <v>4.0896196873794848</v>
      </c>
      <c r="E50" s="4">
        <f ca="1">$B50*('Updated Population'!E$48/'Updated Population'!$B$48)*('Total Distance Tables Sup #1'!E171/'Total Distance Tables Sup #1'!$B171)</f>
        <v>4.0760651171799349</v>
      </c>
      <c r="F50" s="4">
        <f ca="1">$B50*('Updated Population'!F$48/'Updated Population'!$B$48)*('Total Distance Tables Sup #1'!F171/'Total Distance Tables Sup #1'!$B171)</f>
        <v>4.1030246927530509</v>
      </c>
      <c r="G50" s="4">
        <f ca="1">$B50*('Updated Population'!G$48/'Updated Population'!$B$48)*('Total Distance Tables Sup #1'!G171/'Total Distance Tables Sup #1'!$B171)</f>
        <v>4.1729752005874836</v>
      </c>
      <c r="H50" s="4">
        <f ca="1">$B50*('Updated Population'!H$48/'Updated Population'!$B$48)*('Total Distance Tables Sup #1'!H171/'Total Distance Tables Sup #1'!$B171)</f>
        <v>4.233461601116316</v>
      </c>
      <c r="I50" s="1">
        <f ca="1">$B50*('Updated Population'!I$48/'Updated Population'!$B$48)*('Total Distance Tables Sup #1'!I171/'Total Distance Tables Sup #1'!$B171)</f>
        <v>4.1937284600805285</v>
      </c>
      <c r="J50" s="1">
        <f ca="1">$B50*('Updated Population'!J$48/'Updated Population'!$B$48)*('Total Distance Tables Sup #1'!J171/'Total Distance Tables Sup #1'!$B171)</f>
        <v>4.1411441644139924</v>
      </c>
      <c r="K50" s="1">
        <f ca="1">$B50*('Updated Population'!K$48/'Updated Population'!$B$48)*('Total Distance Tables Sup #1'!K171/'Total Distance Tables Sup #1'!$B171)</f>
        <v>4.0804312161939089</v>
      </c>
    </row>
    <row r="51" spans="1:11" x14ac:dyDescent="0.2">
      <c r="A51" t="str">
        <f ca="1">OFFSET(Gisborne_Reference,14,2)</f>
        <v>Light Vehicle Driver</v>
      </c>
      <c r="B51" s="4">
        <f ca="1">OFFSET(Gisborne_Reference,14,6)</f>
        <v>241.40144318</v>
      </c>
      <c r="C51" s="4">
        <f ca="1">$B51*('Updated Population'!C$48/'Updated Population'!$B$48)*('Total Distance Tables Sup #1'!C172/'Total Distance Tables Sup #1'!$B172)</f>
        <v>256.04951036979566</v>
      </c>
      <c r="D51" s="4">
        <f ca="1">$B51*('Updated Population'!D$48/'Updated Population'!$B$48)*('Total Distance Tables Sup #1'!D172/'Total Distance Tables Sup #1'!$B172)</f>
        <v>264.06473680288371</v>
      </c>
      <c r="E51" s="4">
        <f ca="1">$B51*('Updated Population'!E$48/'Updated Population'!$B$48)*('Total Distance Tables Sup #1'!E172/'Total Distance Tables Sup #1'!$B172)</f>
        <v>267.49000442601869</v>
      </c>
      <c r="F51" s="4">
        <f ca="1">$B51*('Updated Population'!F$48/'Updated Population'!$B$48)*('Total Distance Tables Sup #1'!F172/'Total Distance Tables Sup #1'!$B172)</f>
        <v>269.63428201688816</v>
      </c>
      <c r="G51" s="4">
        <f ca="1">$B51*('Updated Population'!G$48/'Updated Population'!$B$48)*('Total Distance Tables Sup #1'!G172/'Total Distance Tables Sup #1'!$B172)</f>
        <v>268.70787414976331</v>
      </c>
      <c r="H51" s="4">
        <f ca="1">$B51*('Updated Population'!H$48/'Updated Population'!$B$48)*('Total Distance Tables Sup #1'!H172/'Total Distance Tables Sup #1'!$B172)</f>
        <v>266.84762680500529</v>
      </c>
      <c r="I51" s="1">
        <f ca="1">$B51*('Updated Population'!I$48/'Updated Population'!$B$48)*('Total Distance Tables Sup #1'!I172/'Total Distance Tables Sup #1'!$B172)</f>
        <v>264.34312921180333</v>
      </c>
      <c r="J51" s="1">
        <f ca="1">$B51*('Updated Population'!J$48/'Updated Population'!$B$48)*('Total Distance Tables Sup #1'!J172/'Total Distance Tables Sup #1'!$B172)</f>
        <v>261.02858526929356</v>
      </c>
      <c r="K51" s="1">
        <f ca="1">$B51*('Updated Population'!K$48/'Updated Population'!$B$48)*('Total Distance Tables Sup #1'!K172/'Total Distance Tables Sup #1'!$B172)</f>
        <v>257.20166827432371</v>
      </c>
    </row>
    <row r="52" spans="1:11" x14ac:dyDescent="0.2">
      <c r="A52" t="str">
        <f ca="1">OFFSET(Gisborne_Reference,21,2)</f>
        <v>Light Vehicle Passenger</v>
      </c>
      <c r="B52" s="4">
        <f ca="1">OFFSET(Gisborne_Reference,21,6)</f>
        <v>174.74236519999999</v>
      </c>
      <c r="C52" s="4">
        <f ca="1">$B52*('Updated Population'!C$48/'Updated Population'!$B$48)*('Total Distance Tables Sup #1'!C173/'Total Distance Tables Sup #1'!$B173)</f>
        <v>177.51479796001988</v>
      </c>
      <c r="D52" s="4">
        <f ca="1">$B52*('Updated Population'!D$48/'Updated Population'!$B$48)*('Total Distance Tables Sup #1'!D173/'Total Distance Tables Sup #1'!$B173)</f>
        <v>178.55664985267526</v>
      </c>
      <c r="E52" s="4">
        <f ca="1">$B52*('Updated Population'!E$48/'Updated Population'!$B$48)*('Total Distance Tables Sup #1'!E173/'Total Distance Tables Sup #1'!$B173)</f>
        <v>178.16478662028788</v>
      </c>
      <c r="F52" s="4">
        <f ca="1">$B52*('Updated Population'!F$48/'Updated Population'!$B$48)*('Total Distance Tables Sup #1'!F173/'Total Distance Tables Sup #1'!$B173)</f>
        <v>176.59250368277975</v>
      </c>
      <c r="G52" s="4">
        <f ca="1">$B52*('Updated Population'!G$48/'Updated Population'!$B$48)*('Total Distance Tables Sup #1'!G173/'Total Distance Tables Sup #1'!$B173)</f>
        <v>173.84432098680719</v>
      </c>
      <c r="H52" s="4">
        <f ca="1">$B52*('Updated Population'!H$48/'Updated Population'!$B$48)*('Total Distance Tables Sup #1'!H173/'Total Distance Tables Sup #1'!$B173)</f>
        <v>170.37656751090398</v>
      </c>
      <c r="I52" s="1">
        <f ca="1">$B52*('Updated Population'!I$48/'Updated Population'!$B$48)*('Total Distance Tables Sup #1'!I173/'Total Distance Tables Sup #1'!$B173)</f>
        <v>168.77749875253397</v>
      </c>
      <c r="J52" s="1">
        <f ca="1">$B52*('Updated Population'!J$48/'Updated Population'!$B$48)*('Total Distance Tables Sup #1'!J173/'Total Distance Tables Sup #1'!$B173)</f>
        <v>166.66123252768372</v>
      </c>
      <c r="K52" s="1">
        <f ca="1">$B52*('Updated Population'!K$48/'Updated Population'!$B$48)*('Total Distance Tables Sup #1'!K173/'Total Distance Tables Sup #1'!$B173)</f>
        <v>164.21782694241105</v>
      </c>
    </row>
    <row r="53" spans="1:11" x14ac:dyDescent="0.2">
      <c r="A53" t="str">
        <f ca="1">OFFSET(Gisborne_Reference,28,2)</f>
        <v>Taxi/Vehicle Share</v>
      </c>
      <c r="B53" s="4">
        <f ca="1">OFFSET(Gisborne_Reference,28,6)</f>
        <v>0.1174510768</v>
      </c>
      <c r="C53" s="4">
        <f ca="1">$B53*('Updated Population'!C$48/'Updated Population'!$B$48)*('Total Distance Tables Sup #1'!C174/'Total Distance Tables Sup #1'!$B174)</f>
        <v>0.13035003624338573</v>
      </c>
      <c r="D53" s="4">
        <f ca="1">$B53*('Updated Population'!D$48/'Updated Population'!$B$48)*('Total Distance Tables Sup #1'!D174/'Total Distance Tables Sup #1'!$B174)</f>
        <v>0.14189582404891851</v>
      </c>
      <c r="E53" s="4">
        <f ca="1">$B53*('Updated Population'!E$48/'Updated Population'!$B$48)*('Total Distance Tables Sup #1'!E174/'Total Distance Tables Sup #1'!$B174)</f>
        <v>0.15229200547670019</v>
      </c>
      <c r="F53" s="4">
        <f ca="1">$B53*('Updated Population'!F$48/'Updated Population'!$B$48)*('Total Distance Tables Sup #1'!F174/'Total Distance Tables Sup #1'!$B174)</f>
        <v>0.1608644035230222</v>
      </c>
      <c r="G53" s="4">
        <f ca="1">$B53*('Updated Population'!G$48/'Updated Population'!$B$48)*('Total Distance Tables Sup #1'!G174/'Total Distance Tables Sup #1'!$B174)</f>
        <v>0.16663867383140857</v>
      </c>
      <c r="H53" s="4">
        <f ca="1">$B53*('Updated Population'!H$48/'Updated Population'!$B$48)*('Total Distance Tables Sup #1'!H174/'Total Distance Tables Sup #1'!$B174)</f>
        <v>0.17181931821936641</v>
      </c>
      <c r="I53" s="1">
        <f ca="1">$B53*('Updated Population'!I$48/'Updated Population'!$B$48)*('Total Distance Tables Sup #1'!I174/'Total Distance Tables Sup #1'!$B174)</f>
        <v>0.17020670852859165</v>
      </c>
      <c r="J53" s="1">
        <f ca="1">$B53*('Updated Population'!J$48/'Updated Population'!$B$48)*('Total Distance Tables Sup #1'!J174/'Total Distance Tables Sup #1'!$B174)</f>
        <v>0.16807252173731724</v>
      </c>
      <c r="K53" s="1">
        <f ca="1">$B53*('Updated Population'!K$48/'Updated Population'!$B$48)*('Total Distance Tables Sup #1'!K174/'Total Distance Tables Sup #1'!$B174)</f>
        <v>0.16560842536580139</v>
      </c>
    </row>
    <row r="54" spans="1:11" x14ac:dyDescent="0.2">
      <c r="A54" t="str">
        <f ca="1">OFFSET(Gisborne_Reference,35,2)</f>
        <v>Motorcyclist</v>
      </c>
      <c r="B54" s="4">
        <f ca="1">OFFSET(Gisborne_Reference,35,6)</f>
        <v>0.95186353219999997</v>
      </c>
      <c r="C54" s="4">
        <f ca="1">$B54*('Updated Population'!C$48/'Updated Population'!$B$48)*('Total Distance Tables Sup #1'!C175/'Total Distance Tables Sup #1'!$B175)</f>
        <v>0.99941161548675528</v>
      </c>
      <c r="D54" s="4">
        <f ca="1">$B54*('Updated Population'!D$48/'Updated Population'!$B$48)*('Total Distance Tables Sup #1'!D175/'Total Distance Tables Sup #1'!$B175)</f>
        <v>1.0206620563548781</v>
      </c>
      <c r="E54" s="4">
        <f ca="1">$B54*('Updated Population'!E$48/'Updated Population'!$B$48)*('Total Distance Tables Sup #1'!E175/'Total Distance Tables Sup #1'!$B175)</f>
        <v>1.0091746665249901</v>
      </c>
      <c r="F54" s="4">
        <f ca="1">$B54*('Updated Population'!F$48/'Updated Population'!$B$48)*('Total Distance Tables Sup #1'!F175/'Total Distance Tables Sup #1'!$B175)</f>
        <v>0.98831776543099581</v>
      </c>
      <c r="G54" s="4">
        <f ca="1">$B54*('Updated Population'!G$48/'Updated Population'!$B$48)*('Total Distance Tables Sup #1'!G175/'Total Distance Tables Sup #1'!$B175)</f>
        <v>0.94963908234141892</v>
      </c>
      <c r="H54" s="4">
        <f ca="1">$B54*('Updated Population'!H$48/'Updated Population'!$B$48)*('Total Distance Tables Sup #1'!H175/'Total Distance Tables Sup #1'!$B175)</f>
        <v>0.9082437031221301</v>
      </c>
      <c r="I54" s="1">
        <f ca="1">$B54*('Updated Population'!I$48/'Updated Population'!$B$48)*('Total Distance Tables Sup #1'!I175/'Total Distance Tables Sup #1'!$B175)</f>
        <v>0.89971938459719003</v>
      </c>
      <c r="J54" s="1">
        <f ca="1">$B54*('Updated Population'!J$48/'Updated Population'!$B$48)*('Total Distance Tables Sup #1'!J175/'Total Distance Tables Sup #1'!$B175)</f>
        <v>0.88843798891625381</v>
      </c>
      <c r="K54" s="1">
        <f ca="1">$B54*('Updated Population'!K$48/'Updated Population'!$B$48)*('Total Distance Tables Sup #1'!K175/'Total Distance Tables Sup #1'!$B175)</f>
        <v>0.87541267816244184</v>
      </c>
    </row>
    <row r="55" spans="1:11" x14ac:dyDescent="0.2">
      <c r="A55" t="str">
        <f ca="1">OFFSET(Gisborne_Reference,42,2)</f>
        <v>Local Train</v>
      </c>
      <c r="B55" s="4">
        <v>0</v>
      </c>
      <c r="C55" s="4">
        <f ca="1">$B55*('Updated Population'!C$48/'Updated Population'!$B$48)*('Total Distance Tables Sup #1'!C176/'Total Distance Tables Sup #1'!$B176)</f>
        <v>0</v>
      </c>
      <c r="D55" s="4">
        <f ca="1">$B55*('Updated Population'!D$48/'Updated Population'!$B$48)*('Total Distance Tables Sup #1'!D176/'Total Distance Tables Sup #1'!$B176)</f>
        <v>0</v>
      </c>
      <c r="E55" s="4">
        <f ca="1">$B55*('Updated Population'!E$48/'Updated Population'!$B$48)*('Total Distance Tables Sup #1'!E176/'Total Distance Tables Sup #1'!$B176)</f>
        <v>0</v>
      </c>
      <c r="F55" s="4">
        <f ca="1">$B55*('Updated Population'!F$48/'Updated Population'!$B$48)*('Total Distance Tables Sup #1'!F176/'Total Distance Tables Sup #1'!$B176)</f>
        <v>0</v>
      </c>
      <c r="G55" s="4">
        <f ca="1">$B55*('Updated Population'!G$48/'Updated Population'!$B$48)*('Total Distance Tables Sup #1'!G176/'Total Distance Tables Sup #1'!$B176)</f>
        <v>0</v>
      </c>
      <c r="H55" s="4">
        <f ca="1">$B55*('Updated Population'!H$48/'Updated Population'!$B$48)*('Total Distance Tables Sup #1'!H176/'Total Distance Tables Sup #1'!$B176)</f>
        <v>0</v>
      </c>
      <c r="I55" s="1">
        <f ca="1">$B55*('Updated Population'!I$48/'Updated Population'!$B$48)*('Total Distance Tables Sup #1'!I176/'Total Distance Tables Sup #1'!$B176)</f>
        <v>0</v>
      </c>
      <c r="J55" s="1">
        <f ca="1">$B55*('Updated Population'!J$48/'Updated Population'!$B$48)*('Total Distance Tables Sup #1'!J176/'Total Distance Tables Sup #1'!$B176)</f>
        <v>0</v>
      </c>
      <c r="K55" s="1">
        <f ca="1">$B55*('Updated Population'!K$48/'Updated Population'!$B$48)*('Total Distance Tables Sup #1'!K176/'Total Distance Tables Sup #1'!$B176)</f>
        <v>0</v>
      </c>
    </row>
    <row r="56" spans="1:11" x14ac:dyDescent="0.2">
      <c r="A56" t="str">
        <f ca="1">OFFSET(Gisborne_Reference,49,2)</f>
        <v>Local Bus</v>
      </c>
      <c r="B56" s="4">
        <f ca="1">OFFSET(Gisborne_Reference,49,6)</f>
        <v>4.8778387282000004</v>
      </c>
      <c r="C56" s="4">
        <f ca="1">$B56*('Updated Population'!C$48/'Updated Population'!$B$48)*('Total Distance Tables Sup #1'!C177/'Total Distance Tables Sup #1'!$B177)</f>
        <v>4.591529781776468</v>
      </c>
      <c r="D56" s="4">
        <f ca="1">$B56*('Updated Population'!D$48/'Updated Population'!$B$48)*('Total Distance Tables Sup #1'!D177/'Total Distance Tables Sup #1'!$B177)</f>
        <v>4.4079424742448294</v>
      </c>
      <c r="E56" s="4">
        <f ca="1">$B56*('Updated Population'!E$48/'Updated Population'!$B$48)*('Total Distance Tables Sup #1'!E177/'Total Distance Tables Sup #1'!$B177)</f>
        <v>4.2640037777298287</v>
      </c>
      <c r="F56" s="4">
        <f ca="1">$B56*('Updated Population'!F$48/'Updated Population'!$B$48)*('Total Distance Tables Sup #1'!F177/'Total Distance Tables Sup #1'!$B177)</f>
        <v>4.0611623626031754</v>
      </c>
      <c r="G56" s="4">
        <f ca="1">$B56*('Updated Population'!G$48/'Updated Population'!$B$48)*('Total Distance Tables Sup #1'!G177/'Total Distance Tables Sup #1'!$B177)</f>
        <v>3.9046648228159606</v>
      </c>
      <c r="H56" s="4">
        <f ca="1">$B56*('Updated Population'!H$48/'Updated Population'!$B$48)*('Total Distance Tables Sup #1'!H177/'Total Distance Tables Sup #1'!$B177)</f>
        <v>3.7380624615657125</v>
      </c>
      <c r="I56" s="1">
        <f ca="1">$B56*('Updated Population'!I$48/'Updated Population'!$B$48)*('Total Distance Tables Sup #1'!I177/'Total Distance Tables Sup #1'!$B177)</f>
        <v>3.7029788876538077</v>
      </c>
      <c r="J56" s="1">
        <f ca="1">$B56*('Updated Population'!J$48/'Updated Population'!$B$48)*('Total Distance Tables Sup #1'!J177/'Total Distance Tables Sup #1'!$B177)</f>
        <v>3.6565479995958836</v>
      </c>
      <c r="K56" s="1">
        <f ca="1">$B56*('Updated Population'!K$48/'Updated Population'!$B$48)*('Total Distance Tables Sup #1'!K177/'Total Distance Tables Sup #1'!$B177)</f>
        <v>3.6029396728751144</v>
      </c>
    </row>
    <row r="57" spans="1:11" x14ac:dyDescent="0.2">
      <c r="A57" t="str">
        <f ca="1">OFFSET(Gisborne_Reference,56,2)</f>
        <v>Local Ferry</v>
      </c>
      <c r="B57" s="4">
        <f ca="1">OFFSET(Gisborne_Reference,56,6)</f>
        <v>0</v>
      </c>
      <c r="C57" s="4">
        <f ca="1">$B57*('Updated Population'!C$48/'Updated Population'!$B$48)*('Total Distance Tables Sup #1'!C178/'Total Distance Tables Sup #1'!$B178)</f>
        <v>0</v>
      </c>
      <c r="D57" s="4">
        <f ca="1">$B57*('Updated Population'!D$48/'Updated Population'!$B$48)*('Total Distance Tables Sup #1'!D178/'Total Distance Tables Sup #1'!$B178)</f>
        <v>0</v>
      </c>
      <c r="E57" s="4">
        <f ca="1">$B57*('Updated Population'!E$48/'Updated Population'!$B$48)*('Total Distance Tables Sup #1'!E178/'Total Distance Tables Sup #1'!$B178)</f>
        <v>0</v>
      </c>
      <c r="F57" s="4">
        <f ca="1">$B57*('Updated Population'!F$48/'Updated Population'!$B$48)*('Total Distance Tables Sup #1'!F178/'Total Distance Tables Sup #1'!$B178)</f>
        <v>0</v>
      </c>
      <c r="G57" s="4">
        <f ca="1">$B57*('Updated Population'!G$48/'Updated Population'!$B$48)*('Total Distance Tables Sup #1'!G178/'Total Distance Tables Sup #1'!$B178)</f>
        <v>0</v>
      </c>
      <c r="H57" s="4">
        <f ca="1">$B57*('Updated Population'!H$48/'Updated Population'!$B$48)*('Total Distance Tables Sup #1'!H178/'Total Distance Tables Sup #1'!$B178)</f>
        <v>0</v>
      </c>
      <c r="I57" s="1">
        <f ca="1">$B57*('Updated Population'!I$48/'Updated Population'!$B$48)*('Total Distance Tables Sup #1'!I178/'Total Distance Tables Sup #1'!$B178)</f>
        <v>0</v>
      </c>
      <c r="J57" s="1">
        <f ca="1">$B57*('Updated Population'!J$48/'Updated Population'!$B$48)*('Total Distance Tables Sup #1'!J178/'Total Distance Tables Sup #1'!$B178)</f>
        <v>0</v>
      </c>
      <c r="K57" s="1">
        <f ca="1">$B57*('Updated Population'!K$48/'Updated Population'!$B$48)*('Total Distance Tables Sup #1'!K178/'Total Distance Tables Sup #1'!$B178)</f>
        <v>0</v>
      </c>
    </row>
    <row r="58" spans="1:11" x14ac:dyDescent="0.2">
      <c r="A58" t="str">
        <f ca="1">OFFSET(Gisborne_Reference,63,2)</f>
        <v>Other Household Travel</v>
      </c>
      <c r="B58" s="4">
        <f ca="1">OFFSET(Gisborne_Reference,63,6)</f>
        <v>0</v>
      </c>
      <c r="C58" s="4">
        <f ca="1">$B58*('Updated Population'!C$48/'Updated Population'!$B$48)*('Total Distance Tables Sup #1'!C179/'Total Distance Tables Sup #1'!$B179)</f>
        <v>0</v>
      </c>
      <c r="D58" s="4">
        <f ca="1">$B58*('Updated Population'!D$48/'Updated Population'!$B$48)*('Total Distance Tables Sup #1'!D179/'Total Distance Tables Sup #1'!$B179)</f>
        <v>0</v>
      </c>
      <c r="E58" s="4">
        <f ca="1">$B58*('Updated Population'!E$48/'Updated Population'!$B$48)*('Total Distance Tables Sup #1'!E179/'Total Distance Tables Sup #1'!$B179)</f>
        <v>0</v>
      </c>
      <c r="F58" s="4">
        <f ca="1">$B58*('Updated Population'!F$48/'Updated Population'!$B$48)*('Total Distance Tables Sup #1'!F179/'Total Distance Tables Sup #1'!$B179)</f>
        <v>0</v>
      </c>
      <c r="G58" s="4">
        <f ca="1">$B58*('Updated Population'!G$48/'Updated Population'!$B$48)*('Total Distance Tables Sup #1'!G179/'Total Distance Tables Sup #1'!$B179)</f>
        <v>0</v>
      </c>
      <c r="H58" s="4">
        <f ca="1">$B58*('Updated Population'!H$48/'Updated Population'!$B$48)*('Total Distance Tables Sup #1'!H179/'Total Distance Tables Sup #1'!$B179)</f>
        <v>0</v>
      </c>
      <c r="I58" s="1">
        <f ca="1">$B58*('Updated Population'!I$48/'Updated Population'!$B$48)*('Total Distance Tables Sup #1'!I179/'Total Distance Tables Sup #1'!$B179)</f>
        <v>0</v>
      </c>
      <c r="J58" s="1">
        <f ca="1">$B58*('Updated Population'!J$48/'Updated Population'!$B$48)*('Total Distance Tables Sup #1'!J179/'Total Distance Tables Sup #1'!$B179)</f>
        <v>0</v>
      </c>
      <c r="K58" s="1">
        <f ca="1">$B58*('Updated Population'!K$48/'Updated Population'!$B$48)*('Total Distance Tables Sup #1'!K179/'Total Distance Tables Sup #1'!$B179)</f>
        <v>0</v>
      </c>
    </row>
    <row r="59" spans="1:11" x14ac:dyDescent="0.2">
      <c r="A59" t="str">
        <f ca="1">OFFSET(Hawkes_Bay_Reference,0,0)</f>
        <v>06 HAWKE`S BAY</v>
      </c>
      <c r="I59" s="1"/>
      <c r="J59" s="1"/>
      <c r="K59" s="1"/>
    </row>
    <row r="60" spans="1:11" x14ac:dyDescent="0.2">
      <c r="A60" t="str">
        <f ca="1">OFFSET(Hawkes_Bay_Reference,0,2)</f>
        <v>Pedestrian</v>
      </c>
      <c r="B60" s="4">
        <f ca="1">OFFSET(Hawkes_Bay_Reference,0,6)</f>
        <v>22.691613215</v>
      </c>
      <c r="C60" s="4">
        <f ca="1">$B60*('Updated Population'!C$59/'Updated Population'!$B$59)*('Total Distance Tables Sup #1'!C170/'Total Distance Tables Sup #1'!$B170)</f>
        <v>23.440638278924812</v>
      </c>
      <c r="D60" s="4">
        <f ca="1">$B60*('Updated Population'!D$59/'Updated Population'!$B$59)*('Total Distance Tables Sup #1'!D170/'Total Distance Tables Sup #1'!$B170)</f>
        <v>23.715766452485088</v>
      </c>
      <c r="E60" s="4">
        <f ca="1">$B60*('Updated Population'!E$59/'Updated Population'!$B$59)*('Total Distance Tables Sup #1'!E170/'Total Distance Tables Sup #1'!$B170)</f>
        <v>23.843672770919344</v>
      </c>
      <c r="F60" s="4">
        <f ca="1">$B60*('Updated Population'!F$59/'Updated Population'!$B$59)*('Total Distance Tables Sup #1'!F170/'Total Distance Tables Sup #1'!$B170)</f>
        <v>23.703419476888989</v>
      </c>
      <c r="G60" s="4">
        <f ca="1">$B60*('Updated Population'!G$59/'Updated Population'!$B$59)*('Total Distance Tables Sup #1'!G170/'Total Distance Tables Sup #1'!$B170)</f>
        <v>23.50613436056824</v>
      </c>
      <c r="H60" s="4">
        <f ca="1">$B60*('Updated Population'!H$59/'Updated Population'!$B$59)*('Total Distance Tables Sup #1'!H170/'Total Distance Tables Sup #1'!$B170)</f>
        <v>23.201730376420343</v>
      </c>
      <c r="I60" s="1">
        <f ca="1">$B60*('Updated Population'!I$59/'Updated Population'!$B$59)*('Total Distance Tables Sup #1'!I170/'Total Distance Tables Sup #1'!$B170)</f>
        <v>23.041209772311298</v>
      </c>
      <c r="J60" s="1">
        <f ca="1">$B60*('Updated Population'!J$59/'Updated Population'!$B$59)*('Total Distance Tables Sup #1'!J170/'Total Distance Tables Sup #1'!$B170)</f>
        <v>22.808963014913562</v>
      </c>
      <c r="K60" s="1">
        <f ca="1">$B60*('Updated Population'!K$59/'Updated Population'!$B$59)*('Total Distance Tables Sup #1'!K170/'Total Distance Tables Sup #1'!$B170)</f>
        <v>22.530533365569642</v>
      </c>
    </row>
    <row r="61" spans="1:11" x14ac:dyDescent="0.2">
      <c r="A61" t="str">
        <f ca="1">OFFSET(Hawkes_Bay_Reference,7,2)</f>
        <v>Cyclist</v>
      </c>
      <c r="B61" s="4">
        <f ca="1">OFFSET(Hawkes_Bay_Reference,7,6)</f>
        <v>9.5482363540000001</v>
      </c>
      <c r="C61" s="4">
        <f ca="1">$B61*('Updated Population'!C$59/'Updated Population'!$B$59)*('Total Distance Tables Sup #1'!C171/'Total Distance Tables Sup #1'!$B171)</f>
        <v>10.142077348244634</v>
      </c>
      <c r="D61" s="4">
        <f ca="1">$B61*('Updated Population'!D$59/'Updated Population'!$B$59)*('Total Distance Tables Sup #1'!D171/'Total Distance Tables Sup #1'!$B171)</f>
        <v>10.349697104668394</v>
      </c>
      <c r="E61" s="4">
        <f ca="1">$B61*('Updated Population'!E$59/'Updated Population'!$B$59)*('Total Distance Tables Sup #1'!E171/'Total Distance Tables Sup #1'!$B171)</f>
        <v>10.34381394601164</v>
      </c>
      <c r="F61" s="4">
        <f ca="1">$B61*('Updated Population'!F$59/'Updated Population'!$B$59)*('Total Distance Tables Sup #1'!F171/'Total Distance Tables Sup #1'!$B171)</f>
        <v>10.42932300714765</v>
      </c>
      <c r="G61" s="4">
        <f ca="1">$B61*('Updated Population'!G$59/'Updated Population'!$B$59)*('Total Distance Tables Sup #1'!G171/'Total Distance Tables Sup #1'!$B171)</f>
        <v>10.640673477241805</v>
      </c>
      <c r="H61" s="4">
        <f ca="1">$B61*('Updated Population'!H$59/'Updated Population'!$B$59)*('Total Distance Tables Sup #1'!H171/'Total Distance Tables Sup #1'!$B171)</f>
        <v>10.82179139283055</v>
      </c>
      <c r="I61" s="1">
        <f ca="1">$B61*('Updated Population'!I$59/'Updated Population'!$B$59)*('Total Distance Tables Sup #1'!I171/'Total Distance Tables Sup #1'!$B171)</f>
        <v>10.74692109377369</v>
      </c>
      <c r="J61" s="1">
        <f ca="1">$B61*('Updated Population'!J$59/'Updated Population'!$B$59)*('Total Distance Tables Sup #1'!J171/'Total Distance Tables Sup #1'!$B171)</f>
        <v>10.638596157682981</v>
      </c>
      <c r="K61" s="1">
        <f ca="1">$B61*('Updated Population'!K$59/'Updated Population'!$B$59)*('Total Distance Tables Sup #1'!K171/'Total Distance Tables Sup #1'!$B171)</f>
        <v>10.508730516892626</v>
      </c>
    </row>
    <row r="62" spans="1:11" x14ac:dyDescent="0.2">
      <c r="A62" t="str">
        <f ca="1">OFFSET(Hawkes_Bay_Reference,14,2)</f>
        <v>Light Vehicle Driver</v>
      </c>
      <c r="B62" s="4">
        <f ca="1">OFFSET(Hawkes_Bay_Reference,14,6)</f>
        <v>1001.7566771</v>
      </c>
      <c r="C62" s="4">
        <f ca="1">$B62*('Updated Population'!C$59/'Updated Population'!$B$59)*('Total Distance Tables Sup #1'!C172/'Total Distance Tables Sup #1'!$B172)</f>
        <v>1069.4339004008878</v>
      </c>
      <c r="D62" s="4">
        <f ca="1">$B62*('Updated Population'!D$59/'Updated Population'!$B$59)*('Total Distance Tables Sup #1'!D172/'Total Distance Tables Sup #1'!$B172)</f>
        <v>1104.592445924643</v>
      </c>
      <c r="E62" s="4">
        <f ca="1">$B62*('Updated Population'!E$59/'Updated Population'!$B$59)*('Total Distance Tables Sup #1'!E172/'Total Distance Tables Sup #1'!$B172)</f>
        <v>1122.0031783659613</v>
      </c>
      <c r="F62" s="4">
        <f ca="1">$B62*('Updated Population'!F$59/'Updated Population'!$B$59)*('Total Distance Tables Sup #1'!F172/'Total Distance Tables Sup #1'!$B172)</f>
        <v>1132.8542511181283</v>
      </c>
      <c r="G62" s="4">
        <f ca="1">$B62*('Updated Population'!G$59/'Updated Population'!$B$59)*('Total Distance Tables Sup #1'!G172/'Total Distance Tables Sup #1'!$B172)</f>
        <v>1132.5324335721632</v>
      </c>
      <c r="H62" s="4">
        <f ca="1">$B62*('Updated Population'!H$59/'Updated Population'!$B$59)*('Total Distance Tables Sup #1'!H172/'Total Distance Tables Sup #1'!$B172)</f>
        <v>1127.4929116377493</v>
      </c>
      <c r="I62" s="1">
        <f ca="1">$B62*('Updated Population'!I$59/'Updated Population'!$B$59)*('Total Distance Tables Sup #1'!I172/'Total Distance Tables Sup #1'!$B172)</f>
        <v>1119.6923795063747</v>
      </c>
      <c r="J62" s="1">
        <f ca="1">$B62*('Updated Population'!J$59/'Updated Population'!$B$59)*('Total Distance Tables Sup #1'!J172/'Total Distance Tables Sup #1'!$B172)</f>
        <v>1108.4063000429687</v>
      </c>
      <c r="K62" s="1">
        <f ca="1">$B62*('Updated Population'!K$59/'Updated Population'!$B$59)*('Total Distance Tables Sup #1'!K172/'Total Distance Tables Sup #1'!$B172)</f>
        <v>1094.8759533433065</v>
      </c>
    </row>
    <row r="63" spans="1:11" x14ac:dyDescent="0.2">
      <c r="A63" t="str">
        <f ca="1">OFFSET(Hawkes_Bay_Reference,21,2)</f>
        <v>Light Vehicle Passenger</v>
      </c>
      <c r="B63" s="4">
        <f ca="1">OFFSET(Hawkes_Bay_Reference,21,6)</f>
        <v>607.82570181000006</v>
      </c>
      <c r="C63" s="4">
        <f ca="1">$B63*('Updated Population'!C$59/'Updated Population'!$B$59)*('Total Distance Tables Sup #1'!C173/'Total Distance Tables Sup #1'!$B173)</f>
        <v>621.47408896831894</v>
      </c>
      <c r="D63" s="4">
        <f ca="1">$B63*('Updated Population'!D$59/'Updated Population'!$B$59)*('Total Distance Tables Sup #1'!D173/'Total Distance Tables Sup #1'!$B173)</f>
        <v>626.07470148816412</v>
      </c>
      <c r="E63" s="4">
        <f ca="1">$B63*('Updated Population'!E$59/'Updated Population'!$B$59)*('Total Distance Tables Sup #1'!E173/'Total Distance Tables Sup #1'!$B173)</f>
        <v>626.42180706440126</v>
      </c>
      <c r="F63" s="4">
        <f ca="1">$B63*('Updated Population'!F$59/'Updated Population'!$B$59)*('Total Distance Tables Sup #1'!F173/'Total Distance Tables Sup #1'!$B173)</f>
        <v>621.91303661427025</v>
      </c>
      <c r="G63" s="4">
        <f ca="1">$B63*('Updated Population'!G$59/'Updated Population'!$B$59)*('Total Distance Tables Sup #1'!G173/'Total Distance Tables Sup #1'!$B173)</f>
        <v>614.17089239498114</v>
      </c>
      <c r="H63" s="4">
        <f ca="1">$B63*('Updated Population'!H$59/'Updated Population'!$B$59)*('Total Distance Tables Sup #1'!H173/'Total Distance Tables Sup #1'!$B173)</f>
        <v>603.41875805620805</v>
      </c>
      <c r="I63" s="1">
        <f ca="1">$B63*('Updated Population'!I$59/'Updated Population'!$B$59)*('Total Distance Tables Sup #1'!I173/'Total Distance Tables Sup #1'!$B173)</f>
        <v>599.2440201378522</v>
      </c>
      <c r="J63" s="1">
        <f ca="1">$B63*('Updated Population'!J$59/'Updated Population'!$B$59)*('Total Distance Tables Sup #1'!J173/'Total Distance Tables Sup #1'!$B173)</f>
        <v>593.20386504433611</v>
      </c>
      <c r="K63" s="1">
        <f ca="1">$B63*('Updated Population'!K$59/'Updated Population'!$B$59)*('Total Distance Tables Sup #1'!K173/'Total Distance Tables Sup #1'!$B173)</f>
        <v>585.96260887562039</v>
      </c>
    </row>
    <row r="64" spans="1:11" x14ac:dyDescent="0.2">
      <c r="A64" t="str">
        <f ca="1">OFFSET(Hawkes_Bay_Reference,28,2)</f>
        <v>Taxi/Vehicle Share</v>
      </c>
      <c r="B64" s="4">
        <f ca="1">OFFSET(Hawkes_Bay_Reference,28,6)</f>
        <v>1.7589425135000001</v>
      </c>
      <c r="C64" s="4">
        <f ca="1">$B64*('Updated Population'!C$59/'Updated Population'!$B$59)*('Total Distance Tables Sup #1'!C174/'Total Distance Tables Sup #1'!$B174)</f>
        <v>1.9647776661273466</v>
      </c>
      <c r="D64" s="4">
        <f ca="1">$B64*('Updated Population'!D$59/'Updated Population'!$B$59)*('Total Distance Tables Sup #1'!D174/'Total Distance Tables Sup #1'!$B174)</f>
        <v>2.1420693806536262</v>
      </c>
      <c r="E64" s="4">
        <f ca="1">$B64*('Updated Population'!E$59/'Updated Population'!$B$59)*('Total Distance Tables Sup #1'!E174/'Total Distance Tables Sup #1'!$B174)</f>
        <v>2.3053448231583715</v>
      </c>
      <c r="F64" s="4">
        <f ca="1">$B64*('Updated Population'!F$59/'Updated Population'!$B$59)*('Total Distance Tables Sup #1'!F174/'Total Distance Tables Sup #1'!$B174)</f>
        <v>2.4391086273819043</v>
      </c>
      <c r="G64" s="4">
        <f ca="1">$B64*('Updated Population'!G$59/'Updated Population'!$B$59)*('Total Distance Tables Sup #1'!G174/'Total Distance Tables Sup #1'!$B174)</f>
        <v>2.5346518527897035</v>
      </c>
      <c r="H64" s="4">
        <f ca="1">$B64*('Updated Population'!H$59/'Updated Population'!$B$59)*('Total Distance Tables Sup #1'!H174/'Total Distance Tables Sup #1'!$B174)</f>
        <v>2.6199603947142149</v>
      </c>
      <c r="I64" s="1">
        <f ca="1">$B64*('Updated Population'!I$59/'Updated Population'!$B$59)*('Total Distance Tables Sup #1'!I174/'Total Distance Tables Sup #1'!$B174)</f>
        <v>2.6018342628060234</v>
      </c>
      <c r="J64" s="1">
        <f ca="1">$B64*('Updated Population'!J$59/'Updated Population'!$B$59)*('Total Distance Tables Sup #1'!J174/'Total Distance Tables Sup #1'!$B174)</f>
        <v>2.5756087487468968</v>
      </c>
      <c r="K64" s="1">
        <f ca="1">$B64*('Updated Population'!K$59/'Updated Population'!$B$59)*('Total Distance Tables Sup #1'!K174/'Total Distance Tables Sup #1'!$B174)</f>
        <v>2.5441682207276339</v>
      </c>
    </row>
    <row r="65" spans="1:11" x14ac:dyDescent="0.2">
      <c r="A65" t="str">
        <f ca="1">OFFSET(Hawkes_Bay_Reference,35,2)</f>
        <v>Motorcyclist</v>
      </c>
      <c r="B65" s="4">
        <f ca="1">OFFSET(Hawkes_Bay_Reference,35,6)</f>
        <v>3.0321841239</v>
      </c>
      <c r="C65" s="4">
        <f ca="1">$B65*('Updated Population'!C$59/'Updated Population'!$B$59)*('Total Distance Tables Sup #1'!C175/'Total Distance Tables Sup #1'!$B175)</f>
        <v>3.204297914599211</v>
      </c>
      <c r="D65" s="4">
        <f ca="1">$B65*('Updated Population'!D$59/'Updated Population'!$B$59)*('Total Distance Tables Sup #1'!D175/'Total Distance Tables Sup #1'!$B175)</f>
        <v>3.2774202046510954</v>
      </c>
      <c r="E65" s="4">
        <f ca="1">$B65*('Updated Population'!E$59/'Updated Population'!$B$59)*('Total Distance Tables Sup #1'!E175/'Total Distance Tables Sup #1'!$B175)</f>
        <v>3.2494612802622416</v>
      </c>
      <c r="F65" s="4">
        <f ca="1">$B65*('Updated Population'!F$59/'Updated Population'!$B$59)*('Total Distance Tables Sup #1'!F175/'Total Distance Tables Sup #1'!$B175)</f>
        <v>3.1875281540304914</v>
      </c>
      <c r="G65" s="4">
        <f ca="1">$B65*('Updated Population'!G$59/'Updated Population'!$B$59)*('Total Distance Tables Sup #1'!G175/'Total Distance Tables Sup #1'!$B175)</f>
        <v>3.072467743851135</v>
      </c>
      <c r="H65" s="4">
        <f ca="1">$B65*('Updated Population'!H$59/'Updated Population'!$B$59)*('Total Distance Tables Sup #1'!H175/'Total Distance Tables Sup #1'!$B175)</f>
        <v>2.9458550137266637</v>
      </c>
      <c r="I65" s="1">
        <f ca="1">$B65*('Updated Population'!I$59/'Updated Population'!$B$59)*('Total Distance Tables Sup #1'!I175/'Total Distance Tables Sup #1'!$B175)</f>
        <v>2.9254741878680188</v>
      </c>
      <c r="J65" s="1">
        <f ca="1">$B65*('Updated Population'!J$59/'Updated Population'!$B$59)*('Total Distance Tables Sup #1'!J175/'Total Distance Tables Sup #1'!$B175)</f>
        <v>2.895986504682234</v>
      </c>
      <c r="K65" s="1">
        <f ca="1">$B65*('Updated Population'!K$59/'Updated Population'!$B$59)*('Total Distance Tables Sup #1'!K175/'Total Distance Tables Sup #1'!$B175)</f>
        <v>2.8606351164373502</v>
      </c>
    </row>
    <row r="66" spans="1:11" x14ac:dyDescent="0.2">
      <c r="A66" t="str">
        <f ca="1">OFFSET(Auckland_Reference,42,2)</f>
        <v>Local Train</v>
      </c>
      <c r="B66" s="4">
        <v>0</v>
      </c>
      <c r="C66" s="4">
        <f ca="1">$B66*('Updated Population'!C$59/'Updated Population'!$B$59)*('Total Distance Tables Sup #1'!C176/'Total Distance Tables Sup #1'!$B176)</f>
        <v>0</v>
      </c>
      <c r="D66" s="4">
        <f ca="1">$B66*('Updated Population'!D$59/'Updated Population'!$B$59)*('Total Distance Tables Sup #1'!D176/'Total Distance Tables Sup #1'!$B176)</f>
        <v>0</v>
      </c>
      <c r="E66" s="4">
        <f ca="1">$B66*('Updated Population'!E$59/'Updated Population'!$B$59)*('Total Distance Tables Sup #1'!E176/'Total Distance Tables Sup #1'!$B176)</f>
        <v>0</v>
      </c>
      <c r="F66" s="4">
        <f ca="1">$B66*('Updated Population'!F$59/'Updated Population'!$B$59)*('Total Distance Tables Sup #1'!F176/'Total Distance Tables Sup #1'!$B176)</f>
        <v>0</v>
      </c>
      <c r="G66" s="4">
        <f ca="1">$B66*('Updated Population'!G$59/'Updated Population'!$B$59)*('Total Distance Tables Sup #1'!G176/'Total Distance Tables Sup #1'!$B176)</f>
        <v>0</v>
      </c>
      <c r="H66" s="4">
        <f ca="1">$B66*('Updated Population'!H$59/'Updated Population'!$B$59)*('Total Distance Tables Sup #1'!H176/'Total Distance Tables Sup #1'!$B176)</f>
        <v>0</v>
      </c>
      <c r="I66" s="1">
        <f ca="1">$B66*('Updated Population'!I$59/'Updated Population'!$B$59)*('Total Distance Tables Sup #1'!I176/'Total Distance Tables Sup #1'!$B176)</f>
        <v>0</v>
      </c>
      <c r="J66" s="1">
        <f ca="1">$B66*('Updated Population'!J$59/'Updated Population'!$B$59)*('Total Distance Tables Sup #1'!J176/'Total Distance Tables Sup #1'!$B176)</f>
        <v>0</v>
      </c>
      <c r="K66" s="1">
        <f ca="1">$B66*('Updated Population'!K$59/'Updated Population'!$B$59)*('Total Distance Tables Sup #1'!K176/'Total Distance Tables Sup #1'!$B176)</f>
        <v>0</v>
      </c>
    </row>
    <row r="67" spans="1:11" x14ac:dyDescent="0.2">
      <c r="A67" t="str">
        <f ca="1">OFFSET(Hawkes_Bay_Reference,42,2)</f>
        <v>Local Bus</v>
      </c>
      <c r="B67" s="4">
        <f ca="1">OFFSET(Hawkes_Bay_Reference,42,6)</f>
        <v>39.591997026999998</v>
      </c>
      <c r="C67" s="4">
        <f ca="1">$B67*('Updated Population'!C$59/'Updated Population'!$B$59)*('Total Distance Tables Sup #1'!C177/'Total Distance Tables Sup #1'!$B177)</f>
        <v>37.509820831592194</v>
      </c>
      <c r="D67" s="4">
        <f ca="1">$B67*('Updated Population'!D$59/'Updated Population'!$B$59)*('Total Distance Tables Sup #1'!D177/'Total Distance Tables Sup #1'!$B177)</f>
        <v>36.064935891203021</v>
      </c>
      <c r="E67" s="4">
        <f ca="1">$B67*('Updated Population'!E$59/'Updated Population'!$B$59)*('Total Distance Tables Sup #1'!E177/'Total Distance Tables Sup #1'!$B177)</f>
        <v>34.98337431695046</v>
      </c>
      <c r="F67" s="4">
        <f ca="1">$B67*('Updated Population'!F$59/'Updated Population'!$B$59)*('Total Distance Tables Sup #1'!F177/'Total Distance Tables Sup #1'!$B177)</f>
        <v>33.373893028751162</v>
      </c>
      <c r="G67" s="4">
        <f ca="1">$B67*('Updated Population'!G$59/'Updated Population'!$B$59)*('Total Distance Tables Sup #1'!G177/'Total Distance Tables Sup #1'!$B177)</f>
        <v>32.18930515356783</v>
      </c>
      <c r="H67" s="4">
        <f ca="1">$B67*('Updated Population'!H$59/'Updated Population'!$B$59)*('Total Distance Tables Sup #1'!H177/'Total Distance Tables Sup #1'!$B177)</f>
        <v>30.892611041062722</v>
      </c>
      <c r="I67" s="1">
        <f ca="1">$B67*('Updated Population'!I$59/'Updated Population'!$B$59)*('Total Distance Tables Sup #1'!I177/'Total Distance Tables Sup #1'!$B177)</f>
        <v>30.67888126718962</v>
      </c>
      <c r="J67" s="1">
        <f ca="1">$B67*('Updated Population'!J$59/'Updated Population'!$B$59)*('Total Distance Tables Sup #1'!J177/'Total Distance Tables Sup #1'!$B177)</f>
        <v>30.369649644141024</v>
      </c>
      <c r="K67" s="1">
        <f ca="1">$B67*('Updated Population'!K$59/'Updated Population'!$B$59)*('Total Distance Tables Sup #1'!K177/'Total Distance Tables Sup #1'!$B177)</f>
        <v>29.998926481690059</v>
      </c>
    </row>
    <row r="68" spans="1:11" x14ac:dyDescent="0.2">
      <c r="A68" t="str">
        <f ca="1">OFFSET(Waikato_Reference,56,2)</f>
        <v>Local Ferry</v>
      </c>
      <c r="B68" s="4">
        <v>0</v>
      </c>
      <c r="C68" s="4">
        <f ca="1">$B68*('Updated Population'!C$59/'Updated Population'!$B$59)*('Total Distance Tables Sup #1'!C178/'Total Distance Tables Sup #1'!$B178)</f>
        <v>0</v>
      </c>
      <c r="D68" s="4">
        <f ca="1">$B68*('Updated Population'!D$59/'Updated Population'!$B$59)*('Total Distance Tables Sup #1'!D178/'Total Distance Tables Sup #1'!$B178)</f>
        <v>0</v>
      </c>
      <c r="E68" s="4">
        <f ca="1">$B68*('Updated Population'!E$59/'Updated Population'!$B$59)*('Total Distance Tables Sup #1'!E178/'Total Distance Tables Sup #1'!$B178)</f>
        <v>0</v>
      </c>
      <c r="F68" s="4">
        <f ca="1">$B68*('Updated Population'!F$59/'Updated Population'!$B$59)*('Total Distance Tables Sup #1'!F178/'Total Distance Tables Sup #1'!$B178)</f>
        <v>0</v>
      </c>
      <c r="G68" s="4">
        <f ca="1">$B68*('Updated Population'!G$59/'Updated Population'!$B$59)*('Total Distance Tables Sup #1'!G178/'Total Distance Tables Sup #1'!$B178)</f>
        <v>0</v>
      </c>
      <c r="H68" s="4">
        <f ca="1">$B68*('Updated Population'!H$59/'Updated Population'!$B$59)*('Total Distance Tables Sup #1'!H178/'Total Distance Tables Sup #1'!$B178)</f>
        <v>0</v>
      </c>
      <c r="I68" s="1">
        <f ca="1">$B68*('Updated Population'!I$59/'Updated Population'!$B$59)*('Total Distance Tables Sup #1'!I178/'Total Distance Tables Sup #1'!$B178)</f>
        <v>0</v>
      </c>
      <c r="J68" s="1">
        <f ca="1">$B68*('Updated Population'!J$59/'Updated Population'!$B$59)*('Total Distance Tables Sup #1'!J178/'Total Distance Tables Sup #1'!$B178)</f>
        <v>0</v>
      </c>
      <c r="K68" s="1">
        <f ca="1">$B68*('Updated Population'!K$59/'Updated Population'!$B$59)*('Total Distance Tables Sup #1'!K178/'Total Distance Tables Sup #1'!$B178)</f>
        <v>0</v>
      </c>
    </row>
    <row r="69" spans="1:11" x14ac:dyDescent="0.2">
      <c r="A69" t="str">
        <f ca="1">OFFSET(Hawkes_Bay_Reference,49,2)</f>
        <v>Other Household Travel</v>
      </c>
      <c r="B69" s="4">
        <f ca="1">OFFSET(Hawkes_Bay_Reference,49,6)</f>
        <v>0</v>
      </c>
      <c r="C69" s="4">
        <f ca="1">$B69*('Updated Population'!C$59/'Updated Population'!$B$59)*('Total Distance Tables Sup #1'!C179/'Total Distance Tables Sup #1'!$B179)</f>
        <v>0</v>
      </c>
      <c r="D69" s="4">
        <f ca="1">$B69*('Updated Population'!D$59/'Updated Population'!$B$59)*('Total Distance Tables Sup #1'!D179/'Total Distance Tables Sup #1'!$B179)</f>
        <v>0</v>
      </c>
      <c r="E69" s="4">
        <f ca="1">$B69*('Updated Population'!E$59/'Updated Population'!$B$59)*('Total Distance Tables Sup #1'!E179/'Total Distance Tables Sup #1'!$B179)</f>
        <v>0</v>
      </c>
      <c r="F69" s="4">
        <f ca="1">$B69*('Updated Population'!F$59/'Updated Population'!$B$59)*('Total Distance Tables Sup #1'!F179/'Total Distance Tables Sup #1'!$B179)</f>
        <v>0</v>
      </c>
      <c r="G69" s="4">
        <f ca="1">$B69*('Updated Population'!G$59/'Updated Population'!$B$59)*('Total Distance Tables Sup #1'!G179/'Total Distance Tables Sup #1'!$B179)</f>
        <v>0</v>
      </c>
      <c r="H69" s="4">
        <f ca="1">$B69*('Updated Population'!H$59/'Updated Population'!$B$59)*('Total Distance Tables Sup #1'!H179/'Total Distance Tables Sup #1'!$B179)</f>
        <v>0</v>
      </c>
      <c r="I69" s="1">
        <f ca="1">$B69*('Updated Population'!I$59/'Updated Population'!$B$59)*('Total Distance Tables Sup #1'!I179/'Total Distance Tables Sup #1'!$B179)</f>
        <v>0</v>
      </c>
      <c r="J69" s="1">
        <f ca="1">$B69*('Updated Population'!J$59/'Updated Population'!$B$59)*('Total Distance Tables Sup #1'!J179/'Total Distance Tables Sup #1'!$B179)</f>
        <v>0</v>
      </c>
      <c r="K69" s="1">
        <f ca="1">$B69*('Updated Population'!K$59/'Updated Population'!$B$59)*('Total Distance Tables Sup #1'!K179/'Total Distance Tables Sup #1'!$B179)</f>
        <v>0</v>
      </c>
    </row>
    <row r="70" spans="1:11" x14ac:dyDescent="0.2">
      <c r="A70" t="str">
        <f ca="1">OFFSET(Taranaki_Reference,0,0)</f>
        <v>07 TARANAKI</v>
      </c>
      <c r="I70" s="1"/>
      <c r="J70" s="1"/>
      <c r="K70" s="1"/>
    </row>
    <row r="71" spans="1:11" x14ac:dyDescent="0.2">
      <c r="A71" t="str">
        <f ca="1">OFFSET(Taranaki_Reference,0,2)</f>
        <v>Pedestrian</v>
      </c>
      <c r="B71" s="4">
        <f ca="1">OFFSET(Taranaki_Reference,0,6)</f>
        <v>16.820589198</v>
      </c>
      <c r="C71" s="4">
        <f ca="1">$B71*('Updated Population'!C$70/'Updated Population'!$B$70)*('Total Distance Tables Sup #1'!C170/'Total Distance Tables Sup #1'!$B170)</f>
        <v>17.539903564334534</v>
      </c>
      <c r="D71" s="4">
        <f ca="1">$B71*('Updated Population'!D$70/'Updated Population'!$B$70)*('Total Distance Tables Sup #1'!D170/'Total Distance Tables Sup #1'!$B170)</f>
        <v>17.892556099726157</v>
      </c>
      <c r="E71" s="4">
        <f ca="1">$B71*('Updated Population'!E$70/'Updated Population'!$B$70)*('Total Distance Tables Sup #1'!E170/'Total Distance Tables Sup #1'!$B170)</f>
        <v>18.158421277969435</v>
      </c>
      <c r="F71" s="4">
        <f ca="1">$B71*('Updated Population'!F$70/'Updated Population'!$B$70)*('Total Distance Tables Sup #1'!F170/'Total Distance Tables Sup #1'!$B170)</f>
        <v>18.242849839603426</v>
      </c>
      <c r="G71" s="4">
        <f ca="1">$B71*('Updated Population'!G$70/'Updated Population'!$B$70)*('Total Distance Tables Sup #1'!G170/'Total Distance Tables Sup #1'!$B170)</f>
        <v>18.310270183419298</v>
      </c>
      <c r="H71" s="4">
        <f ca="1">$B71*('Updated Population'!H$70/'Updated Population'!$B$70)*('Total Distance Tables Sup #1'!H170/'Total Distance Tables Sup #1'!$B170)</f>
        <v>18.31870803594294</v>
      </c>
      <c r="I71" s="1">
        <f ca="1">$B71*('Updated Population'!I$70/'Updated Population'!$B$70)*('Total Distance Tables Sup #1'!I170/'Total Distance Tables Sup #1'!$B170)</f>
        <v>18.439140349349753</v>
      </c>
      <c r="J71" s="1">
        <f ca="1">$B71*('Updated Population'!J$70/'Updated Population'!$B$70)*('Total Distance Tables Sup #1'!J170/'Total Distance Tables Sup #1'!$B170)</f>
        <v>18.501283580513995</v>
      </c>
      <c r="K71" s="1">
        <f ca="1">$B71*('Updated Population'!K$70/'Updated Population'!$B$70)*('Total Distance Tables Sup #1'!K170/'Total Distance Tables Sup #1'!$B170)</f>
        <v>18.523741792382207</v>
      </c>
    </row>
    <row r="72" spans="1:11" x14ac:dyDescent="0.2">
      <c r="A72" t="str">
        <f ca="1">OFFSET(Taranaki_Reference,7,2)</f>
        <v>Cyclist</v>
      </c>
      <c r="B72" s="4">
        <f ca="1">OFFSET(Taranaki_Reference,7,6)</f>
        <v>5.5737915155</v>
      </c>
      <c r="C72" s="4">
        <f ca="1">$B72*('Updated Population'!C$70/'Updated Population'!$B$70)*('Total Distance Tables Sup #1'!C171/'Total Distance Tables Sup #1'!$B171)</f>
        <v>5.9763553668926503</v>
      </c>
      <c r="D72" s="4">
        <f ca="1">$B72*('Updated Population'!D$70/'Updated Population'!$B$70)*('Total Distance Tables Sup #1'!D171/'Total Distance Tables Sup #1'!$B171)</f>
        <v>6.1491429572768483</v>
      </c>
      <c r="E72" s="4">
        <f ca="1">$B72*('Updated Population'!E$70/'Updated Population'!$B$70)*('Total Distance Tables Sup #1'!E171/'Total Distance Tables Sup #1'!$B171)</f>
        <v>6.2035082211757295</v>
      </c>
      <c r="F72" s="4">
        <f ca="1">$B72*('Updated Population'!F$70/'Updated Population'!$B$70)*('Total Distance Tables Sup #1'!F171/'Total Distance Tables Sup #1'!$B171)</f>
        <v>6.3210543799506755</v>
      </c>
      <c r="G72" s="4">
        <f ca="1">$B72*('Updated Population'!G$70/'Updated Population'!$B$70)*('Total Distance Tables Sup #1'!G171/'Total Distance Tables Sup #1'!$B171)</f>
        <v>6.5273121519078083</v>
      </c>
      <c r="H72" s="4">
        <f ca="1">$B72*('Updated Population'!H$70/'Updated Population'!$B$70)*('Total Distance Tables Sup #1'!H171/'Total Distance Tables Sup #1'!$B171)</f>
        <v>6.7286099035138731</v>
      </c>
      <c r="I72" s="1">
        <f ca="1">$B72*('Updated Population'!I$70/'Updated Population'!$B$70)*('Total Distance Tables Sup #1'!I171/'Total Distance Tables Sup #1'!$B171)</f>
        <v>6.7728456681268705</v>
      </c>
      <c r="J72" s="1">
        <f ca="1">$B72*('Updated Population'!J$70/'Updated Population'!$B$70)*('Total Distance Tables Sup #1'!J171/'Total Distance Tables Sup #1'!$B171)</f>
        <v>6.7956713804984874</v>
      </c>
      <c r="K72" s="1">
        <f ca="1">$B72*('Updated Population'!K$70/'Updated Population'!$B$70)*('Total Distance Tables Sup #1'!K171/'Total Distance Tables Sup #1'!$B171)</f>
        <v>6.8039204637032178</v>
      </c>
    </row>
    <row r="73" spans="1:11" x14ac:dyDescent="0.2">
      <c r="A73" t="str">
        <f ca="1">OFFSET(Taranaki_Reference,14,2)</f>
        <v>Light Vehicle Driver</v>
      </c>
      <c r="B73" s="4">
        <f ca="1">OFFSET(Taranaki_Reference,14,6)</f>
        <v>933.36875414999997</v>
      </c>
      <c r="C73" s="4">
        <f ca="1">$B73*('Updated Population'!C$70/'Updated Population'!$B$70)*('Total Distance Tables Sup #1'!C172/'Total Distance Tables Sup #1'!$B172)</f>
        <v>1005.8353508638668</v>
      </c>
      <c r="D73" s="4">
        <f ca="1">$B73*('Updated Population'!D$70/'Updated Population'!$B$70)*('Total Distance Tables Sup #1'!D172/'Total Distance Tables Sup #1'!$B172)</f>
        <v>1047.496237695161</v>
      </c>
      <c r="E73" s="4">
        <f ca="1">$B73*('Updated Population'!E$70/'Updated Population'!$B$70)*('Total Distance Tables Sup #1'!E172/'Total Distance Tables Sup #1'!$B172)</f>
        <v>1074.0245338044808</v>
      </c>
      <c r="F73" s="4">
        <f ca="1">$B73*('Updated Population'!F$70/'Updated Population'!$B$70)*('Total Distance Tables Sup #1'!F172/'Total Distance Tables Sup #1'!$B172)</f>
        <v>1095.8999322627269</v>
      </c>
      <c r="G73" s="4">
        <f ca="1">$B73*('Updated Population'!G$70/'Updated Population'!$B$70)*('Total Distance Tables Sup #1'!G172/'Total Distance Tables Sup #1'!$B172)</f>
        <v>1108.8667649244173</v>
      </c>
      <c r="H73" s="4">
        <f ca="1">$B73*('Updated Population'!H$70/'Updated Population'!$B$70)*('Total Distance Tables Sup #1'!H172/'Total Distance Tables Sup #1'!$B172)</f>
        <v>1118.9314111826322</v>
      </c>
      <c r="I73" s="1">
        <f ca="1">$B73*('Updated Population'!I$70/'Updated Population'!$B$70)*('Total Distance Tables Sup #1'!I172/'Total Distance Tables Sup #1'!$B172)</f>
        <v>1126.2875794302988</v>
      </c>
      <c r="J73" s="1">
        <f ca="1">$B73*('Updated Population'!J$70/'Updated Population'!$B$70)*('Total Distance Tables Sup #1'!J172/'Total Distance Tables Sup #1'!$B172)</f>
        <v>1130.0833718631284</v>
      </c>
      <c r="K73" s="1">
        <f ca="1">$B73*('Updated Population'!K$70/'Updated Population'!$B$70)*('Total Distance Tables Sup #1'!K172/'Total Distance Tables Sup #1'!$B172)</f>
        <v>1131.4551497553812</v>
      </c>
    </row>
    <row r="74" spans="1:11" x14ac:dyDescent="0.2">
      <c r="A74" t="str">
        <f ca="1">OFFSET(Taranaki_Reference,21,2)</f>
        <v>Light Vehicle Passenger</v>
      </c>
      <c r="B74" s="4">
        <f ca="1">OFFSET(Taranaki_Reference,21,6)</f>
        <v>656.25872372000003</v>
      </c>
      <c r="C74" s="4">
        <f ca="1">$B74*('Updated Population'!C$70/'Updated Population'!$B$70)*('Total Distance Tables Sup #1'!C173/'Total Distance Tables Sup #1'!$B173)</f>
        <v>677.33106076740012</v>
      </c>
      <c r="D74" s="4">
        <f ca="1">$B74*('Updated Population'!D$70/'Updated Population'!$B$70)*('Total Distance Tables Sup #1'!D173/'Total Distance Tables Sup #1'!$B173)</f>
        <v>687.98912766315823</v>
      </c>
      <c r="E74" s="4">
        <f ca="1">$B74*('Updated Population'!E$70/'Updated Population'!$B$70)*('Total Distance Tables Sup #1'!E173/'Total Distance Tables Sup #1'!$B173)</f>
        <v>694.85150086766578</v>
      </c>
      <c r="F74" s="4">
        <f ca="1">$B74*('Updated Population'!F$70/'Updated Population'!$B$70)*('Total Distance Tables Sup #1'!F173/'Total Distance Tables Sup #1'!$B173)</f>
        <v>697.15851969528308</v>
      </c>
      <c r="G74" s="4">
        <f ca="1">$B74*('Updated Population'!G$70/'Updated Population'!$B$70)*('Total Distance Tables Sup #1'!G173/'Total Distance Tables Sup #1'!$B173)</f>
        <v>696.8237841882185</v>
      </c>
      <c r="H74" s="4">
        <f ca="1">$B74*('Updated Population'!H$70/'Updated Population'!$B$70)*('Total Distance Tables Sup #1'!H173/'Total Distance Tables Sup #1'!$B173)</f>
        <v>693.92649423452315</v>
      </c>
      <c r="I74" s="1">
        <f ca="1">$B74*('Updated Population'!I$70/'Updated Population'!$B$70)*('Total Distance Tables Sup #1'!I173/'Total Distance Tables Sup #1'!$B173)</f>
        <v>698.48856121386314</v>
      </c>
      <c r="J74" s="1">
        <f ca="1">$B74*('Updated Population'!J$70/'Updated Population'!$B$70)*('Total Distance Tables Sup #1'!J173/'Total Distance Tables Sup #1'!$B173)</f>
        <v>700.84259373938824</v>
      </c>
      <c r="K74" s="1">
        <f ca="1">$B74*('Updated Population'!K$70/'Updated Population'!$B$70)*('Total Distance Tables Sup #1'!K173/'Total Distance Tables Sup #1'!$B173)</f>
        <v>701.69332776483952</v>
      </c>
    </row>
    <row r="75" spans="1:11" x14ac:dyDescent="0.2">
      <c r="A75" t="str">
        <f ca="1">OFFSET(Taranaki_Reference,28,2)</f>
        <v>Taxi/Vehicle Share</v>
      </c>
      <c r="B75" s="4">
        <f ca="1">OFFSET(Taranaki_Reference,28,6)</f>
        <v>1.1335038904000001</v>
      </c>
      <c r="C75" s="4">
        <f ca="1">$B75*('Updated Population'!C$70/'Updated Population'!$B$70)*('Total Distance Tables Sup #1'!C174/'Total Distance Tables Sup #1'!$B174)</f>
        <v>1.2781055419208422</v>
      </c>
      <c r="D75" s="4">
        <f ca="1">$B75*('Updated Population'!D$70/'Updated Population'!$B$70)*('Total Distance Tables Sup #1'!D174/'Total Distance Tables Sup #1'!$B174)</f>
        <v>1.4049610782056843</v>
      </c>
      <c r="E75" s="4">
        <f ca="1">$B75*('Updated Population'!E$70/'Updated Population'!$B$70)*('Total Distance Tables Sup #1'!E174/'Total Distance Tables Sup #1'!$B174)</f>
        <v>1.5262875655085695</v>
      </c>
      <c r="F75" s="4">
        <f ca="1">$B75*('Updated Population'!F$70/'Updated Population'!$B$70)*('Total Distance Tables Sup #1'!F174/'Total Distance Tables Sup #1'!$B174)</f>
        <v>1.6319556814224645</v>
      </c>
      <c r="G75" s="4">
        <f ca="1">$B75*('Updated Population'!G$70/'Updated Population'!$B$70)*('Total Distance Tables Sup #1'!G174/'Total Distance Tables Sup #1'!$B174)</f>
        <v>1.7164351149973398</v>
      </c>
      <c r="H75" s="4">
        <f ca="1">$B75*('Updated Population'!H$70/'Updated Population'!$B$70)*('Total Distance Tables Sup #1'!H174/'Total Distance Tables Sup #1'!$B174)</f>
        <v>1.7983107010845818</v>
      </c>
      <c r="I75" s="1">
        <f ca="1">$B75*('Updated Population'!I$70/'Updated Population'!$B$70)*('Total Distance Tables Sup #1'!I174/'Total Distance Tables Sup #1'!$B174)</f>
        <v>1.810133298919042</v>
      </c>
      <c r="J75" s="1">
        <f ca="1">$B75*('Updated Population'!J$70/'Updated Population'!$B$70)*('Total Distance Tables Sup #1'!J174/'Total Distance Tables Sup #1'!$B174)</f>
        <v>1.8162337748578123</v>
      </c>
      <c r="K75" s="1">
        <f ca="1">$B75*('Updated Population'!K$70/'Updated Population'!$B$70)*('Total Distance Tables Sup #1'!K174/'Total Distance Tables Sup #1'!$B174)</f>
        <v>1.8184384523192683</v>
      </c>
    </row>
    <row r="76" spans="1:11" x14ac:dyDescent="0.2">
      <c r="A76" t="str">
        <f ca="1">OFFSET(Taranaki_Reference,35,2)</f>
        <v>Motorcyclist</v>
      </c>
      <c r="B76" s="4">
        <f ca="1">OFFSET(Taranaki_Reference,35,6)</f>
        <v>7.0100687938000004</v>
      </c>
      <c r="C76" s="4">
        <f ca="1">$B76*('Updated Population'!C$70/'Updated Population'!$B$70)*('Total Distance Tables Sup #1'!C175/'Total Distance Tables Sup #1'!$B175)</f>
        <v>7.4779323787458507</v>
      </c>
      <c r="D76" s="4">
        <f ca="1">$B76*('Updated Population'!D$70/'Updated Population'!$B$70)*('Total Distance Tables Sup #1'!D175/'Total Distance Tables Sup #1'!$B175)</f>
        <v>7.7118438579636877</v>
      </c>
      <c r="E76" s="4">
        <f ca="1">$B76*('Updated Population'!E$70/'Updated Population'!$B$70)*('Total Distance Tables Sup #1'!E175/'Total Distance Tables Sup #1'!$B175)</f>
        <v>7.7180427427832328</v>
      </c>
      <c r="F76" s="4">
        <f ca="1">$B76*('Updated Population'!F$70/'Updated Population'!$B$70)*('Total Distance Tables Sup #1'!F175/'Total Distance Tables Sup #1'!$B175)</f>
        <v>7.6511477549129729</v>
      </c>
      <c r="G76" s="4">
        <f ca="1">$B76*('Updated Population'!G$70/'Updated Population'!$B$70)*('Total Distance Tables Sup #1'!G175/'Total Distance Tables Sup #1'!$B175)</f>
        <v>7.4643457709586327</v>
      </c>
      <c r="H76" s="4">
        <f ca="1">$B76*('Updated Population'!H$70/'Updated Population'!$B$70)*('Total Distance Tables Sup #1'!H175/'Total Distance Tables Sup #1'!$B175)</f>
        <v>7.2539859824166113</v>
      </c>
      <c r="I76" s="1">
        <f ca="1">$B76*('Updated Population'!I$70/'Updated Population'!$B$70)*('Total Distance Tables Sup #1'!I175/'Total Distance Tables Sup #1'!$B175)</f>
        <v>7.3016757164070718</v>
      </c>
      <c r="J76" s="1">
        <f ca="1">$B76*('Updated Population'!J$70/'Updated Population'!$B$70)*('Total Distance Tables Sup #1'!J175/'Total Distance Tables Sup #1'!$B175)</f>
        <v>7.326283681492983</v>
      </c>
      <c r="K76" s="1">
        <f ca="1">$B76*('Updated Population'!K$70/'Updated Population'!$B$70)*('Total Distance Tables Sup #1'!K175/'Total Distance Tables Sup #1'!$B175)</f>
        <v>7.3351768607369854</v>
      </c>
    </row>
    <row r="77" spans="1:11" x14ac:dyDescent="0.2">
      <c r="A77" t="str">
        <f ca="1">OFFSET(Taranaki_Reference,42,2)</f>
        <v>Local Train</v>
      </c>
      <c r="B77" s="4">
        <v>0</v>
      </c>
      <c r="C77" s="4">
        <f ca="1">$B77*('Updated Population'!C$70/'Updated Population'!$B$70)*('Total Distance Tables Sup #1'!C176/'Total Distance Tables Sup #1'!$B176)</f>
        <v>0</v>
      </c>
      <c r="D77" s="4">
        <f ca="1">$B77*('Updated Population'!D$70/'Updated Population'!$B$70)*('Total Distance Tables Sup #1'!D176/'Total Distance Tables Sup #1'!$B176)</f>
        <v>0</v>
      </c>
      <c r="E77" s="4">
        <f ca="1">$B77*('Updated Population'!E$70/'Updated Population'!$B$70)*('Total Distance Tables Sup #1'!E176/'Total Distance Tables Sup #1'!$B176)</f>
        <v>0</v>
      </c>
      <c r="F77" s="4">
        <f ca="1">$B77*('Updated Population'!F$70/'Updated Population'!$B$70)*('Total Distance Tables Sup #1'!F176/'Total Distance Tables Sup #1'!$B176)</f>
        <v>0</v>
      </c>
      <c r="G77" s="4">
        <f ca="1">$B77*('Updated Population'!G$70/'Updated Population'!$B$70)*('Total Distance Tables Sup #1'!G176/'Total Distance Tables Sup #1'!$B176)</f>
        <v>0</v>
      </c>
      <c r="H77" s="4">
        <f ca="1">$B77*('Updated Population'!H$70/'Updated Population'!$B$70)*('Total Distance Tables Sup #1'!H176/'Total Distance Tables Sup #1'!$B176)</f>
        <v>0</v>
      </c>
      <c r="I77" s="1">
        <f ca="1">$B77*('Updated Population'!I$70/'Updated Population'!$B$70)*('Total Distance Tables Sup #1'!I176/'Total Distance Tables Sup #1'!$B176)</f>
        <v>0</v>
      </c>
      <c r="J77" s="1">
        <f ca="1">$B77*('Updated Population'!J$70/'Updated Population'!$B$70)*('Total Distance Tables Sup #1'!J176/'Total Distance Tables Sup #1'!$B176)</f>
        <v>0</v>
      </c>
      <c r="K77" s="1">
        <f ca="1">$B77*('Updated Population'!K$70/'Updated Population'!$B$70)*('Total Distance Tables Sup #1'!K176/'Total Distance Tables Sup #1'!$B176)</f>
        <v>0</v>
      </c>
    </row>
    <row r="78" spans="1:11" x14ac:dyDescent="0.2">
      <c r="A78" t="str">
        <f ca="1">OFFSET(Taranaki_Reference,49,2)</f>
        <v>Local Bus</v>
      </c>
      <c r="B78" s="4">
        <f ca="1">OFFSET(Taranaki_Reference,49,6)</f>
        <v>14.084735078</v>
      </c>
      <c r="C78" s="4">
        <f ca="1">$B78*('Updated Population'!C$70/'Updated Population'!$B$70)*('Total Distance Tables Sup #1'!C177/'Total Distance Tables Sup #1'!$B177)</f>
        <v>13.470018748958324</v>
      </c>
      <c r="D78" s="4">
        <f ca="1">$B78*('Updated Population'!D$70/'Updated Population'!$B$70)*('Total Distance Tables Sup #1'!D177/'Total Distance Tables Sup #1'!$B177)</f>
        <v>13.058275579692845</v>
      </c>
      <c r="E78" s="4">
        <f ca="1">$B78*('Updated Population'!E$70/'Updated Population'!$B$70)*('Total Distance Tables Sup #1'!E177/'Total Distance Tables Sup #1'!$B177)</f>
        <v>12.785922685780367</v>
      </c>
      <c r="F78" s="4">
        <f ca="1">$B78*('Updated Population'!F$70/'Updated Population'!$B$70)*('Total Distance Tables Sup #1'!F177/'Total Distance Tables Sup #1'!$B177)</f>
        <v>12.326903414486305</v>
      </c>
      <c r="G78" s="4">
        <f ca="1">$B78*('Updated Population'!G$70/'Updated Population'!$B$70)*('Total Distance Tables Sup #1'!G177/'Total Distance Tables Sup #1'!$B177)</f>
        <v>12.033461779341563</v>
      </c>
      <c r="H78" s="4">
        <f ca="1">$B78*('Updated Population'!H$70/'Updated Population'!$B$70)*('Total Distance Tables Sup #1'!H177/'Total Distance Tables Sup #1'!$B177)</f>
        <v>11.705622765627581</v>
      </c>
      <c r="I78" s="1">
        <f ca="1">$B78*('Updated Population'!I$70/'Updated Population'!$B$70)*('Total Distance Tables Sup #1'!I177/'Total Distance Tables Sup #1'!$B177)</f>
        <v>11.782578805691433</v>
      </c>
      <c r="J78" s="1">
        <f ca="1">$B78*('Updated Population'!J$70/'Updated Population'!$B$70)*('Total Distance Tables Sup #1'!J177/'Total Distance Tables Sup #1'!$B177)</f>
        <v>11.822288222972308</v>
      </c>
      <c r="K78" s="1">
        <f ca="1">$B78*('Updated Population'!K$70/'Updated Population'!$B$70)*('Total Distance Tables Sup #1'!K177/'Total Distance Tables Sup #1'!$B177)</f>
        <v>11.836638981530392</v>
      </c>
    </row>
    <row r="79" spans="1:11" x14ac:dyDescent="0.2">
      <c r="A79" t="str">
        <f ca="1">OFFSET(Waikato_Reference,56,2)</f>
        <v>Local Ferry</v>
      </c>
      <c r="B79" s="4">
        <v>0</v>
      </c>
      <c r="C79" s="4">
        <f ca="1">$B79*('Updated Population'!C$70/'Updated Population'!$B$70)*('Total Distance Tables Sup #1'!C178/'Total Distance Tables Sup #1'!$B178)</f>
        <v>0</v>
      </c>
      <c r="D79" s="4">
        <f ca="1">$B79*('Updated Population'!D$70/'Updated Population'!$B$70)*('Total Distance Tables Sup #1'!D178/'Total Distance Tables Sup #1'!$B178)</f>
        <v>0</v>
      </c>
      <c r="E79" s="4">
        <f ca="1">$B79*('Updated Population'!E$70/'Updated Population'!$B$70)*('Total Distance Tables Sup #1'!E178/'Total Distance Tables Sup #1'!$B178)</f>
        <v>0</v>
      </c>
      <c r="F79" s="4">
        <f ca="1">$B79*('Updated Population'!F$70/'Updated Population'!$B$70)*('Total Distance Tables Sup #1'!F178/'Total Distance Tables Sup #1'!$B178)</f>
        <v>0</v>
      </c>
      <c r="G79" s="4">
        <f ca="1">$B79*('Updated Population'!G$70/'Updated Population'!$B$70)*('Total Distance Tables Sup #1'!G178/'Total Distance Tables Sup #1'!$B178)</f>
        <v>0</v>
      </c>
      <c r="H79" s="4">
        <f ca="1">$B79*('Updated Population'!H$70/'Updated Population'!$B$70)*('Total Distance Tables Sup #1'!H178/'Total Distance Tables Sup #1'!$B178)</f>
        <v>0</v>
      </c>
      <c r="I79" s="1">
        <f ca="1">$B79*('Updated Population'!I$70/'Updated Population'!$B$70)*('Total Distance Tables Sup #1'!I178/'Total Distance Tables Sup #1'!$B178)</f>
        <v>0</v>
      </c>
      <c r="J79" s="1">
        <f ca="1">$B79*('Updated Population'!J$70/'Updated Population'!$B$70)*('Total Distance Tables Sup #1'!J178/'Total Distance Tables Sup #1'!$B178)</f>
        <v>0</v>
      </c>
      <c r="K79" s="1">
        <f ca="1">$B79*('Updated Population'!K$70/'Updated Population'!$B$70)*('Total Distance Tables Sup #1'!K178/'Total Distance Tables Sup #1'!$B178)</f>
        <v>0</v>
      </c>
    </row>
    <row r="80" spans="1:11" x14ac:dyDescent="0.2">
      <c r="A80" t="str">
        <f ca="1">OFFSET(Taranaki_Reference,56,2)</f>
        <v>Other Household Travel</v>
      </c>
      <c r="B80" s="4">
        <f ca="1">OFFSET(Taranaki_Reference,56,6)</f>
        <v>0</v>
      </c>
      <c r="C80" s="4">
        <f ca="1">$B80*('Updated Population'!C$70/'Updated Population'!$B$70)*('Total Distance Tables Sup #1'!C179/'Total Distance Tables Sup #1'!$B179)</f>
        <v>0</v>
      </c>
      <c r="D80" s="4">
        <f ca="1">$B80*('Updated Population'!D$70/'Updated Population'!$B$70)*('Total Distance Tables Sup #1'!D179/'Total Distance Tables Sup #1'!$B179)</f>
        <v>0</v>
      </c>
      <c r="E80" s="4">
        <f ca="1">$B80*('Updated Population'!E$70/'Updated Population'!$B$70)*('Total Distance Tables Sup #1'!E179/'Total Distance Tables Sup #1'!$B179)</f>
        <v>0</v>
      </c>
      <c r="F80" s="4">
        <f ca="1">$B80*('Updated Population'!F$70/'Updated Population'!$B$70)*('Total Distance Tables Sup #1'!F179/'Total Distance Tables Sup #1'!$B179)</f>
        <v>0</v>
      </c>
      <c r="G80" s="4">
        <f ca="1">$B80*('Updated Population'!G$70/'Updated Population'!$B$70)*('Total Distance Tables Sup #1'!G179/'Total Distance Tables Sup #1'!$B179)</f>
        <v>0</v>
      </c>
      <c r="H80" s="4">
        <f ca="1">$B80*('Updated Population'!H$70/'Updated Population'!$B$70)*('Total Distance Tables Sup #1'!H179/'Total Distance Tables Sup #1'!$B179)</f>
        <v>0</v>
      </c>
      <c r="I80" s="1">
        <f ca="1">$B80*('Updated Population'!I$70/'Updated Population'!$B$70)*('Total Distance Tables Sup #1'!I179/'Total Distance Tables Sup #1'!$B179)</f>
        <v>0</v>
      </c>
      <c r="J80" s="1">
        <f ca="1">$B80*('Updated Population'!J$70/'Updated Population'!$B$70)*('Total Distance Tables Sup #1'!J179/'Total Distance Tables Sup #1'!$B179)</f>
        <v>0</v>
      </c>
      <c r="K80" s="1">
        <f ca="1">$B80*('Updated Population'!K$70/'Updated Population'!$B$70)*('Total Distance Tables Sup #1'!K179/'Total Distance Tables Sup #1'!$B179)</f>
        <v>0</v>
      </c>
    </row>
    <row r="81" spans="1:11" x14ac:dyDescent="0.2">
      <c r="A81" t="str">
        <f ca="1">OFFSET(Manawatu_Reference,0,0)</f>
        <v>08 MANAWATU-WANGANUI</v>
      </c>
      <c r="I81" s="1"/>
      <c r="J81" s="1"/>
      <c r="K81" s="1"/>
    </row>
    <row r="82" spans="1:11" x14ac:dyDescent="0.2">
      <c r="A82" t="str">
        <f ca="1">OFFSET(Manawatu_Reference,0,2)</f>
        <v>Pedestrian</v>
      </c>
      <c r="B82" s="4">
        <f ca="1">OFFSET(Manawatu_Reference,0,6)</f>
        <v>32.265609755</v>
      </c>
      <c r="C82" s="4">
        <f ca="1">$B82*('Updated Population'!C$81/'Updated Population'!$B$81)*('Total Distance Tables Sup #1'!C170/'Total Distance Tables Sup #1'!$B170)</f>
        <v>33.382564328006893</v>
      </c>
      <c r="D82" s="4">
        <f ca="1">$B82*('Updated Population'!D$81/'Updated Population'!$B$81)*('Total Distance Tables Sup #1'!D170/'Total Distance Tables Sup #1'!$B170)</f>
        <v>33.673008939466484</v>
      </c>
      <c r="E82" s="4">
        <f ca="1">$B82*('Updated Population'!E$81/'Updated Population'!$B$81)*('Total Distance Tables Sup #1'!E170/'Total Distance Tables Sup #1'!$B170)</f>
        <v>33.751939903859466</v>
      </c>
      <c r="F82" s="4">
        <f ca="1">$B82*('Updated Population'!F$81/'Updated Population'!$B$81)*('Total Distance Tables Sup #1'!F170/'Total Distance Tables Sup #1'!$B170)</f>
        <v>33.486973637851477</v>
      </c>
      <c r="G82" s="4">
        <f ca="1">$B82*('Updated Population'!G$81/'Updated Population'!$B$81)*('Total Distance Tables Sup #1'!G170/'Total Distance Tables Sup #1'!$B170)</f>
        <v>33.156183490207646</v>
      </c>
      <c r="H82" s="4">
        <f ca="1">$B82*('Updated Population'!H$81/'Updated Population'!$B$81)*('Total Distance Tables Sup #1'!H170/'Total Distance Tables Sup #1'!$B170)</f>
        <v>32.683376083742893</v>
      </c>
      <c r="I82" s="1">
        <f ca="1">$B82*('Updated Population'!I$81/'Updated Population'!$B$81)*('Total Distance Tables Sup #1'!I170/'Total Distance Tables Sup #1'!$B170)</f>
        <v>32.414179229082706</v>
      </c>
      <c r="J82" s="1">
        <f ca="1">$B82*('Updated Population'!J$81/'Updated Population'!$B$81)*('Total Distance Tables Sup #1'!J170/'Total Distance Tables Sup #1'!$B170)</f>
        <v>32.044869540709108</v>
      </c>
      <c r="K82" s="1">
        <f ca="1">$B82*('Updated Population'!K$81/'Updated Population'!$B$81)*('Total Distance Tables Sup #1'!K170/'Total Distance Tables Sup #1'!$B170)</f>
        <v>31.611685701381113</v>
      </c>
    </row>
    <row r="83" spans="1:11" x14ac:dyDescent="0.2">
      <c r="A83" t="str">
        <f ca="1">OFFSET(Manawatu_Reference,7,2)</f>
        <v>Cyclist</v>
      </c>
      <c r="B83" s="4">
        <f ca="1">OFFSET(Manawatu_Reference,7,6)</f>
        <v>20.722330986999999</v>
      </c>
      <c r="C83" s="4">
        <f ca="1">$B83*('Updated Population'!C$81/'Updated Population'!$B$81)*('Total Distance Tables Sup #1'!C171/'Total Distance Tables Sup #1'!$B171)</f>
        <v>22.045406970155234</v>
      </c>
      <c r="D83" s="4">
        <f ca="1">$B83*('Updated Population'!D$81/'Updated Population'!$B$81)*('Total Distance Tables Sup #1'!D171/'Total Distance Tables Sup #1'!$B171)</f>
        <v>22.429177168300626</v>
      </c>
      <c r="E83" s="4">
        <f ca="1">$B83*('Updated Population'!E$81/'Updated Population'!$B$81)*('Total Distance Tables Sup #1'!E171/'Total Distance Tables Sup #1'!$B171)</f>
        <v>22.348440719972107</v>
      </c>
      <c r="F83" s="4">
        <f ca="1">$B83*('Updated Population'!F$81/'Updated Population'!$B$81)*('Total Distance Tables Sup #1'!F171/'Total Distance Tables Sup #1'!$B171)</f>
        <v>22.488576036084709</v>
      </c>
      <c r="G83" s="4">
        <f ca="1">$B83*('Updated Population'!G$81/'Updated Population'!$B$81)*('Total Distance Tables Sup #1'!G171/'Total Distance Tables Sup #1'!$B171)</f>
        <v>22.908327197623009</v>
      </c>
      <c r="H83" s="4">
        <f ca="1">$B83*('Updated Population'!H$81/'Updated Population'!$B$81)*('Total Distance Tables Sup #1'!H171/'Total Distance Tables Sup #1'!$B171)</f>
        <v>23.267334554736287</v>
      </c>
      <c r="I83" s="1">
        <f ca="1">$B83*('Updated Population'!I$81/'Updated Population'!$B$81)*('Total Distance Tables Sup #1'!I171/'Total Distance Tables Sup #1'!$B171)</f>
        <v>23.075692991685621</v>
      </c>
      <c r="J83" s="1">
        <f ca="1">$B83*('Updated Population'!J$81/'Updated Population'!$B$81)*('Total Distance Tables Sup #1'!J171/'Total Distance Tables Sup #1'!$B171)</f>
        <v>22.81278098248324</v>
      </c>
      <c r="K83" s="1">
        <f ca="1">$B83*('Updated Population'!K$81/'Updated Population'!$B$81)*('Total Distance Tables Sup #1'!K171/'Total Distance Tables Sup #1'!$B171)</f>
        <v>22.504396888761569</v>
      </c>
    </row>
    <row r="84" spans="1:11" x14ac:dyDescent="0.2">
      <c r="A84" t="str">
        <f ca="1">OFFSET(Manawatu_Reference,14,2)</f>
        <v>Light Vehicle Driver</v>
      </c>
      <c r="B84" s="4">
        <f ca="1">OFFSET(Manawatu_Reference,14,6)</f>
        <v>1782.4745101999999</v>
      </c>
      <c r="C84" s="4">
        <f ca="1">$B84*('Updated Population'!C$81/'Updated Population'!$B$81)*('Total Distance Tables Sup #1'!C172/'Total Distance Tables Sup #1'!$B172)</f>
        <v>1905.8590814758245</v>
      </c>
      <c r="D84" s="4">
        <f ca="1">$B84*('Updated Population'!D$81/'Updated Population'!$B$81)*('Total Distance Tables Sup #1'!D172/'Total Distance Tables Sup #1'!$B172)</f>
        <v>1962.6072882925548</v>
      </c>
      <c r="E84" s="4">
        <f ca="1">$B84*('Updated Population'!E$81/'Updated Population'!$B$81)*('Total Distance Tables Sup #1'!E172/'Total Distance Tables Sup #1'!$B172)</f>
        <v>1987.4959437285224</v>
      </c>
      <c r="F84" s="4">
        <f ca="1">$B84*('Updated Population'!F$81/'Updated Population'!$B$81)*('Total Distance Tables Sup #1'!F172/'Total Distance Tables Sup #1'!$B172)</f>
        <v>2002.7443462275523</v>
      </c>
      <c r="G84" s="4">
        <f ca="1">$B84*('Updated Population'!G$81/'Updated Population'!$B$81)*('Total Distance Tables Sup #1'!G172/'Total Distance Tables Sup #1'!$B172)</f>
        <v>1999.0356815113989</v>
      </c>
      <c r="H84" s="4">
        <f ca="1">$B84*('Updated Population'!H$81/'Updated Population'!$B$81)*('Total Distance Tables Sup #1'!H172/'Total Distance Tables Sup #1'!$B172)</f>
        <v>1987.4990677556696</v>
      </c>
      <c r="I84" s="1">
        <f ca="1">$B84*('Updated Population'!I$81/'Updated Population'!$B$81)*('Total Distance Tables Sup #1'!I172/'Total Distance Tables Sup #1'!$B172)</f>
        <v>1971.1290178468414</v>
      </c>
      <c r="J84" s="1">
        <f ca="1">$B84*('Updated Population'!J$81/'Updated Population'!$B$81)*('Total Distance Tables Sup #1'!J172/'Total Distance Tables Sup #1'!$B172)</f>
        <v>1948.6710361660328</v>
      </c>
      <c r="K84" s="1">
        <f ca="1">$B84*('Updated Population'!K$81/'Updated Population'!$B$81)*('Total Distance Tables Sup #1'!K172/'Total Distance Tables Sup #1'!$B172)</f>
        <v>1922.3288224784005</v>
      </c>
    </row>
    <row r="85" spans="1:11" x14ac:dyDescent="0.2">
      <c r="A85" t="str">
        <f ca="1">OFFSET(Manawatu_Reference,21,2)</f>
        <v>Light Vehicle Passenger</v>
      </c>
      <c r="B85" s="4">
        <f ca="1">OFFSET(Manawatu_Reference,21,6)</f>
        <v>885.65568203999999</v>
      </c>
      <c r="C85" s="4">
        <f ca="1">$B85*('Updated Population'!C$81/'Updated Population'!$B$81)*('Total Distance Tables Sup #1'!C173/'Total Distance Tables Sup #1'!$B173)</f>
        <v>906.95269634172439</v>
      </c>
      <c r="D85" s="4">
        <f ca="1">$B85*('Updated Population'!D$81/'Updated Population'!$B$81)*('Total Distance Tables Sup #1'!D173/'Total Distance Tables Sup #1'!$B173)</f>
        <v>910.9242514364114</v>
      </c>
      <c r="E85" s="4">
        <f ca="1">$B85*('Updated Population'!E$81/'Updated Population'!$B$81)*('Total Distance Tables Sup #1'!E173/'Total Distance Tables Sup #1'!$B173)</f>
        <v>908.66500517178872</v>
      </c>
      <c r="F85" s="4">
        <f ca="1">$B85*('Updated Population'!F$81/'Updated Population'!$B$81)*('Total Distance Tables Sup #1'!F173/'Total Distance Tables Sup #1'!$B173)</f>
        <v>900.3386771471379</v>
      </c>
      <c r="G85" s="4">
        <f ca="1">$B85*('Updated Population'!G$81/'Updated Population'!$B$81)*('Total Distance Tables Sup #1'!G173/'Total Distance Tables Sup #1'!$B173)</f>
        <v>887.73613615399336</v>
      </c>
      <c r="H85" s="4">
        <f ca="1">$B85*('Updated Population'!H$81/'Updated Population'!$B$81)*('Total Distance Tables Sup #1'!H173/'Total Distance Tables Sup #1'!$B173)</f>
        <v>871.03717548915915</v>
      </c>
      <c r="I85" s="1">
        <f ca="1">$B85*('Updated Population'!I$81/'Updated Population'!$B$81)*('Total Distance Tables Sup #1'!I173/'Total Distance Tables Sup #1'!$B173)</f>
        <v>863.8628717289547</v>
      </c>
      <c r="J85" s="1">
        <f ca="1">$B85*('Updated Population'!J$81/'Updated Population'!$B$81)*('Total Distance Tables Sup #1'!J173/'Total Distance Tables Sup #1'!$B173)</f>
        <v>854.02048375111872</v>
      </c>
      <c r="K85" s="1">
        <f ca="1">$B85*('Updated Population'!K$81/'Updated Population'!$B$81)*('Total Distance Tables Sup #1'!K173/'Total Distance Tables Sup #1'!$B173)</f>
        <v>842.47580039561035</v>
      </c>
    </row>
    <row r="86" spans="1:11" x14ac:dyDescent="0.2">
      <c r="A86" t="str">
        <f ca="1">OFFSET(Manawatu_Reference,28,2)</f>
        <v>Taxi/Vehicle Share</v>
      </c>
      <c r="B86" s="4">
        <f ca="1">OFFSET(Manawatu_Reference,28,6)</f>
        <v>5.6344181790999999</v>
      </c>
      <c r="C86" s="4">
        <f ca="1">$B86*('Updated Population'!C$81/'Updated Population'!$B$81)*('Total Distance Tables Sup #1'!C174/'Total Distance Tables Sup #1'!$B174)</f>
        <v>6.303570296543235</v>
      </c>
      <c r="D86" s="4">
        <f ca="1">$B86*('Updated Population'!D$81/'Updated Population'!$B$81)*('Total Distance Tables Sup #1'!D174/'Total Distance Tables Sup #1'!$B174)</f>
        <v>6.8517454535033089</v>
      </c>
      <c r="E86" s="4">
        <f ca="1">$B86*('Updated Population'!E$81/'Updated Population'!$B$81)*('Total Distance Tables Sup #1'!E174/'Total Distance Tables Sup #1'!$B174)</f>
        <v>7.351642956506959</v>
      </c>
      <c r="F86" s="4">
        <f ca="1">$B86*('Updated Population'!F$81/'Updated Population'!$B$81)*('Total Distance Tables Sup #1'!F174/'Total Distance Tables Sup #1'!$B174)</f>
        <v>7.7628101768557158</v>
      </c>
      <c r="G86" s="4">
        <f ca="1">$B86*('Updated Population'!G$81/'Updated Population'!$B$81)*('Total Distance Tables Sup #1'!G174/'Total Distance Tables Sup #1'!$B174)</f>
        <v>8.0542399077379123</v>
      </c>
      <c r="H86" s="4">
        <f ca="1">$B86*('Updated Population'!H$81/'Updated Population'!$B$81)*('Total Distance Tables Sup #1'!H174/'Total Distance Tables Sup #1'!$B174)</f>
        <v>8.3142712321750523</v>
      </c>
      <c r="I86" s="1">
        <f ca="1">$B86*('Updated Population'!I$81/'Updated Population'!$B$81)*('Total Distance Tables Sup #1'!I174/'Total Distance Tables Sup #1'!$B174)</f>
        <v>8.2457906792860722</v>
      </c>
      <c r="J86" s="1">
        <f ca="1">$B86*('Updated Population'!J$81/'Updated Population'!$B$81)*('Total Distance Tables Sup #1'!J174/'Total Distance Tables Sup #1'!$B174)</f>
        <v>8.1518425843909608</v>
      </c>
      <c r="K86" s="1">
        <f ca="1">$B86*('Updated Population'!K$81/'Updated Population'!$B$81)*('Total Distance Tables Sup #1'!K174/'Total Distance Tables Sup #1'!$B174)</f>
        <v>8.0416456474423512</v>
      </c>
    </row>
    <row r="87" spans="1:11" x14ac:dyDescent="0.2">
      <c r="A87" t="str">
        <f ca="1">OFFSET(Manawatu_Reference,35,2)</f>
        <v>Motorcyclist</v>
      </c>
      <c r="B87" s="4">
        <f ca="1">OFFSET(Manawatu_Reference,35,6)</f>
        <v>3.8744282972000001</v>
      </c>
      <c r="C87" s="4">
        <f ca="1">$B87*('Updated Population'!C$81/'Updated Population'!$B$81)*('Total Distance Tables Sup #1'!C175/'Total Distance Tables Sup #1'!$B175)</f>
        <v>4.1007255339089292</v>
      </c>
      <c r="D87" s="4">
        <f ca="1">$B87*('Updated Population'!D$81/'Updated Population'!$B$81)*('Total Distance Tables Sup #1'!D175/'Total Distance Tables Sup #1'!$B175)</f>
        <v>4.1817151037214586</v>
      </c>
      <c r="E87" s="4">
        <f ca="1">$B87*('Updated Population'!E$81/'Updated Population'!$B$81)*('Total Distance Tables Sup #1'!E175/'Total Distance Tables Sup #1'!$B175)</f>
        <v>4.1334673017870109</v>
      </c>
      <c r="F87" s="4">
        <f ca="1">$B87*('Updated Population'!F$81/'Updated Population'!$B$81)*('Total Distance Tables Sup #1'!F175/'Total Distance Tables Sup #1'!$B175)</f>
        <v>4.0466578081669722</v>
      </c>
      <c r="G87" s="4">
        <f ca="1">$B87*('Updated Population'!G$81/'Updated Population'!$B$81)*('Total Distance Tables Sup #1'!G175/'Total Distance Tables Sup #1'!$B175)</f>
        <v>3.8944685968783403</v>
      </c>
      <c r="H87" s="4">
        <f ca="1">$B87*('Updated Population'!H$81/'Updated Population'!$B$81)*('Total Distance Tables Sup #1'!H175/'Total Distance Tables Sup #1'!$B175)</f>
        <v>3.729026399901294</v>
      </c>
      <c r="I87" s="1">
        <f ca="1">$B87*('Updated Population'!I$81/'Updated Population'!$B$81)*('Total Distance Tables Sup #1'!I175/'Total Distance Tables Sup #1'!$B175)</f>
        <v>3.6983122479964812</v>
      </c>
      <c r="J87" s="1">
        <f ca="1">$B87*('Updated Population'!J$81/'Updated Population'!$B$81)*('Total Distance Tables Sup #1'!J175/'Total Distance Tables Sup #1'!$B175)</f>
        <v>3.6561756714642453</v>
      </c>
      <c r="K87" s="1">
        <f ca="1">$B87*('Updated Population'!K$81/'Updated Population'!$B$81)*('Total Distance Tables Sup #1'!K175/'Total Distance Tables Sup #1'!$B175)</f>
        <v>3.6067513412259689</v>
      </c>
    </row>
    <row r="88" spans="1:11" x14ac:dyDescent="0.2">
      <c r="A88" t="str">
        <f ca="1">OFFSET(Taranaki_Reference,42,2)</f>
        <v>Local Train</v>
      </c>
      <c r="B88" s="4">
        <v>0</v>
      </c>
      <c r="C88" s="4">
        <f ca="1">$B88*('Updated Population'!C$81/'Updated Population'!$B$81)*('Total Distance Tables Sup #1'!C176/'Total Distance Tables Sup #1'!$B176)</f>
        <v>0</v>
      </c>
      <c r="D88" s="4">
        <f ca="1">$B88*('Updated Population'!D$81/'Updated Population'!$B$81)*('Total Distance Tables Sup #1'!D176/'Total Distance Tables Sup #1'!$B176)</f>
        <v>0</v>
      </c>
      <c r="E88" s="4">
        <f ca="1">$B88*('Updated Population'!E$81/'Updated Population'!$B$81)*('Total Distance Tables Sup #1'!E176/'Total Distance Tables Sup #1'!$B176)</f>
        <v>0</v>
      </c>
      <c r="F88" s="4">
        <f ca="1">$B88*('Updated Population'!F$81/'Updated Population'!$B$81)*('Total Distance Tables Sup #1'!F176/'Total Distance Tables Sup #1'!$B176)</f>
        <v>0</v>
      </c>
      <c r="G88" s="4">
        <f ca="1">$B88*('Updated Population'!G$81/'Updated Population'!$B$81)*('Total Distance Tables Sup #1'!G176/'Total Distance Tables Sup #1'!$B176)</f>
        <v>0</v>
      </c>
      <c r="H88" s="4">
        <f ca="1">$B88*('Updated Population'!H$81/'Updated Population'!$B$81)*('Total Distance Tables Sup #1'!H176/'Total Distance Tables Sup #1'!$B176)</f>
        <v>0</v>
      </c>
      <c r="I88" s="1">
        <f ca="1">$B88*('Updated Population'!I$81/'Updated Population'!$B$81)*('Total Distance Tables Sup #1'!I176/'Total Distance Tables Sup #1'!$B176)</f>
        <v>0</v>
      </c>
      <c r="J88" s="1">
        <f ca="1">$B88*('Updated Population'!J$81/'Updated Population'!$B$81)*('Total Distance Tables Sup #1'!J176/'Total Distance Tables Sup #1'!$B176)</f>
        <v>0</v>
      </c>
      <c r="K88" s="1">
        <f ca="1">$B88*('Updated Population'!K$81/'Updated Population'!$B$81)*('Total Distance Tables Sup #1'!K176/'Total Distance Tables Sup #1'!$B176)</f>
        <v>0</v>
      </c>
    </row>
    <row r="89" spans="1:11" x14ac:dyDescent="0.2">
      <c r="A89" t="str">
        <f ca="1">OFFSET(Manawatu_Reference,42,2)</f>
        <v>Local Bus</v>
      </c>
      <c r="B89" s="4">
        <f ca="1">OFFSET(Manawatu_Reference,42,6)</f>
        <v>39.768452936000003</v>
      </c>
      <c r="C89" s="4">
        <f ca="1">$B89*('Updated Population'!C$81/'Updated Population'!$B$81)*('Total Distance Tables Sup #1'!C177/'Total Distance Tables Sup #1'!$B177)</f>
        <v>37.735667353199737</v>
      </c>
      <c r="D89" s="4">
        <f ca="1">$B89*('Updated Population'!D$81/'Updated Population'!$B$81)*('Total Distance Tables Sup #1'!D177/'Total Distance Tables Sup #1'!$B177)</f>
        <v>36.173181633370412</v>
      </c>
      <c r="E89" s="4">
        <f ca="1">$B89*('Updated Population'!E$81/'Updated Population'!$B$81)*('Total Distance Tables Sup #1'!E177/'Total Distance Tables Sup #1'!$B177)</f>
        <v>34.981954202248062</v>
      </c>
      <c r="F89" s="4">
        <f ca="1">$B89*('Updated Population'!F$81/'Updated Population'!$B$81)*('Total Distance Tables Sup #1'!F177/'Total Distance Tables Sup #1'!$B177)</f>
        <v>33.30646579029073</v>
      </c>
      <c r="G89" s="4">
        <f ca="1">$B89*('Updated Population'!G$81/'Updated Population'!$B$81)*('Total Distance Tables Sup #1'!G177/'Total Distance Tables Sup #1'!$B177)</f>
        <v>32.07389520682856</v>
      </c>
      <c r="H89" s="4">
        <f ca="1">$B89*('Updated Population'!H$81/'Updated Population'!$B$81)*('Total Distance Tables Sup #1'!H177/'Total Distance Tables Sup #1'!$B177)</f>
        <v>30.74099610360398</v>
      </c>
      <c r="I89" s="1">
        <f ca="1">$B89*('Updated Population'!I$81/'Updated Population'!$B$81)*('Total Distance Tables Sup #1'!I177/'Total Distance Tables Sup #1'!$B177)</f>
        <v>30.48779767517334</v>
      </c>
      <c r="J89" s="1">
        <f ca="1">$B89*('Updated Population'!J$81/'Updated Population'!$B$81)*('Total Distance Tables Sup #1'!J177/'Total Distance Tables Sup #1'!$B177)</f>
        <v>30.140436139993284</v>
      </c>
      <c r="K89" s="1">
        <f ca="1">$B89*('Updated Population'!K$81/'Updated Population'!$B$81)*('Total Distance Tables Sup #1'!K177/'Total Distance Tables Sup #1'!$B177)</f>
        <v>29.732996508212103</v>
      </c>
    </row>
    <row r="90" spans="1:11" x14ac:dyDescent="0.2">
      <c r="A90" t="str">
        <f ca="1">OFFSET(Manawatu_Reference,49,2)</f>
        <v>Local Ferry</v>
      </c>
      <c r="B90" s="4">
        <f ca="1">OFFSET(Manawatu_Reference,49,6)</f>
        <v>0</v>
      </c>
      <c r="C90" s="4">
        <f ca="1">$B90*('Updated Population'!C$81/'Updated Population'!$B$81)*('Total Distance Tables Sup #1'!C178/'Total Distance Tables Sup #1'!$B178)</f>
        <v>0</v>
      </c>
      <c r="D90" s="4">
        <f ca="1">$B90*('Updated Population'!D$81/'Updated Population'!$B$81)*('Total Distance Tables Sup #1'!D178/'Total Distance Tables Sup #1'!$B178)</f>
        <v>0</v>
      </c>
      <c r="E90" s="4">
        <f ca="1">$B90*('Updated Population'!E$81/'Updated Population'!$B$81)*('Total Distance Tables Sup #1'!E178/'Total Distance Tables Sup #1'!$B178)</f>
        <v>0</v>
      </c>
      <c r="F90" s="4">
        <f ca="1">$B90*('Updated Population'!F$81/'Updated Population'!$B$81)*('Total Distance Tables Sup #1'!F178/'Total Distance Tables Sup #1'!$B178)</f>
        <v>0</v>
      </c>
      <c r="G90" s="4">
        <f ca="1">$B90*('Updated Population'!G$81/'Updated Population'!$B$81)*('Total Distance Tables Sup #1'!G178/'Total Distance Tables Sup #1'!$B178)</f>
        <v>0</v>
      </c>
      <c r="H90" s="4">
        <f ca="1">$B90*('Updated Population'!H$81/'Updated Population'!$B$81)*('Total Distance Tables Sup #1'!H178/'Total Distance Tables Sup #1'!$B178)</f>
        <v>0</v>
      </c>
      <c r="I90" s="1">
        <f ca="1">$B90*('Updated Population'!I$81/'Updated Population'!$B$81)*('Total Distance Tables Sup #1'!I178/'Total Distance Tables Sup #1'!$B178)</f>
        <v>0</v>
      </c>
      <c r="J90" s="1">
        <f ca="1">$B90*('Updated Population'!J$81/'Updated Population'!$B$81)*('Total Distance Tables Sup #1'!J178/'Total Distance Tables Sup #1'!$B178)</f>
        <v>0</v>
      </c>
      <c r="K90" s="1">
        <f ca="1">$B90*('Updated Population'!K$81/'Updated Population'!$B$81)*('Total Distance Tables Sup #1'!K178/'Total Distance Tables Sup #1'!$B178)</f>
        <v>0</v>
      </c>
    </row>
    <row r="91" spans="1:11" x14ac:dyDescent="0.2">
      <c r="A91" t="str">
        <f ca="1">OFFSET(Manawatu_Reference,56,2)</f>
        <v>Other Household Travel</v>
      </c>
      <c r="B91" s="4">
        <f ca="1">OFFSET(Manawatu_Reference,56,6)</f>
        <v>0</v>
      </c>
      <c r="C91" s="4">
        <f ca="1">$B91*('Updated Population'!C$81/'Updated Population'!$B$81)*('Total Distance Tables Sup #1'!C179/'Total Distance Tables Sup #1'!$B179)</f>
        <v>0</v>
      </c>
      <c r="D91" s="4">
        <f ca="1">$B91*('Updated Population'!D$81/'Updated Population'!$B$81)*('Total Distance Tables Sup #1'!D179/'Total Distance Tables Sup #1'!$B179)</f>
        <v>0</v>
      </c>
      <c r="E91" s="4">
        <f ca="1">$B91*('Updated Population'!E$81/'Updated Population'!$B$81)*('Total Distance Tables Sup #1'!E179/'Total Distance Tables Sup #1'!$B179)</f>
        <v>0</v>
      </c>
      <c r="F91" s="4">
        <f ca="1">$B91*('Updated Population'!F$81/'Updated Population'!$B$81)*('Total Distance Tables Sup #1'!F179/'Total Distance Tables Sup #1'!$B179)</f>
        <v>0</v>
      </c>
      <c r="G91" s="4">
        <f ca="1">$B91*('Updated Population'!G$81/'Updated Population'!$B$81)*('Total Distance Tables Sup #1'!G179/'Total Distance Tables Sup #1'!$B179)</f>
        <v>0</v>
      </c>
      <c r="H91" s="4">
        <f ca="1">$B91*('Updated Population'!H$81/'Updated Population'!$B$81)*('Total Distance Tables Sup #1'!H179/'Total Distance Tables Sup #1'!$B179)</f>
        <v>0</v>
      </c>
      <c r="I91" s="1">
        <f ca="1">$B91*('Updated Population'!I$81/'Updated Population'!$B$81)*('Total Distance Tables Sup #1'!I179/'Total Distance Tables Sup #1'!$B179)</f>
        <v>0</v>
      </c>
      <c r="J91" s="1">
        <f ca="1">$B91*('Updated Population'!J$81/'Updated Population'!$B$81)*('Total Distance Tables Sup #1'!J179/'Total Distance Tables Sup #1'!$B179)</f>
        <v>0</v>
      </c>
      <c r="K91" s="1">
        <f ca="1">$B91*('Updated Population'!K$81/'Updated Population'!$B$81)*('Total Distance Tables Sup #1'!K179/'Total Distance Tables Sup #1'!$B179)</f>
        <v>0</v>
      </c>
    </row>
    <row r="92" spans="1:11" x14ac:dyDescent="0.2">
      <c r="A92" t="str">
        <f ca="1">OFFSET(Wellington_Reference,0,0)</f>
        <v>09 WELLINGTON</v>
      </c>
      <c r="I92" s="1"/>
      <c r="J92" s="1"/>
      <c r="K92" s="1"/>
    </row>
    <row r="93" spans="1:11" x14ac:dyDescent="0.2">
      <c r="A93" t="str">
        <f ca="1">OFFSET(Wellington_Reference,0,2)</f>
        <v>Pedestrian</v>
      </c>
      <c r="B93" s="4">
        <f ca="1">OFFSET(Wellington_Reference,0,6)</f>
        <v>126.13499251</v>
      </c>
      <c r="C93" s="4">
        <f ca="1">$B93*('Updated Population'!C$92/'Updated Population'!$B$92)*('Total Distance Tables Sup #1'!C170/'Total Distance Tables Sup #1'!$B170)</f>
        <v>132.80140220991774</v>
      </c>
      <c r="D93" s="4">
        <f ca="1">$B93*('Updated Population'!D$92/'Updated Population'!$B$92)*('Total Distance Tables Sup #1'!D170/'Total Distance Tables Sup #1'!$B170)</f>
        <v>136.13421064192937</v>
      </c>
      <c r="E93" s="4">
        <f ca="1">$B93*('Updated Population'!E$92/'Updated Population'!$B$92)*('Total Distance Tables Sup #1'!E170/'Total Distance Tables Sup #1'!$B170)</f>
        <v>138.32396333078762</v>
      </c>
      <c r="F93" s="4">
        <f ca="1">$B93*('Updated Population'!F$92/'Updated Population'!$B$92)*('Total Distance Tables Sup #1'!F170/'Total Distance Tables Sup #1'!$B170)</f>
        <v>139.26441540843001</v>
      </c>
      <c r="G93" s="4">
        <f ca="1">$B93*('Updated Population'!G$92/'Updated Population'!$B$92)*('Total Distance Tables Sup #1'!G170/'Total Distance Tables Sup #1'!$B170)</f>
        <v>139.97347726562595</v>
      </c>
      <c r="H93" s="4">
        <f ca="1">$B93*('Updated Population'!H$92/'Updated Population'!$B$92)*('Total Distance Tables Sup #1'!H170/'Total Distance Tables Sup #1'!$B170)</f>
        <v>140.04341334930959</v>
      </c>
      <c r="I93" s="1">
        <f ca="1">$B93*('Updated Population'!I$92/'Updated Population'!$B$92)*('Total Distance Tables Sup #1'!I170/'Total Distance Tables Sup #1'!$B170)</f>
        <v>140.96956650563374</v>
      </c>
      <c r="J93" s="1">
        <f ca="1">$B93*('Updated Population'!J$92/'Updated Population'!$B$92)*('Total Distance Tables Sup #1'!J170/'Total Distance Tables Sup #1'!$B170)</f>
        <v>141.45014659569213</v>
      </c>
      <c r="K93" s="1">
        <f ca="1">$B93*('Updated Population'!K$92/'Updated Population'!$B$92)*('Total Distance Tables Sup #1'!K170/'Total Distance Tables Sup #1'!$B170)</f>
        <v>141.62734321487429</v>
      </c>
    </row>
    <row r="94" spans="1:11" x14ac:dyDescent="0.2">
      <c r="A94" t="str">
        <f ca="1">OFFSET(Wellington_Reference,7,2)</f>
        <v>Cyclist</v>
      </c>
      <c r="B94" s="4">
        <f ca="1">OFFSET(Wellington_Reference,7,6)</f>
        <v>52.092312808000003</v>
      </c>
      <c r="C94" s="4">
        <f ca="1">$B94*('Updated Population'!C$92/'Updated Population'!$B$92)*('Total Distance Tables Sup #1'!C171/'Total Distance Tables Sup #1'!$B171)</f>
        <v>56.394975366602083</v>
      </c>
      <c r="D94" s="4">
        <f ca="1">$B94*('Updated Population'!D$92/'Updated Population'!$B$92)*('Total Distance Tables Sup #1'!D171/'Total Distance Tables Sup #1'!$B171)</f>
        <v>58.309325535216864</v>
      </c>
      <c r="E94" s="4">
        <f ca="1">$B94*('Updated Population'!E$92/'Updated Population'!$B$92)*('Total Distance Tables Sup #1'!E171/'Total Distance Tables Sup #1'!$B171)</f>
        <v>58.895923617833823</v>
      </c>
      <c r="F94" s="4">
        <f ca="1">$B94*('Updated Population'!F$92/'Updated Population'!$B$92)*('Total Distance Tables Sup #1'!F171/'Total Distance Tables Sup #1'!$B171)</f>
        <v>60.140293314299889</v>
      </c>
      <c r="G94" s="4">
        <f ca="1">$B94*('Updated Population'!G$92/'Updated Population'!$B$92)*('Total Distance Tables Sup #1'!G171/'Total Distance Tables Sup #1'!$B171)</f>
        <v>62.189049537067227</v>
      </c>
      <c r="H94" s="4">
        <f ca="1">$B94*('Updated Population'!H$92/'Updated Population'!$B$92)*('Total Distance Tables Sup #1'!H171/'Total Distance Tables Sup #1'!$B171)</f>
        <v>64.109403390263921</v>
      </c>
      <c r="I94" s="1">
        <f ca="1">$B94*('Updated Population'!I$92/'Updated Population'!$B$92)*('Total Distance Tables Sup #1'!I171/'Total Distance Tables Sup #1'!$B171)</f>
        <v>64.533379962099218</v>
      </c>
      <c r="J94" s="1">
        <f ca="1">$B94*('Updated Population'!J$92/'Updated Population'!$B$92)*('Total Distance Tables Sup #1'!J171/'Total Distance Tables Sup #1'!$B171)</f>
        <v>64.753381046891647</v>
      </c>
      <c r="K94" s="1">
        <f ca="1">$B94*('Updated Population'!K$92/'Updated Population'!$B$92)*('Total Distance Tables Sup #1'!K171/'Total Distance Tables Sup #1'!$B171)</f>
        <v>64.834498532297431</v>
      </c>
    </row>
    <row r="95" spans="1:11" x14ac:dyDescent="0.2">
      <c r="A95" t="str">
        <f ca="1">OFFSET(Wellington_Reference,14,2)</f>
        <v>Light Vehicle Driver</v>
      </c>
      <c r="B95" s="4">
        <f ca="1">OFFSET(Wellington_Reference,14,6)</f>
        <v>3481.4296611999998</v>
      </c>
      <c r="C95" s="4">
        <f ca="1">$B95*('Updated Population'!C$92/'Updated Population'!$B$92)*('Total Distance Tables Sup #1'!C172/'Total Distance Tables Sup #1'!$B172)</f>
        <v>3788.0206698087804</v>
      </c>
      <c r="D95" s="4">
        <f ca="1">$B95*('Updated Population'!D$92/'Updated Population'!$B$92)*('Total Distance Tables Sup #1'!D172/'Total Distance Tables Sup #1'!$B172)</f>
        <v>3964.2163397179843</v>
      </c>
      <c r="E95" s="4">
        <f ca="1">$B95*('Updated Population'!E$92/'Updated Population'!$B$92)*('Total Distance Tables Sup #1'!E172/'Total Distance Tables Sup #1'!$B172)</f>
        <v>4069.5231566913444</v>
      </c>
      <c r="F95" s="4">
        <f ca="1">$B95*('Updated Population'!F$92/'Updated Population'!$B$92)*('Total Distance Tables Sup #1'!F172/'Total Distance Tables Sup #1'!$B172)</f>
        <v>4161.293640341486</v>
      </c>
      <c r="G95" s="4">
        <f ca="1">$B95*('Updated Population'!G$92/'Updated Population'!$B$92)*('Total Distance Tables Sup #1'!G172/'Total Distance Tables Sup #1'!$B172)</f>
        <v>4216.3858908811917</v>
      </c>
      <c r="H95" s="4">
        <f ca="1">$B95*('Updated Population'!H$92/'Updated Population'!$B$92)*('Total Distance Tables Sup #1'!H172/'Total Distance Tables Sup #1'!$B172)</f>
        <v>4254.8210375100234</v>
      </c>
      <c r="I95" s="1">
        <f ca="1">$B95*('Updated Population'!I$92/'Updated Population'!$B$92)*('Total Distance Tables Sup #1'!I172/'Total Distance Tables Sup #1'!$B172)</f>
        <v>4282.9595685500763</v>
      </c>
      <c r="J95" s="1">
        <f ca="1">$B95*('Updated Population'!J$92/'Updated Population'!$B$92)*('Total Distance Tables Sup #1'!J172/'Total Distance Tables Sup #1'!$B172)</f>
        <v>4297.560628524875</v>
      </c>
      <c r="K95" s="1">
        <f ca="1">$B95*('Updated Population'!K$92/'Updated Population'!$B$92)*('Total Distance Tables Sup #1'!K172/'Total Distance Tables Sup #1'!$B172)</f>
        <v>4302.9442441126448</v>
      </c>
    </row>
    <row r="96" spans="1:11" x14ac:dyDescent="0.2">
      <c r="A96" t="str">
        <f ca="1">OFFSET(Wellington_Reference,21,2)</f>
        <v>Light Vehicle Passenger</v>
      </c>
      <c r="B96" s="4">
        <f ca="1">OFFSET(Wellington_Reference,21,6)</f>
        <v>2005.8850408000001</v>
      </c>
      <c r="C96" s="4">
        <f ca="1">$B96*('Updated Population'!C$92/'Updated Population'!$B$92)*('Total Distance Tables Sup #1'!C173/'Total Distance Tables Sup #1'!$B173)</f>
        <v>2090.3211738112395</v>
      </c>
      <c r="D96" s="4">
        <f ca="1">$B96*('Updated Population'!D$92/'Updated Population'!$B$92)*('Total Distance Tables Sup #1'!D173/'Total Distance Tables Sup #1'!$B173)</f>
        <v>2133.6001520608315</v>
      </c>
      <c r="E96" s="4">
        <f ca="1">$B96*('Updated Population'!E$92/'Updated Population'!$B$92)*('Total Distance Tables Sup #1'!E173/'Total Distance Tables Sup #1'!$B173)</f>
        <v>2157.485596521457</v>
      </c>
      <c r="F96" s="4">
        <f ca="1">$B96*('Updated Population'!F$92/'Updated Population'!$B$92)*('Total Distance Tables Sup #1'!F173/'Total Distance Tables Sup #1'!$B173)</f>
        <v>2169.2798627337088</v>
      </c>
      <c r="G96" s="4">
        <f ca="1">$B96*('Updated Population'!G$92/'Updated Population'!$B$92)*('Total Distance Tables Sup #1'!G173/'Total Distance Tables Sup #1'!$B173)</f>
        <v>2171.253508393037</v>
      </c>
      <c r="H96" s="4">
        <f ca="1">$B96*('Updated Population'!H$92/'Updated Population'!$B$92)*('Total Distance Tables Sup #1'!H173/'Total Distance Tables Sup #1'!$B173)</f>
        <v>2162.3096397311024</v>
      </c>
      <c r="I96" s="1">
        <f ca="1">$B96*('Updated Population'!I$92/'Updated Population'!$B$92)*('Total Distance Tables Sup #1'!I173/'Total Distance Tables Sup #1'!$B173)</f>
        <v>2176.6097046173527</v>
      </c>
      <c r="J96" s="1">
        <f ca="1">$B96*('Updated Population'!J$92/'Updated Population'!$B$92)*('Total Distance Tables Sup #1'!J173/'Total Distance Tables Sup #1'!$B173)</f>
        <v>2184.0299962008216</v>
      </c>
      <c r="K96" s="1">
        <f ca="1">$B96*('Updated Population'!K$92/'Updated Population'!$B$92)*('Total Distance Tables Sup #1'!K173/'Total Distance Tables Sup #1'!$B173)</f>
        <v>2186.7659617747941</v>
      </c>
    </row>
    <row r="97" spans="1:11" x14ac:dyDescent="0.2">
      <c r="A97" t="str">
        <f ca="1">OFFSET(Wellington_Reference,28,2)</f>
        <v>Taxi/Vehicle Share</v>
      </c>
      <c r="B97" s="4">
        <f ca="1">OFFSET(Wellington_Reference,28,6)</f>
        <v>19.359252680000001</v>
      </c>
      <c r="C97" s="4">
        <f ca="1">$B97*('Updated Population'!C$92/'Updated Population'!$B$92)*('Total Distance Tables Sup #1'!C174/'Total Distance Tables Sup #1'!$B174)</f>
        <v>22.040090287110168</v>
      </c>
      <c r="D97" s="4">
        <f ca="1">$B97*('Updated Population'!D$92/'Updated Population'!$B$92)*('Total Distance Tables Sup #1'!D174/'Total Distance Tables Sup #1'!$B174)</f>
        <v>24.346154568846082</v>
      </c>
      <c r="E97" s="4">
        <f ca="1">$B97*('Updated Population'!E$92/'Updated Population'!$B$92)*('Total Distance Tables Sup #1'!E174/'Total Distance Tables Sup #1'!$B174)</f>
        <v>26.480543497920891</v>
      </c>
      <c r="F97" s="4">
        <f ca="1">$B97*('Updated Population'!F$92/'Updated Population'!$B$92)*('Total Distance Tables Sup #1'!F174/'Total Distance Tables Sup #1'!$B174)</f>
        <v>28.374422394037662</v>
      </c>
      <c r="G97" s="4">
        <f ca="1">$B97*('Updated Population'!G$92/'Updated Population'!$B$92)*('Total Distance Tables Sup #1'!G174/'Total Distance Tables Sup #1'!$B174)</f>
        <v>29.884746867933046</v>
      </c>
      <c r="H97" s="4">
        <f ca="1">$B97*('Updated Population'!H$92/'Updated Population'!$B$92)*('Total Distance Tables Sup #1'!H174/'Total Distance Tables Sup #1'!$B174)</f>
        <v>31.311492343993983</v>
      </c>
      <c r="I97" s="1">
        <f ca="1">$B97*('Updated Population'!I$92/'Updated Population'!$B$92)*('Total Distance Tables Sup #1'!I174/'Total Distance Tables Sup #1'!$B174)</f>
        <v>31.518565542012066</v>
      </c>
      <c r="J97" s="1">
        <f ca="1">$B97*('Updated Population'!J$92/'Updated Population'!$B$92)*('Total Distance Tables Sup #1'!J174/'Total Distance Tables Sup #1'!$B174)</f>
        <v>31.626015649451293</v>
      </c>
      <c r="K97" s="1">
        <f ca="1">$B97*('Updated Population'!K$92/'Updated Population'!$B$92)*('Total Distance Tables Sup #1'!K174/'Total Distance Tables Sup #1'!$B174)</f>
        <v>31.665634011016536</v>
      </c>
    </row>
    <row r="98" spans="1:11" x14ac:dyDescent="0.2">
      <c r="A98" t="str">
        <f ca="1">OFFSET(Wellington_Reference,35,2)</f>
        <v>Motorcyclist</v>
      </c>
      <c r="B98" s="4">
        <f ca="1">OFFSET(Wellington_Reference,35,6)</f>
        <v>24.444631151999999</v>
      </c>
      <c r="C98" s="4">
        <f ca="1">$B98*('Updated Population'!C$92/'Updated Population'!$B$92)*('Total Distance Tables Sup #1'!C175/'Total Distance Tables Sup #1'!$B175)</f>
        <v>26.32836075967688</v>
      </c>
      <c r="D98" s="4">
        <f ca="1">$B98*('Updated Population'!D$92/'Updated Population'!$B$92)*('Total Distance Tables Sup #1'!D175/'Total Distance Tables Sup #1'!$B175)</f>
        <v>27.284747866946084</v>
      </c>
      <c r="E98" s="4">
        <f ca="1">$B98*('Updated Population'!E$92/'Updated Population'!$B$92)*('Total Distance Tables Sup #1'!E175/'Total Distance Tables Sup #1'!$B175)</f>
        <v>27.339674714529671</v>
      </c>
      <c r="F98" s="4">
        <f ca="1">$B98*('Updated Population'!F$92/'Updated Population'!$B$92)*('Total Distance Tables Sup #1'!F175/'Total Distance Tables Sup #1'!$B175)</f>
        <v>27.160695905881557</v>
      </c>
      <c r="G98" s="4">
        <f ca="1">$B98*('Updated Population'!G$92/'Updated Population'!$B$92)*('Total Distance Tables Sup #1'!G175/'Total Distance Tables Sup #1'!$B175)</f>
        <v>26.534418534213074</v>
      </c>
      <c r="H98" s="4">
        <f ca="1">$B98*('Updated Population'!H$92/'Updated Population'!$B$92)*('Total Distance Tables Sup #1'!H175/'Total Distance Tables Sup #1'!$B175)</f>
        <v>25.787627353987606</v>
      </c>
      <c r="I98" s="1">
        <f ca="1">$B98*('Updated Population'!I$92/'Updated Population'!$B$92)*('Total Distance Tables Sup #1'!I175/'Total Distance Tables Sup #1'!$B175)</f>
        <v>25.958169415886903</v>
      </c>
      <c r="J98" s="1">
        <f ca="1">$B98*('Updated Population'!J$92/'Updated Population'!$B$92)*('Total Distance Tables Sup #1'!J175/'Total Distance Tables Sup #1'!$B175)</f>
        <v>26.046663547669166</v>
      </c>
      <c r="K98" s="1">
        <f ca="1">$B98*('Updated Population'!K$92/'Updated Population'!$B$92)*('Total Distance Tables Sup #1'!K175/'Total Distance Tables Sup #1'!$B175)</f>
        <v>26.079292575158366</v>
      </c>
    </row>
    <row r="99" spans="1:11" x14ac:dyDescent="0.2">
      <c r="A99" t="str">
        <f ca="1">OFFSET(Wellington_Reference,42,2)</f>
        <v>Local Train</v>
      </c>
      <c r="B99" s="4">
        <f ca="1">OFFSET(Wellington_Reference,42,6)</f>
        <v>251.12727889999999</v>
      </c>
      <c r="C99" s="4">
        <f ca="1">OFFSET(Wellington_Reference,43,6)</f>
        <v>268.37680104999998</v>
      </c>
      <c r="D99" s="4">
        <f ca="1">OFFSET(Wellington_Reference,44,6)</f>
        <v>281.69209850999999</v>
      </c>
      <c r="E99" s="4">
        <f ca="1">OFFSET(Wellington_Reference,45,6)</f>
        <v>293.63243101</v>
      </c>
      <c r="F99" s="4">
        <f ca="1">OFFSET(Wellington_Reference,46,6)</f>
        <v>299.69443267000003</v>
      </c>
      <c r="G99" s="4">
        <f ca="1">OFFSET(Wellington_Reference,47,6)</f>
        <v>306.32187286999999</v>
      </c>
      <c r="H99" s="4">
        <f ca="1">OFFSET(Wellington_Reference,48,6)</f>
        <v>311.45008668999998</v>
      </c>
      <c r="I99" s="1">
        <f ca="1">OFFSET(Wellington_Reference,48,6)*('Updated Population'!I92/'Updated Population'!H92)</f>
        <v>313.50980855714624</v>
      </c>
      <c r="J99" s="1">
        <f ca="1">OFFSET(Wellington_Reference,48,6)*('Updated Population'!J92/'Updated Population'!H92)</f>
        <v>314.57859649319039</v>
      </c>
      <c r="K99" s="1">
        <f ca="1">OFFSET(Wellington_Reference,48,6)*('Updated Population'!K92/'Updated Population'!H92)</f>
        <v>314.97267359460886</v>
      </c>
    </row>
    <row r="100" spans="1:11" x14ac:dyDescent="0.2">
      <c r="A100" t="str">
        <f ca="1">OFFSET(Wellington_Reference,49,2)</f>
        <v>Local Bus</v>
      </c>
      <c r="B100" s="4">
        <f ca="1">OFFSET(Wellington_Reference,49,6)</f>
        <v>187.412398</v>
      </c>
      <c r="C100" s="4">
        <f ca="1">OFFSET(Wellington_Reference,50,6)</f>
        <v>196.28837895999999</v>
      </c>
      <c r="D100" s="4">
        <f ca="1">OFFSET(Wellington_Reference,51,6)</f>
        <v>200.10319190000001</v>
      </c>
      <c r="E100" s="4">
        <f ca="1">OFFSET(Wellington_Reference,52,6)</f>
        <v>203.08920596999999</v>
      </c>
      <c r="F100" s="4">
        <f ca="1">OFFSET(Wellington_Reference,53,6)</f>
        <v>204.15487131</v>
      </c>
      <c r="G100" s="4">
        <f ca="1">OFFSET(Wellington_Reference,54,6)</f>
        <v>204.32570204000001</v>
      </c>
      <c r="H100" s="4">
        <f ca="1">OFFSET(Wellington_Reference,55,6)</f>
        <v>203.4099812</v>
      </c>
      <c r="I100" s="1">
        <f ca="1">OFFSET(Wellington_Reference,55,6)*('Updated Population'!I92/'Updated Population'!H92)</f>
        <v>204.75519831239873</v>
      </c>
      <c r="J100" s="1">
        <f ca="1">OFFSET(Wellington_Reference,55,6)*('Updated Population'!J92/'Updated Population'!H92)</f>
        <v>205.45323033508333</v>
      </c>
      <c r="K100" s="1">
        <f ca="1">OFFSET(Wellington_Reference,55,6)*('Updated Population'!K92/'Updated Population'!H92)</f>
        <v>205.71060453151654</v>
      </c>
    </row>
    <row r="101" spans="1:11" x14ac:dyDescent="0.2">
      <c r="A101" t="str">
        <f ca="1">OFFSET(Wellington_Reference,56,2)</f>
        <v>Local Ferry</v>
      </c>
      <c r="B101" s="4">
        <f ca="1">OFFSET(Wellington_Reference,56,6)</f>
        <v>0</v>
      </c>
      <c r="C101" s="4">
        <f ca="1">$B101*('Updated Population'!C$92/'Updated Population'!$B$92)*('Total Distance Tables Sup #1'!C178/'Total Distance Tables Sup #1'!$B178)</f>
        <v>0</v>
      </c>
      <c r="D101" s="4">
        <f ca="1">$B101*('Updated Population'!D$92/'Updated Population'!$B$92)*('Total Distance Tables Sup #1'!D178/'Total Distance Tables Sup #1'!$B178)</f>
        <v>0</v>
      </c>
      <c r="E101" s="4">
        <f ca="1">$B101*('Updated Population'!E$92/'Updated Population'!$B$92)*('Total Distance Tables Sup #1'!E178/'Total Distance Tables Sup #1'!$B178)</f>
        <v>0</v>
      </c>
      <c r="F101" s="4">
        <f ca="1">$B101*('Updated Population'!F$92/'Updated Population'!$B$92)*('Total Distance Tables Sup #1'!F178/'Total Distance Tables Sup #1'!$B178)</f>
        <v>0</v>
      </c>
      <c r="G101" s="4">
        <f ca="1">$B101*('Updated Population'!G$92/'Updated Population'!$B$92)*('Total Distance Tables Sup #1'!G178/'Total Distance Tables Sup #1'!$B178)</f>
        <v>0</v>
      </c>
      <c r="H101" s="4">
        <f ca="1">$B101*('Updated Population'!H$92/'Updated Population'!$B$92)*('Total Distance Tables Sup #1'!H178/'Total Distance Tables Sup #1'!$B178)</f>
        <v>0</v>
      </c>
      <c r="I101" s="1">
        <f ca="1">$B101*('Updated Population'!I$92/'Updated Population'!$B$92)*('Total Distance Tables Sup #1'!I178/'Total Distance Tables Sup #1'!$B178)</f>
        <v>0</v>
      </c>
      <c r="J101" s="1">
        <f ca="1">$B101*('Updated Population'!J$92/'Updated Population'!$B$92)*('Total Distance Tables Sup #1'!J178/'Total Distance Tables Sup #1'!$B178)</f>
        <v>0</v>
      </c>
      <c r="K101" s="1">
        <f ca="1">$B101*('Updated Population'!K$92/'Updated Population'!$B$92)*('Total Distance Tables Sup #1'!K178/'Total Distance Tables Sup #1'!$B178)</f>
        <v>0</v>
      </c>
    </row>
    <row r="102" spans="1:11" x14ac:dyDescent="0.2">
      <c r="A102" t="str">
        <f ca="1">OFFSET(Wellington_Reference,63,2)</f>
        <v>Other Household Travel</v>
      </c>
      <c r="B102" s="4">
        <f ca="1">OFFSET(Wellington_Reference,63,6)</f>
        <v>0</v>
      </c>
      <c r="C102" s="4">
        <f ca="1">$B102*('Updated Population'!C$92/'Updated Population'!$B$92)*('Total Distance Tables Sup #1'!C179/'Total Distance Tables Sup #1'!$B179)</f>
        <v>0</v>
      </c>
      <c r="D102" s="4">
        <f ca="1">$B102*('Updated Population'!D$92/'Updated Population'!$B$92)*('Total Distance Tables Sup #1'!D179/'Total Distance Tables Sup #1'!$B179)</f>
        <v>0</v>
      </c>
      <c r="E102" s="4">
        <f ca="1">$B102*('Updated Population'!E$92/'Updated Population'!$B$92)*('Total Distance Tables Sup #1'!E179/'Total Distance Tables Sup #1'!$B179)</f>
        <v>0</v>
      </c>
      <c r="F102" s="4">
        <f ca="1">$B102*('Updated Population'!F$92/'Updated Population'!$B$92)*('Total Distance Tables Sup #1'!F179/'Total Distance Tables Sup #1'!$B179)</f>
        <v>0</v>
      </c>
      <c r="G102" s="4">
        <f ca="1">$B102*('Updated Population'!G$92/'Updated Population'!$B$92)*('Total Distance Tables Sup #1'!G179/'Total Distance Tables Sup #1'!$B179)</f>
        <v>0</v>
      </c>
      <c r="H102" s="4">
        <f ca="1">$B102*('Updated Population'!H$92/'Updated Population'!$B$92)*('Total Distance Tables Sup #1'!H179/'Total Distance Tables Sup #1'!$B179)</f>
        <v>0</v>
      </c>
      <c r="I102" s="1">
        <f ca="1">$B102*('Updated Population'!I$92/'Updated Population'!$B$92)*('Total Distance Tables Sup #1'!I179/'Total Distance Tables Sup #1'!$B179)</f>
        <v>0</v>
      </c>
      <c r="J102" s="1">
        <f ca="1">$B102*('Updated Population'!J$92/'Updated Population'!$B$92)*('Total Distance Tables Sup #1'!J179/'Total Distance Tables Sup #1'!$B179)</f>
        <v>0</v>
      </c>
      <c r="K102" s="1">
        <f ca="1">$B102*('Updated Population'!K$92/'Updated Population'!$B$92)*('Total Distance Tables Sup #1'!K179/'Total Distance Tables Sup #1'!$B179)</f>
        <v>0</v>
      </c>
    </row>
    <row r="103" spans="1:11" x14ac:dyDescent="0.2">
      <c r="A103" t="str">
        <f ca="1">OFFSET(Nelson_Reference,0,0)</f>
        <v>10 NELS-MARLB-TAS</v>
      </c>
      <c r="I103" s="1"/>
      <c r="J103" s="1"/>
      <c r="K103" s="1"/>
    </row>
    <row r="104" spans="1:11" x14ac:dyDescent="0.2">
      <c r="A104" t="str">
        <f ca="1">OFFSET(Nelson_Reference,0,2)</f>
        <v>Pedestrian</v>
      </c>
      <c r="B104" s="4">
        <f ca="1">OFFSET(Nelson_Reference,0,6)</f>
        <v>28.582749250999999</v>
      </c>
      <c r="C104" s="4">
        <f ca="1">$B104*('Updated Population'!C$103/'Updated Population'!$B$103)*('Total Distance Tables Sup #1'!C170/'Total Distance Tables Sup #1'!$B170)</f>
        <v>29.808121873758289</v>
      </c>
      <c r="D104" s="4">
        <f ca="1">$B104*('Updated Population'!D$103/'Updated Population'!$B$103)*('Total Distance Tables Sup #1'!D170/'Total Distance Tables Sup #1'!$B170)</f>
        <v>30.455732165989225</v>
      </c>
      <c r="E104" s="4">
        <f ca="1">$B104*('Updated Population'!E$103/'Updated Population'!$B$103)*('Total Distance Tables Sup #1'!E170/'Total Distance Tables Sup #1'!$B170)</f>
        <v>30.83724307731249</v>
      </c>
      <c r="F104" s="4">
        <f ca="1">$B104*('Updated Population'!F$103/'Updated Population'!$B$103)*('Total Distance Tables Sup #1'!F170/'Total Distance Tables Sup #1'!$B170)</f>
        <v>30.888134279067295</v>
      </c>
      <c r="G104" s="4">
        <f ca="1">$B104*('Updated Population'!G$103/'Updated Population'!$B$103)*('Total Distance Tables Sup #1'!G170/'Total Distance Tables Sup #1'!$B170)</f>
        <v>30.844830715655622</v>
      </c>
      <c r="H104" s="4">
        <f ca="1">$B104*('Updated Population'!H$103/'Updated Population'!$B$103)*('Total Distance Tables Sup #1'!H170/'Total Distance Tables Sup #1'!$B170)</f>
        <v>30.609377885270295</v>
      </c>
      <c r="I104" s="1">
        <f ca="1">$B104*('Updated Population'!I$103/'Updated Population'!$B$103)*('Total Distance Tables Sup #1'!I170/'Total Distance Tables Sup #1'!$B170)</f>
        <v>30.562778593117901</v>
      </c>
      <c r="J104" s="1">
        <f ca="1">$B104*('Updated Population'!J$103/'Updated Population'!$B$103)*('Total Distance Tables Sup #1'!J170/'Total Distance Tables Sup #1'!$B170)</f>
        <v>30.420547906244156</v>
      </c>
      <c r="K104" s="1">
        <f ca="1">$B104*('Updated Population'!K$103/'Updated Population'!$B$103)*('Total Distance Tables Sup #1'!K170/'Total Distance Tables Sup #1'!$B170)</f>
        <v>30.215335650970221</v>
      </c>
    </row>
    <row r="105" spans="1:11" x14ac:dyDescent="0.2">
      <c r="A105" t="str">
        <f ca="1">OFFSET(Nelson_Reference,7,2)</f>
        <v>Cyclist</v>
      </c>
      <c r="B105" s="4">
        <f ca="1">OFFSET(Nelson_Reference,7,6)</f>
        <v>10.809874027999999</v>
      </c>
      <c r="C105" s="4">
        <f ca="1">$B105*('Updated Population'!C$103/'Updated Population'!$B$103)*('Total Distance Tables Sup #1'!C171/'Total Distance Tables Sup #1'!$B171)</f>
        <v>11.591801709182008</v>
      </c>
      <c r="D105" s="4">
        <f ca="1">$B105*('Updated Population'!D$103/'Updated Population'!$B$103)*('Total Distance Tables Sup #1'!D171/'Total Distance Tables Sup #1'!$B171)</f>
        <v>11.945885962529646</v>
      </c>
      <c r="E105" s="4">
        <f ca="1">$B105*('Updated Population'!E$103/'Updated Population'!$B$103)*('Total Distance Tables Sup #1'!E171/'Total Distance Tables Sup #1'!$B171)</f>
        <v>12.02380533737432</v>
      </c>
      <c r="F105" s="4">
        <f ca="1">$B105*('Updated Population'!F$103/'Updated Population'!$B$103)*('Total Distance Tables Sup #1'!F171/'Total Distance Tables Sup #1'!$B171)</f>
        <v>12.215060929870207</v>
      </c>
      <c r="G105" s="4">
        <f ca="1">$B105*('Updated Population'!G$103/'Updated Population'!$B$103)*('Total Distance Tables Sup #1'!G171/'Total Distance Tables Sup #1'!$B171)</f>
        <v>12.549578466865668</v>
      </c>
      <c r="H105" s="4">
        <f ca="1">$B105*('Updated Population'!H$103/'Updated Population'!$B$103)*('Total Distance Tables Sup #1'!H171/'Total Distance Tables Sup #1'!$B171)</f>
        <v>12.831934387855432</v>
      </c>
      <c r="I105" s="1">
        <f ca="1">$B105*('Updated Population'!I$103/'Updated Population'!$B$103)*('Total Distance Tables Sup #1'!I171/'Total Distance Tables Sup #1'!$B171)</f>
        <v>12.812399229001132</v>
      </c>
      <c r="J105" s="1">
        <f ca="1">$B105*('Updated Population'!J$103/'Updated Population'!$B$103)*('Total Distance Tables Sup #1'!J171/'Total Distance Tables Sup #1'!$B171)</f>
        <v>12.752773879908959</v>
      </c>
      <c r="K105" s="1">
        <f ca="1">$B105*('Updated Population'!K$103/'Updated Population'!$B$103)*('Total Distance Tables Sup #1'!K171/'Total Distance Tables Sup #1'!$B171)</f>
        <v>12.666745663160192</v>
      </c>
    </row>
    <row r="106" spans="1:11" x14ac:dyDescent="0.2">
      <c r="A106" t="str">
        <f ca="1">OFFSET(Nelson_Reference,14,2)</f>
        <v>Light Vehicle Driver</v>
      </c>
      <c r="B106" s="4">
        <f ca="1">OFFSET(Nelson_Reference,14,6)</f>
        <v>1012.1329009999999</v>
      </c>
      <c r="C106" s="4">
        <f ca="1">$B106*('Updated Population'!C$103/'Updated Population'!$B$103)*('Total Distance Tables Sup #1'!C172/'Total Distance Tables Sup #1'!$B172)</f>
        <v>1090.8267927343807</v>
      </c>
      <c r="D106" s="4">
        <f ca="1">$B106*('Updated Population'!D$103/'Updated Population'!$B$103)*('Total Distance Tables Sup #1'!D172/'Total Distance Tables Sup #1'!$B172)</f>
        <v>1137.8122838627853</v>
      </c>
      <c r="E106" s="4">
        <f ca="1">$B106*('Updated Population'!E$103/'Updated Population'!$B$103)*('Total Distance Tables Sup #1'!E172/'Total Distance Tables Sup #1'!$B172)</f>
        <v>1163.9468463133005</v>
      </c>
      <c r="F106" s="4">
        <f ca="1">$B106*('Updated Population'!F$103/'Updated Population'!$B$103)*('Total Distance Tables Sup #1'!F172/'Total Distance Tables Sup #1'!$B172)</f>
        <v>1184.1081837306676</v>
      </c>
      <c r="G106" s="4">
        <f ca="1">$B106*('Updated Population'!G$103/'Updated Population'!$B$103)*('Total Distance Tables Sup #1'!G172/'Total Distance Tables Sup #1'!$B172)</f>
        <v>1192.0335932618623</v>
      </c>
      <c r="H106" s="4">
        <f ca="1">$B106*('Updated Population'!H$103/'Updated Population'!$B$103)*('Total Distance Tables Sup #1'!H172/'Total Distance Tables Sup #1'!$B172)</f>
        <v>1193.1213499539178</v>
      </c>
      <c r="I106" s="1">
        <f ca="1">$B106*('Updated Population'!I$103/'Updated Population'!$B$103)*('Total Distance Tables Sup #1'!I172/'Total Distance Tables Sup #1'!$B172)</f>
        <v>1191.304958566672</v>
      </c>
      <c r="J106" s="1">
        <f ca="1">$B106*('Updated Population'!J$103/'Updated Population'!$B$103)*('Total Distance Tables Sup #1'!J172/'Total Distance Tables Sup #1'!$B172)</f>
        <v>1185.7609560141298</v>
      </c>
      <c r="K106" s="1">
        <f ca="1">$B106*('Updated Population'!K$103/'Updated Population'!$B$103)*('Total Distance Tables Sup #1'!K172/'Total Distance Tables Sup #1'!$B172)</f>
        <v>1177.7619981797939</v>
      </c>
    </row>
    <row r="107" spans="1:11" x14ac:dyDescent="0.2">
      <c r="A107" t="str">
        <f ca="1">OFFSET(Nelson_Reference,21,2)</f>
        <v>Light Vehicle Passenger</v>
      </c>
      <c r="B107" s="4">
        <f ca="1">OFFSET(Nelson_Reference,21,6)</f>
        <v>528.66856442999995</v>
      </c>
      <c r="C107" s="4">
        <f ca="1">$B107*('Updated Population'!C$103/'Updated Population'!$B$103)*('Total Distance Tables Sup #1'!C173/'Total Distance Tables Sup #1'!$B173)</f>
        <v>545.70006609789857</v>
      </c>
      <c r="D107" s="4">
        <f ca="1">$B107*('Updated Population'!D$103/'Updated Population'!$B$103)*('Total Distance Tables Sup #1'!D173/'Total Distance Tables Sup #1'!$B173)</f>
        <v>555.16724504281387</v>
      </c>
      <c r="E107" s="4">
        <f ca="1">$B107*('Updated Population'!E$103/'Updated Population'!$B$103)*('Total Distance Tables Sup #1'!E173/'Total Distance Tables Sup #1'!$B173)</f>
        <v>559.41622617841017</v>
      </c>
      <c r="F107" s="4">
        <f ca="1">$B107*('Updated Population'!F$103/'Updated Population'!$B$103)*('Total Distance Tables Sup #1'!F173/'Total Distance Tables Sup #1'!$B173)</f>
        <v>559.59797592273844</v>
      </c>
      <c r="G107" s="4">
        <f ca="1">$B107*('Updated Population'!G$103/'Updated Population'!$B$103)*('Total Distance Tables Sup #1'!G173/'Total Distance Tables Sup #1'!$B173)</f>
        <v>556.48851637577036</v>
      </c>
      <c r="H107" s="4">
        <f ca="1">$B107*('Updated Population'!H$103/'Updated Population'!$B$103)*('Total Distance Tables Sup #1'!H173/'Total Distance Tables Sup #1'!$B173)</f>
        <v>549.69113613301226</v>
      </c>
      <c r="I107" s="1">
        <f ca="1">$B107*('Updated Population'!I$103/'Updated Population'!$B$103)*('Total Distance Tables Sup #1'!I173/'Total Distance Tables Sup #1'!$B173)</f>
        <v>548.85429397495682</v>
      </c>
      <c r="J107" s="1">
        <f ca="1">$B107*('Updated Population'!J$103/'Updated Population'!$B$103)*('Total Distance Tables Sup #1'!J173/'Total Distance Tables Sup #1'!$B173)</f>
        <v>546.30007846121305</v>
      </c>
      <c r="K107" s="1">
        <f ca="1">$B107*('Updated Population'!K$103/'Updated Population'!$B$103)*('Total Distance Tables Sup #1'!K173/'Total Distance Tables Sup #1'!$B173)</f>
        <v>542.61482362941751</v>
      </c>
    </row>
    <row r="108" spans="1:11" x14ac:dyDescent="0.2">
      <c r="A108" t="str">
        <f ca="1">OFFSET(Nelson_Reference,28,2)</f>
        <v>Taxi/Vehicle Share</v>
      </c>
      <c r="B108" s="4">
        <f ca="1">OFFSET(Nelson_Reference,28,6)</f>
        <v>2.5483198348</v>
      </c>
      <c r="C108" s="4">
        <f ca="1">$B108*('Updated Population'!C$103/'Updated Population'!$B$103)*('Total Distance Tables Sup #1'!C174/'Total Distance Tables Sup #1'!$B174)</f>
        <v>2.8737054686398253</v>
      </c>
      <c r="D108" s="4">
        <f ca="1">$B108*('Updated Population'!D$103/'Updated Population'!$B$103)*('Total Distance Tables Sup #1'!D174/'Total Distance Tables Sup #1'!$B174)</f>
        <v>3.1639460869503533</v>
      </c>
      <c r="E108" s="4">
        <f ca="1">$B108*('Updated Population'!E$103/'Updated Population'!$B$103)*('Total Distance Tables Sup #1'!E174/'Total Distance Tables Sup #1'!$B174)</f>
        <v>3.4292721082310598</v>
      </c>
      <c r="F108" s="4">
        <f ca="1">$B108*('Updated Population'!F$103/'Updated Population'!$B$103)*('Total Distance Tables Sup #1'!F174/'Total Distance Tables Sup #1'!$B174)</f>
        <v>3.6557414950405578</v>
      </c>
      <c r="G108" s="4">
        <f ca="1">$B108*('Updated Population'!G$103/'Updated Population'!$B$103)*('Total Distance Tables Sup #1'!G174/'Total Distance Tables Sup #1'!$B174)</f>
        <v>3.8254554936568606</v>
      </c>
      <c r="H108" s="4">
        <f ca="1">$B108*('Updated Population'!H$103/'Updated Population'!$B$103)*('Total Distance Tables Sup #1'!H174/'Total Distance Tables Sup #1'!$B174)</f>
        <v>3.9755069328481043</v>
      </c>
      <c r="I108" s="1">
        <f ca="1">$B108*('Updated Population'!I$103/'Updated Population'!$B$103)*('Total Distance Tables Sup #1'!I174/'Total Distance Tables Sup #1'!$B174)</f>
        <v>3.9694546762582443</v>
      </c>
      <c r="J108" s="1">
        <f ca="1">$B108*('Updated Population'!J$103/'Updated Population'!$B$103)*('Total Distance Tables Sup #1'!J174/'Total Distance Tables Sup #1'!$B174)</f>
        <v>3.9509819361767669</v>
      </c>
      <c r="K108" s="1">
        <f ca="1">$B108*('Updated Population'!K$103/'Updated Population'!$B$103)*('Total Distance Tables Sup #1'!K174/'Total Distance Tables Sup #1'!$B174)</f>
        <v>3.9243292303751405</v>
      </c>
    </row>
    <row r="109" spans="1:11" x14ac:dyDescent="0.2">
      <c r="A109" t="str">
        <f ca="1">OFFSET(Nelson_Reference,35,2)</f>
        <v>Motorcyclist</v>
      </c>
      <c r="B109" s="4">
        <f ca="1">OFFSET(Nelson_Reference,35,6)</f>
        <v>34.127286998000002</v>
      </c>
      <c r="C109" s="4">
        <f ca="1">$B109*('Updated Population'!C$103/'Updated Population'!$B$103)*('Total Distance Tables Sup #1'!C175/'Total Distance Tables Sup #1'!$B175)</f>
        <v>36.40873880904357</v>
      </c>
      <c r="D109" s="4">
        <f ca="1">$B109*('Updated Population'!D$103/'Updated Population'!$B$103)*('Total Distance Tables Sup #1'!D175/'Total Distance Tables Sup #1'!$B175)</f>
        <v>37.607249774749597</v>
      </c>
      <c r="E109" s="4">
        <f ca="1">$B109*('Updated Population'!E$103/'Updated Population'!$B$103)*('Total Distance Tables Sup #1'!E175/'Total Distance Tables Sup #1'!$B175)</f>
        <v>37.550984329840851</v>
      </c>
      <c r="F109" s="4">
        <f ca="1">$B109*('Updated Population'!F$103/'Updated Population'!$B$103)*('Total Distance Tables Sup #1'!F175/'Total Distance Tables Sup #1'!$B175)</f>
        <v>37.114385288607679</v>
      </c>
      <c r="G109" s="4">
        <f ca="1">$B109*('Updated Population'!G$103/'Updated Population'!$B$103)*('Total Distance Tables Sup #1'!G175/'Total Distance Tables Sup #1'!$B175)</f>
        <v>36.024343670641983</v>
      </c>
      <c r="H109" s="4">
        <f ca="1">$B109*('Updated Population'!H$103/'Updated Population'!$B$103)*('Total Distance Tables Sup #1'!H175/'Total Distance Tables Sup #1'!$B175)</f>
        <v>34.725864300569214</v>
      </c>
      <c r="I109" s="1">
        <f ca="1">$B109*('Updated Population'!I$103/'Updated Population'!$B$103)*('Total Distance Tables Sup #1'!I175/'Total Distance Tables Sup #1'!$B175)</f>
        <v>34.672998126619134</v>
      </c>
      <c r="J109" s="1">
        <f ca="1">$B109*('Updated Population'!J$103/'Updated Population'!$B$103)*('Total Distance Tables Sup #1'!J175/'Total Distance Tables Sup #1'!$B175)</f>
        <v>34.511639619096798</v>
      </c>
      <c r="K109" s="1">
        <f ca="1">$B109*('Updated Population'!K$103/'Updated Population'!$B$103)*('Total Distance Tables Sup #1'!K175/'Total Distance Tables Sup #1'!$B175)</f>
        <v>34.278829499395357</v>
      </c>
    </row>
    <row r="110" spans="1:11" x14ac:dyDescent="0.2">
      <c r="A110" t="str">
        <f ca="1">OFFSET(Nelson_Reference,42,2)</f>
        <v>Local Train</v>
      </c>
      <c r="B110" s="4">
        <v>0</v>
      </c>
      <c r="C110" s="4">
        <f ca="1">$B110*('Updated Population'!C$103/'Updated Population'!$B$103)*('Total Distance Tables Sup #1'!C176/'Total Distance Tables Sup #1'!$B176)</f>
        <v>0</v>
      </c>
      <c r="D110" s="4">
        <f ca="1">$B110*('Updated Population'!D$103/'Updated Population'!$B$103)*('Total Distance Tables Sup #1'!D176/'Total Distance Tables Sup #1'!$B176)</f>
        <v>0</v>
      </c>
      <c r="E110" s="4">
        <f ca="1">$B110*('Updated Population'!E$103/'Updated Population'!$B$103)*('Total Distance Tables Sup #1'!E176/'Total Distance Tables Sup #1'!$B176)</f>
        <v>0</v>
      </c>
      <c r="F110" s="4">
        <f ca="1">$B110*('Updated Population'!F$103/'Updated Population'!$B$103)*('Total Distance Tables Sup #1'!F176/'Total Distance Tables Sup #1'!$B176)</f>
        <v>0</v>
      </c>
      <c r="G110" s="4">
        <f ca="1">$B110*('Updated Population'!G$103/'Updated Population'!$B$103)*('Total Distance Tables Sup #1'!G176/'Total Distance Tables Sup #1'!$B176)</f>
        <v>0</v>
      </c>
      <c r="H110" s="4">
        <f ca="1">$B110*('Updated Population'!H$103/'Updated Population'!$B$103)*('Total Distance Tables Sup #1'!H176/'Total Distance Tables Sup #1'!$B176)</f>
        <v>0</v>
      </c>
      <c r="I110" s="1">
        <f ca="1">$B110*('Updated Population'!I$103/'Updated Population'!$B$103)*('Total Distance Tables Sup #1'!I176/'Total Distance Tables Sup #1'!$B176)</f>
        <v>0</v>
      </c>
      <c r="J110" s="1">
        <f ca="1">$B110*('Updated Population'!J$103/'Updated Population'!$B$103)*('Total Distance Tables Sup #1'!J176/'Total Distance Tables Sup #1'!$B176)</f>
        <v>0</v>
      </c>
      <c r="K110" s="1">
        <f ca="1">$B110*('Updated Population'!K$103/'Updated Population'!$B$103)*('Total Distance Tables Sup #1'!K176/'Total Distance Tables Sup #1'!$B176)</f>
        <v>0</v>
      </c>
    </row>
    <row r="111" spans="1:11" x14ac:dyDescent="0.2">
      <c r="A111" t="str">
        <f ca="1">OFFSET(Nelson_Reference,49,2)</f>
        <v>Local Bus</v>
      </c>
      <c r="B111" s="4">
        <f ca="1">OFFSET(Nelson_Reference,49,6)</f>
        <v>19.807462209000001</v>
      </c>
      <c r="C111" s="4">
        <f ca="1">$B111*('Updated Population'!C$103/'Updated Population'!$B$103)*('Total Distance Tables Sup #1'!C177/'Total Distance Tables Sup #1'!$B177)</f>
        <v>18.944928497479303</v>
      </c>
      <c r="D111" s="4">
        <f ca="1">$B111*('Updated Population'!D$103/'Updated Population'!$B$103)*('Total Distance Tables Sup #1'!D177/'Total Distance Tables Sup #1'!$B177)</f>
        <v>18.395002235104471</v>
      </c>
      <c r="E111" s="4">
        <f ca="1">$B111*('Updated Population'!E$103/'Updated Population'!$B$103)*('Total Distance Tables Sup #1'!E177/'Total Distance Tables Sup #1'!$B177)</f>
        <v>17.969950834724056</v>
      </c>
      <c r="F111" s="4">
        <f ca="1">$B111*('Updated Population'!F$103/'Updated Population'!$B$103)*('Total Distance Tables Sup #1'!F177/'Total Distance Tables Sup #1'!$B177)</f>
        <v>17.273102281867168</v>
      </c>
      <c r="G111" s="4">
        <f ca="1">$B111*('Updated Population'!G$103/'Updated Population'!$B$103)*('Total Distance Tables Sup #1'!G177/'Total Distance Tables Sup #1'!$B177)</f>
        <v>16.776276660555627</v>
      </c>
      <c r="H111" s="4">
        <f ca="1">$B111*('Updated Population'!H$103/'Updated Population'!$B$103)*('Total Distance Tables Sup #1'!H177/'Total Distance Tables Sup #1'!$B177)</f>
        <v>16.187192984882326</v>
      </c>
      <c r="I111" s="1">
        <f ca="1">$B111*('Updated Population'!I$103/'Updated Population'!$B$103)*('Total Distance Tables Sup #1'!I177/'Total Distance Tables Sup #1'!$B177)</f>
        <v>16.162549826897965</v>
      </c>
      <c r="J111" s="1">
        <f ca="1">$B111*('Updated Population'!J$103/'Updated Population'!$B$103)*('Total Distance Tables Sup #1'!J177/'Total Distance Tables Sup #1'!$B177)</f>
        <v>16.087333806976648</v>
      </c>
      <c r="K111" s="1">
        <f ca="1">$B111*('Updated Population'!K$103/'Updated Population'!$B$103)*('Total Distance Tables Sup #1'!K177/'Total Distance Tables Sup #1'!$B177)</f>
        <v>15.978811170827917</v>
      </c>
    </row>
    <row r="112" spans="1:11" x14ac:dyDescent="0.2">
      <c r="A112" t="str">
        <f ca="1">OFFSET(Wellington_Reference,56,2)</f>
        <v>Local Ferry</v>
      </c>
      <c r="B112" s="4">
        <v>0</v>
      </c>
      <c r="C112" s="4">
        <f ca="1">$B112*('Updated Population'!C$103/'Updated Population'!$B$103)*('Total Distance Tables Sup #1'!C178/'Total Distance Tables Sup #1'!$B178)</f>
        <v>0</v>
      </c>
      <c r="D112" s="4">
        <f ca="1">$B112*('Updated Population'!D$103/'Updated Population'!$B$103)*('Total Distance Tables Sup #1'!D178/'Total Distance Tables Sup #1'!$B178)</f>
        <v>0</v>
      </c>
      <c r="E112" s="4">
        <f ca="1">$B112*('Updated Population'!E$103/'Updated Population'!$B$103)*('Total Distance Tables Sup #1'!E178/'Total Distance Tables Sup #1'!$B178)</f>
        <v>0</v>
      </c>
      <c r="F112" s="4">
        <f ca="1">$B112*('Updated Population'!F$103/'Updated Population'!$B$103)*('Total Distance Tables Sup #1'!F178/'Total Distance Tables Sup #1'!$B178)</f>
        <v>0</v>
      </c>
      <c r="G112" s="4">
        <f ca="1">$B112*('Updated Population'!G$103/'Updated Population'!$B$103)*('Total Distance Tables Sup #1'!G178/'Total Distance Tables Sup #1'!$B178)</f>
        <v>0</v>
      </c>
      <c r="H112" s="4">
        <f ca="1">$B112*('Updated Population'!H$103/'Updated Population'!$B$103)*('Total Distance Tables Sup #1'!H178/'Total Distance Tables Sup #1'!$B178)</f>
        <v>0</v>
      </c>
      <c r="I112" s="1">
        <f ca="1">$B112*('Updated Population'!I$103/'Updated Population'!$B$103)*('Total Distance Tables Sup #1'!I178/'Total Distance Tables Sup #1'!$B178)</f>
        <v>0</v>
      </c>
      <c r="J112" s="1">
        <f ca="1">$B112*('Updated Population'!J$103/'Updated Population'!$B$103)*('Total Distance Tables Sup #1'!J178/'Total Distance Tables Sup #1'!$B178)</f>
        <v>0</v>
      </c>
      <c r="K112" s="1">
        <f ca="1">$B112*('Updated Population'!K$103/'Updated Population'!$B$103)*('Total Distance Tables Sup #1'!K178/'Total Distance Tables Sup #1'!$B178)</f>
        <v>0</v>
      </c>
    </row>
    <row r="113" spans="1:11" x14ac:dyDescent="0.2">
      <c r="A113" t="str">
        <f ca="1">OFFSET(Nelson_Reference,56,2)</f>
        <v>Other Household Travel</v>
      </c>
      <c r="B113" s="4">
        <f ca="1">OFFSET(Nelson_Reference,56,6)</f>
        <v>0</v>
      </c>
      <c r="C113" s="4">
        <f ca="1">$B113*('Updated Population'!C$103/'Updated Population'!$B$103)*('Total Distance Tables Sup #1'!C179/'Total Distance Tables Sup #1'!$B179)</f>
        <v>0</v>
      </c>
      <c r="D113" s="4">
        <f ca="1">$B113*('Updated Population'!D$103/'Updated Population'!$B$103)*('Total Distance Tables Sup #1'!D179/'Total Distance Tables Sup #1'!$B179)</f>
        <v>0</v>
      </c>
      <c r="E113" s="4">
        <f ca="1">$B113*('Updated Population'!E$103/'Updated Population'!$B$103)*('Total Distance Tables Sup #1'!E179/'Total Distance Tables Sup #1'!$B179)</f>
        <v>0</v>
      </c>
      <c r="F113" s="4">
        <f ca="1">$B113*('Updated Population'!F$103/'Updated Population'!$B$103)*('Total Distance Tables Sup #1'!F179/'Total Distance Tables Sup #1'!$B179)</f>
        <v>0</v>
      </c>
      <c r="G113" s="4">
        <f ca="1">$B113*('Updated Population'!G$103/'Updated Population'!$B$103)*('Total Distance Tables Sup #1'!G179/'Total Distance Tables Sup #1'!$B179)</f>
        <v>0</v>
      </c>
      <c r="H113" s="4">
        <f ca="1">$B113*('Updated Population'!H$103/'Updated Population'!$B$103)*('Total Distance Tables Sup #1'!H179/'Total Distance Tables Sup #1'!$B179)</f>
        <v>0</v>
      </c>
      <c r="I113" s="1">
        <f ca="1">$B113*('Updated Population'!I$103/'Updated Population'!$B$103)*('Total Distance Tables Sup #1'!I179/'Total Distance Tables Sup #1'!$B179)</f>
        <v>0</v>
      </c>
      <c r="J113" s="1">
        <f ca="1">$B113*('Updated Population'!J$103/'Updated Population'!$B$103)*('Total Distance Tables Sup #1'!J179/'Total Distance Tables Sup #1'!$B179)</f>
        <v>0</v>
      </c>
      <c r="K113" s="1">
        <f ca="1">$B113*('Updated Population'!K$103/'Updated Population'!$B$103)*('Total Distance Tables Sup #1'!K179/'Total Distance Tables Sup #1'!$B179)</f>
        <v>0</v>
      </c>
    </row>
    <row r="114" spans="1:11" x14ac:dyDescent="0.2">
      <c r="A114" t="str">
        <f ca="1">OFFSET(West_Coast_Reference,0,0)</f>
        <v>12 WEST COAST</v>
      </c>
      <c r="B114" s="4"/>
      <c r="C114" s="4"/>
      <c r="D114" s="4"/>
      <c r="E114" s="4"/>
      <c r="F114" s="4"/>
      <c r="G114" s="4"/>
      <c r="H114" s="4"/>
      <c r="I114" s="1"/>
      <c r="J114" s="1"/>
      <c r="K114" s="1"/>
    </row>
    <row r="115" spans="1:11" x14ac:dyDescent="0.2">
      <c r="A115" t="str">
        <f ca="1">OFFSET(West_Coast_Reference,0,2)</f>
        <v>Pedestrian</v>
      </c>
      <c r="B115" s="4">
        <f ca="1">OFFSET(West_Coast_Reference,0,6)</f>
        <v>4.6474841125999999</v>
      </c>
      <c r="C115" s="4">
        <f ca="1">$B115*('Updated Population'!C$114/'Updated Population'!$B$114)*('Total Distance Tables Sup #1'!C170/'Total Distance Tables Sup #1'!$B170)</f>
        <v>4.5523946228972481</v>
      </c>
      <c r="D115" s="4">
        <f ca="1">$B115*('Updated Population'!D$114/'Updated Population'!$B$114)*('Total Distance Tables Sup #1'!D170/'Total Distance Tables Sup #1'!$B170)</f>
        <v>4.515031252443884</v>
      </c>
      <c r="E115" s="4">
        <f ca="1">$B115*('Updated Population'!E$114/'Updated Population'!$B$114)*('Total Distance Tables Sup #1'!E170/'Total Distance Tables Sup #1'!$B170)</f>
        <v>4.4450636593401862</v>
      </c>
      <c r="F115" s="4">
        <f ca="1">$B115*('Updated Population'!F$114/'Updated Population'!$B$114)*('Total Distance Tables Sup #1'!F170/'Total Distance Tables Sup #1'!$B170)</f>
        <v>4.3310541493990149</v>
      </c>
      <c r="G115" s="4">
        <f ca="1">$B115*('Updated Population'!G$114/'Updated Population'!$B$114)*('Total Distance Tables Sup #1'!G170/'Total Distance Tables Sup #1'!$B170)</f>
        <v>4.2093052673623736</v>
      </c>
      <c r="H115" s="4">
        <f ca="1">$B115*('Updated Population'!H$114/'Updated Population'!$B$114)*('Total Distance Tables Sup #1'!H170/'Total Distance Tables Sup #1'!$B170)</f>
        <v>4.0761449968416787</v>
      </c>
      <c r="I115" s="1">
        <f ca="1">$B115*('Updated Population'!I$114/'Updated Population'!$B$114)*('Total Distance Tables Sup #1'!I170/'Total Distance Tables Sup #1'!$B170)</f>
        <v>3.9713171087810162</v>
      </c>
      <c r="J115" s="1">
        <f ca="1">$B115*('Updated Population'!J$114/'Updated Population'!$B$114)*('Total Distance Tables Sup #1'!J170/'Total Distance Tables Sup #1'!$B170)</f>
        <v>3.8568688394710335</v>
      </c>
      <c r="K115" s="1">
        <f ca="1">$B115*('Updated Population'!K$114/'Updated Population'!$B$114)*('Total Distance Tables Sup #1'!K170/'Total Distance Tables Sup #1'!$B170)</f>
        <v>3.737669030939589</v>
      </c>
    </row>
    <row r="116" spans="1:11" x14ac:dyDescent="0.2">
      <c r="A116" t="str">
        <f ca="1">OFFSET(West_Coast_Reference,7,2)</f>
        <v>Cyclist</v>
      </c>
      <c r="B116" s="4">
        <f ca="1">OFFSET(West_Coast_Reference,7,6)</f>
        <v>1.9571055828999999</v>
      </c>
      <c r="C116" s="4">
        <f ca="1">$B116*('Updated Population'!C$114/'Updated Population'!$B$114)*('Total Distance Tables Sup #1'!C171/'Total Distance Tables Sup #1'!$B171)</f>
        <v>1.9712238284316876</v>
      </c>
      <c r="D116" s="4">
        <f ca="1">$B116*('Updated Population'!D$114/'Updated Population'!$B$114)*('Total Distance Tables Sup #1'!D171/'Total Distance Tables Sup #1'!$B171)</f>
        <v>1.9719222585750127</v>
      </c>
      <c r="E116" s="4">
        <f ca="1">$B116*('Updated Population'!E$114/'Updated Population'!$B$114)*('Total Distance Tables Sup #1'!E171/'Total Distance Tables Sup #1'!$B171)</f>
        <v>1.9298523620829644</v>
      </c>
      <c r="F116" s="4">
        <f ca="1">$B116*('Updated Population'!F$114/'Updated Population'!$B$114)*('Total Distance Tables Sup #1'!F171/'Total Distance Tables Sup #1'!$B171)</f>
        <v>1.9071167607928805</v>
      </c>
      <c r="G116" s="4">
        <f ca="1">$B116*('Updated Population'!G$114/'Updated Population'!$B$114)*('Total Distance Tables Sup #1'!G171/'Total Distance Tables Sup #1'!$B171)</f>
        <v>1.9069393409495832</v>
      </c>
      <c r="H116" s="4">
        <f ca="1">$B116*('Updated Population'!H$114/'Updated Population'!$B$114)*('Total Distance Tables Sup #1'!H171/'Total Distance Tables Sup #1'!$B171)</f>
        <v>1.9026852880420388</v>
      </c>
      <c r="I116" s="1">
        <f ca="1">$B116*('Updated Population'!I$114/'Updated Population'!$B$114)*('Total Distance Tables Sup #1'!I171/'Total Distance Tables Sup #1'!$B171)</f>
        <v>1.8537531522755042</v>
      </c>
      <c r="J116" s="1">
        <f ca="1">$B116*('Updated Population'!J$114/'Updated Population'!$B$114)*('Total Distance Tables Sup #1'!J171/'Total Distance Tables Sup #1'!$B171)</f>
        <v>1.800330362255349</v>
      </c>
      <c r="K116" s="1">
        <f ca="1">$B116*('Updated Population'!K$114/'Updated Population'!$B$114)*('Total Distance Tables Sup #1'!K171/'Total Distance Tables Sup #1'!$B171)</f>
        <v>1.7446896227316229</v>
      </c>
    </row>
    <row r="117" spans="1:11" x14ac:dyDescent="0.2">
      <c r="A117" t="str">
        <f ca="1">OFFSET(West_Coast_Reference,14,2)</f>
        <v>Light Vehicle Driver</v>
      </c>
      <c r="B117" s="4">
        <f ca="1">OFFSET(West_Coast_Reference,14,6)</f>
        <v>226.22434741999999</v>
      </c>
      <c r="C117" s="4">
        <f ca="1">$B117*('Updated Population'!C$114/'Updated Population'!$B$114)*('Total Distance Tables Sup #1'!C172/'Total Distance Tables Sup #1'!$B172)</f>
        <v>229.00711314929848</v>
      </c>
      <c r="D117" s="4">
        <f ca="1">$B117*('Updated Population'!D$114/'Updated Population'!$B$114)*('Total Distance Tables Sup #1'!D172/'Total Distance Tables Sup #1'!$B172)</f>
        <v>231.87302161226856</v>
      </c>
      <c r="E117" s="4">
        <f ca="1">$B117*('Updated Population'!E$114/'Updated Population'!$B$114)*('Total Distance Tables Sup #1'!E172/'Total Distance Tables Sup #1'!$B172)</f>
        <v>230.6340768444349</v>
      </c>
      <c r="F117" s="4">
        <f ca="1">$B117*('Updated Population'!F$114/'Updated Population'!$B$114)*('Total Distance Tables Sup #1'!F172/'Total Distance Tables Sup #1'!$B172)</f>
        <v>228.23445460112276</v>
      </c>
      <c r="G117" s="4">
        <f ca="1">$B117*('Updated Population'!G$114/'Updated Population'!$B$114)*('Total Distance Tables Sup #1'!G172/'Total Distance Tables Sup #1'!$B172)</f>
        <v>223.6167923595585</v>
      </c>
      <c r="H117" s="4">
        <f ca="1">$B117*('Updated Population'!H$114/'Updated Population'!$B$114)*('Total Distance Tables Sup #1'!H172/'Total Distance Tables Sup #1'!$B172)</f>
        <v>218.40753919070519</v>
      </c>
      <c r="I117" s="1">
        <f ca="1">$B117*('Updated Population'!I$114/'Updated Population'!$B$114)*('Total Distance Tables Sup #1'!I172/'Total Distance Tables Sup #1'!$B172)</f>
        <v>212.79066317485501</v>
      </c>
      <c r="J117" s="1">
        <f ca="1">$B117*('Updated Population'!J$114/'Updated Population'!$B$114)*('Total Distance Tables Sup #1'!J172/'Total Distance Tables Sup #1'!$B172)</f>
        <v>206.65830898137159</v>
      </c>
      <c r="K117" s="1">
        <f ca="1">$B117*('Updated Population'!K$114/'Updated Population'!$B$114)*('Total Distance Tables Sup #1'!K172/'Total Distance Tables Sup #1'!$B172)</f>
        <v>200.27135835190964</v>
      </c>
    </row>
    <row r="118" spans="1:11" x14ac:dyDescent="0.2">
      <c r="A118" t="str">
        <f ca="1">OFFSET(West_Coast_Reference,21,2)</f>
        <v>Light Vehicle Passenger</v>
      </c>
      <c r="B118" s="4">
        <f ca="1">OFFSET(West_Coast_Reference,21,6)</f>
        <v>160.37072223999999</v>
      </c>
      <c r="C118" s="4">
        <f ca="1">$B118*('Updated Population'!C$114/'Updated Population'!$B$114)*('Total Distance Tables Sup #1'!C173/'Total Distance Tables Sup #1'!$B173)</f>
        <v>155.48445591235605</v>
      </c>
      <c r="D118" s="4">
        <f ca="1">$B118*('Updated Population'!D$114/'Updated Population'!$B$114)*('Total Distance Tables Sup #1'!D173/'Total Distance Tables Sup #1'!$B173)</f>
        <v>153.54767131964579</v>
      </c>
      <c r="E118" s="4">
        <f ca="1">$B118*('Updated Population'!E$114/'Updated Population'!$B$114)*('Total Distance Tables Sup #1'!E173/'Total Distance Tables Sup #1'!$B173)</f>
        <v>150.44064385214421</v>
      </c>
      <c r="F118" s="4">
        <f ca="1">$B118*('Updated Population'!F$114/'Updated Population'!$B$114)*('Total Distance Tables Sup #1'!F173/'Total Distance Tables Sup #1'!$B173)</f>
        <v>146.38809369124812</v>
      </c>
      <c r="G118" s="4">
        <f ca="1">$B118*('Updated Population'!G$114/'Updated Population'!$B$114)*('Total Distance Tables Sup #1'!G173/'Total Distance Tables Sup #1'!$B173)</f>
        <v>141.68110059570674</v>
      </c>
      <c r="H118" s="4">
        <f ca="1">$B118*('Updated Population'!H$114/'Updated Population'!$B$114)*('Total Distance Tables Sup #1'!H173/'Total Distance Tables Sup #1'!$B173)</f>
        <v>136.56566968867392</v>
      </c>
      <c r="I118" s="1">
        <f ca="1">$B118*('Updated Population'!I$114/'Updated Population'!$B$114)*('Total Distance Tables Sup #1'!I173/'Total Distance Tables Sup #1'!$B173)</f>
        <v>133.05355450480633</v>
      </c>
      <c r="J118" s="1">
        <f ca="1">$B118*('Updated Population'!J$114/'Updated Population'!$B$114)*('Total Distance Tables Sup #1'!J173/'Total Distance Tables Sup #1'!$B173)</f>
        <v>129.21912158960384</v>
      </c>
      <c r="K118" s="1">
        <f ca="1">$B118*('Updated Population'!K$114/'Updated Population'!$B$114)*('Total Distance Tables Sup #1'!K173/'Total Distance Tables Sup #1'!$B173)</f>
        <v>125.22549484387436</v>
      </c>
    </row>
    <row r="119" spans="1:11" x14ac:dyDescent="0.2">
      <c r="A119" t="str">
        <f ca="1">OFFSET(West_Coast_Reference,28,2)</f>
        <v>Taxi/Vehicle Share</v>
      </c>
      <c r="B119" s="4">
        <f ca="1">OFFSET(West_Coast_Reference,28,6)</f>
        <v>1.6916956777000001</v>
      </c>
      <c r="C119" s="4">
        <f ca="1">$B119*('Updated Population'!C$114/'Updated Population'!$B$114)*('Total Distance Tables Sup #1'!C174/'Total Distance Tables Sup #1'!$B174)</f>
        <v>1.7918511658538407</v>
      </c>
      <c r="D119" s="4">
        <f ca="1">$B119*('Updated Population'!D$114/'Updated Population'!$B$114)*('Total Distance Tables Sup #1'!D174/'Total Distance Tables Sup #1'!$B174)</f>
        <v>1.9150282348292202</v>
      </c>
      <c r="E119" s="4">
        <f ca="1">$B119*('Updated Population'!E$114/'Updated Population'!$B$114)*('Total Distance Tables Sup #1'!E174/'Total Distance Tables Sup #1'!$B174)</f>
        <v>2.0181747985832703</v>
      </c>
      <c r="F119" s="4">
        <f ca="1">$B119*('Updated Population'!F$114/'Updated Population'!$B$114)*('Total Distance Tables Sup #1'!F174/'Total Distance Tables Sup #1'!$B174)</f>
        <v>2.0928196575545699</v>
      </c>
      <c r="G119" s="4">
        <f ca="1">$B119*('Updated Population'!G$114/'Updated Population'!$B$114)*('Total Distance Tables Sup #1'!G174/'Total Distance Tables Sup #1'!$B174)</f>
        <v>2.131403016350685</v>
      </c>
      <c r="H119" s="4">
        <f ca="1">$B119*('Updated Population'!H$114/'Updated Population'!$B$114)*('Total Distance Tables Sup #1'!H174/'Total Distance Tables Sup #1'!$B174)</f>
        <v>2.1614342412533509</v>
      </c>
      <c r="I119" s="1">
        <f ca="1">$B119*('Updated Population'!I$114/'Updated Population'!$B$114)*('Total Distance Tables Sup #1'!I174/'Total Distance Tables Sup #1'!$B174)</f>
        <v>2.1058477528266275</v>
      </c>
      <c r="J119" s="1">
        <f ca="1">$B119*('Updated Population'!J$114/'Updated Population'!$B$114)*('Total Distance Tables Sup #1'!J174/'Total Distance Tables Sup #1'!$B174)</f>
        <v>2.0451599195109691</v>
      </c>
      <c r="K119" s="1">
        <f ca="1">$B119*('Updated Population'!K$114/'Updated Population'!$B$114)*('Total Distance Tables Sup #1'!K174/'Total Distance Tables Sup #1'!$B174)</f>
        <v>1.9819525144970804</v>
      </c>
    </row>
    <row r="120" spans="1:11" x14ac:dyDescent="0.2">
      <c r="A120" t="str">
        <f ca="1">OFFSET(West_Coast_Reference,35,2)</f>
        <v>Motorcyclist</v>
      </c>
      <c r="B120" s="4">
        <f ca="1">OFFSET(West_Coast_Reference,35,6)</f>
        <v>0.29466348679999999</v>
      </c>
      <c r="C120" s="4">
        <f ca="1">$B120*('Updated Population'!C$114/'Updated Population'!$B$114)*('Total Distance Tables Sup #1'!C175/'Total Distance Tables Sup #1'!$B175)</f>
        <v>0.29527152580378618</v>
      </c>
      <c r="D120" s="4">
        <f ca="1">$B120*('Updated Population'!D$114/'Updated Population'!$B$114)*('Total Distance Tables Sup #1'!D175/'Total Distance Tables Sup #1'!$B175)</f>
        <v>0.29605604644119621</v>
      </c>
      <c r="E120" s="4">
        <f ca="1">$B120*('Updated Population'!E$114/'Updated Population'!$B$114)*('Total Distance Tables Sup #1'!E175/'Total Distance Tables Sup #1'!$B175)</f>
        <v>0.28743153291291046</v>
      </c>
      <c r="F120" s="4">
        <f ca="1">$B120*('Updated Population'!F$114/'Updated Population'!$B$114)*('Total Distance Tables Sup #1'!F175/'Total Distance Tables Sup #1'!$B175)</f>
        <v>0.27634706300628781</v>
      </c>
      <c r="G120" s="4">
        <f ca="1">$B120*('Updated Population'!G$114/'Updated Population'!$B$114)*('Total Distance Tables Sup #1'!G175/'Total Distance Tables Sup #1'!$B175)</f>
        <v>0.26105664559315894</v>
      </c>
      <c r="H120" s="4">
        <f ca="1">$B120*('Updated Population'!H$114/'Updated Population'!$B$114)*('Total Distance Tables Sup #1'!H175/'Total Distance Tables Sup #1'!$B175)</f>
        <v>0.24556068130858472</v>
      </c>
      <c r="I120" s="1">
        <f ca="1">$B120*('Updated Population'!I$114/'Updated Population'!$B$114)*('Total Distance Tables Sup #1'!I175/'Total Distance Tables Sup #1'!$B175)</f>
        <v>0.23924549683103019</v>
      </c>
      <c r="J120" s="1">
        <f ca="1">$B120*('Updated Population'!J$114/'Updated Population'!$B$114)*('Total Distance Tables Sup #1'!J175/'Total Distance Tables Sup #1'!$B175)</f>
        <v>0.23235074823692381</v>
      </c>
      <c r="K120" s="1">
        <f ca="1">$B120*('Updated Population'!K$114/'Updated Population'!$B$114)*('Total Distance Tables Sup #1'!K175/'Total Distance Tables Sup #1'!$B175)</f>
        <v>0.2251697509422951</v>
      </c>
    </row>
    <row r="121" spans="1:11" x14ac:dyDescent="0.2">
      <c r="A121" t="str">
        <f ca="1">OFFSET(Nelson_Reference,42,2)</f>
        <v>Local Train</v>
      </c>
      <c r="B121" s="4">
        <v>0</v>
      </c>
      <c r="C121" s="4">
        <f ca="1">$B121*('Updated Population'!C$114/'Updated Population'!$B$114)*('Total Distance Tables Sup #1'!C176/'Total Distance Tables Sup #1'!$B176)</f>
        <v>0</v>
      </c>
      <c r="D121" s="4">
        <f ca="1">$B121*('Updated Population'!D$114/'Updated Population'!$B$114)*('Total Distance Tables Sup #1'!D176/'Total Distance Tables Sup #1'!$B176)</f>
        <v>0</v>
      </c>
      <c r="E121" s="4">
        <f ca="1">$B121*('Updated Population'!E$114/'Updated Population'!$B$114)*('Total Distance Tables Sup #1'!E176/'Total Distance Tables Sup #1'!$B176)</f>
        <v>0</v>
      </c>
      <c r="F121" s="4">
        <f ca="1">$B121*('Updated Population'!F$114/'Updated Population'!$B$114)*('Total Distance Tables Sup #1'!F176/'Total Distance Tables Sup #1'!$B176)</f>
        <v>0</v>
      </c>
      <c r="G121" s="4">
        <f ca="1">$B121*('Updated Population'!G$114/'Updated Population'!$B$114)*('Total Distance Tables Sup #1'!G176/'Total Distance Tables Sup #1'!$B176)</f>
        <v>0</v>
      </c>
      <c r="H121" s="4">
        <f ca="1">$B121*('Updated Population'!H$114/'Updated Population'!$B$114)*('Total Distance Tables Sup #1'!H176/'Total Distance Tables Sup #1'!$B176)</f>
        <v>0</v>
      </c>
      <c r="I121" s="1">
        <f ca="1">$B121*('Updated Population'!I$114/'Updated Population'!$B$114)*('Total Distance Tables Sup #1'!I176/'Total Distance Tables Sup #1'!$B176)</f>
        <v>0</v>
      </c>
      <c r="J121" s="1">
        <f ca="1">$B121*('Updated Population'!J$114/'Updated Population'!$B$114)*('Total Distance Tables Sup #1'!J176/'Total Distance Tables Sup #1'!$B176)</f>
        <v>0</v>
      </c>
      <c r="K121" s="1">
        <f ca="1">$B121*('Updated Population'!K$114/'Updated Population'!$B$114)*('Total Distance Tables Sup #1'!K176/'Total Distance Tables Sup #1'!$B176)</f>
        <v>0</v>
      </c>
    </row>
    <row r="122" spans="1:11" x14ac:dyDescent="0.2">
      <c r="A122" t="str">
        <f ca="1">OFFSET(West_Coast_Reference,42,2)</f>
        <v>Local Bus</v>
      </c>
      <c r="B122" s="4">
        <f ca="1">OFFSET(West_Coast_Reference,42,6)</f>
        <v>6.0600083682000001</v>
      </c>
      <c r="C122" s="4">
        <f ca="1">$B122*('Updated Population'!C$114/'Updated Population'!$B$114)*('Total Distance Tables Sup #1'!C177/'Total Distance Tables Sup #1'!$B177)</f>
        <v>5.4441330745204111</v>
      </c>
      <c r="D122" s="4">
        <f ca="1">$B122*('Updated Population'!D$114/'Updated Population'!$B$114)*('Total Distance Tables Sup #1'!D177/'Total Distance Tables Sup #1'!$B177)</f>
        <v>5.1312365325316582</v>
      </c>
      <c r="E122" s="4">
        <f ca="1">$B122*('Updated Population'!E$114/'Updated Population'!$B$114)*('Total Distance Tables Sup #1'!E177/'Total Distance Tables Sup #1'!$B177)</f>
        <v>4.8739357876034211</v>
      </c>
      <c r="F122" s="4">
        <f ca="1">$B122*('Updated Population'!F$114/'Updated Population'!$B$114)*('Total Distance Tables Sup #1'!F177/'Total Distance Tables Sup #1'!$B177)</f>
        <v>4.5572489660418505</v>
      </c>
      <c r="G122" s="4">
        <f ca="1">$B122*('Updated Population'!G$114/'Updated Population'!$B$114)*('Total Distance Tables Sup #1'!G177/'Total Distance Tables Sup #1'!$B177)</f>
        <v>4.3077856450852741</v>
      </c>
      <c r="H122" s="4">
        <f ca="1">$B122*('Updated Population'!H$114/'Updated Population'!$B$114)*('Total Distance Tables Sup #1'!H177/'Total Distance Tables Sup #1'!$B177)</f>
        <v>4.0559924627919246</v>
      </c>
      <c r="I122" s="1">
        <f ca="1">$B122*('Updated Population'!I$114/'Updated Population'!$B$114)*('Total Distance Tables Sup #1'!I177/'Total Distance Tables Sup #1'!$B177)</f>
        <v>3.9516828456919724</v>
      </c>
      <c r="J122" s="1">
        <f ca="1">$B122*('Updated Population'!J$114/'Updated Population'!$B$114)*('Total Distance Tables Sup #1'!J177/'Total Distance Tables Sup #1'!$B177)</f>
        <v>3.8378004106803263</v>
      </c>
      <c r="K122" s="1">
        <f ca="1">$B122*('Updated Population'!K$114/'Updated Population'!$B$114)*('Total Distance Tables Sup #1'!K177/'Total Distance Tables Sup #1'!$B177)</f>
        <v>3.7191899281424403</v>
      </c>
    </row>
    <row r="123" spans="1:11" x14ac:dyDescent="0.2">
      <c r="A123" t="str">
        <f ca="1">OFFSET(Wellington_Reference,56,2)</f>
        <v>Local Ferry</v>
      </c>
      <c r="B123" s="4">
        <v>0</v>
      </c>
      <c r="C123" s="4">
        <f ca="1">$B123*('Updated Population'!C$114/'Updated Population'!$B$114)*('Total Distance Tables Sup #1'!C178/'Total Distance Tables Sup #1'!$B178)</f>
        <v>0</v>
      </c>
      <c r="D123" s="4">
        <f ca="1">$B123*('Updated Population'!D$114/'Updated Population'!$B$114)*('Total Distance Tables Sup #1'!D178/'Total Distance Tables Sup #1'!$B178)</f>
        <v>0</v>
      </c>
      <c r="E123" s="4">
        <f ca="1">$B123*('Updated Population'!E$114/'Updated Population'!$B$114)*('Total Distance Tables Sup #1'!E178/'Total Distance Tables Sup #1'!$B178)</f>
        <v>0</v>
      </c>
      <c r="F123" s="4">
        <f ca="1">$B123*('Updated Population'!F$114/'Updated Population'!$B$114)*('Total Distance Tables Sup #1'!F178/'Total Distance Tables Sup #1'!$B178)</f>
        <v>0</v>
      </c>
      <c r="G123" s="4">
        <f ca="1">$B123*('Updated Population'!G$114/'Updated Population'!$B$114)*('Total Distance Tables Sup #1'!G178/'Total Distance Tables Sup #1'!$B178)</f>
        <v>0</v>
      </c>
      <c r="H123" s="4">
        <f ca="1">$B123*('Updated Population'!H$114/'Updated Population'!$B$114)*('Total Distance Tables Sup #1'!H178/'Total Distance Tables Sup #1'!$B178)</f>
        <v>0</v>
      </c>
      <c r="I123" s="1">
        <f ca="1">$B123*('Updated Population'!I$114/'Updated Population'!$B$114)*('Total Distance Tables Sup #1'!I178/'Total Distance Tables Sup #1'!$B178)</f>
        <v>0</v>
      </c>
      <c r="J123" s="1">
        <f ca="1">$B123*('Updated Population'!J$114/'Updated Population'!$B$114)*('Total Distance Tables Sup #1'!J178/'Total Distance Tables Sup #1'!$B178)</f>
        <v>0</v>
      </c>
      <c r="K123" s="1">
        <f ca="1">$B123*('Updated Population'!K$114/'Updated Population'!$B$114)*('Total Distance Tables Sup #1'!K178/'Total Distance Tables Sup #1'!$B178)</f>
        <v>0</v>
      </c>
    </row>
    <row r="124" spans="1:11" x14ac:dyDescent="0.2">
      <c r="A124" t="str">
        <f ca="1">OFFSET(West_Coast_Reference,49,2)</f>
        <v>Other Household Travel</v>
      </c>
      <c r="B124" s="4">
        <f ca="1">OFFSET(West_Coast_Reference,49,6)</f>
        <v>0</v>
      </c>
      <c r="C124" s="4">
        <f ca="1">$B124*('Updated Population'!C$114/'Updated Population'!$B$114)*('Total Distance Tables Sup #1'!C179/'Total Distance Tables Sup #1'!$B179)</f>
        <v>0</v>
      </c>
      <c r="D124" s="4">
        <f ca="1">$B124*('Updated Population'!D$114/'Updated Population'!$B$114)*('Total Distance Tables Sup #1'!D179/'Total Distance Tables Sup #1'!$B179)</f>
        <v>0</v>
      </c>
      <c r="E124" s="4">
        <f ca="1">$B124*('Updated Population'!E$114/'Updated Population'!$B$114)*('Total Distance Tables Sup #1'!E179/'Total Distance Tables Sup #1'!$B179)</f>
        <v>0</v>
      </c>
      <c r="F124" s="4">
        <f ca="1">$B124*('Updated Population'!F$114/'Updated Population'!$B$114)*('Total Distance Tables Sup #1'!F179/'Total Distance Tables Sup #1'!$B179)</f>
        <v>0</v>
      </c>
      <c r="G124" s="4">
        <f ca="1">$B124*('Updated Population'!G$114/'Updated Population'!$B$114)*('Total Distance Tables Sup #1'!G179/'Total Distance Tables Sup #1'!$B179)</f>
        <v>0</v>
      </c>
      <c r="H124" s="4">
        <f ca="1">$B124*('Updated Population'!H$114/'Updated Population'!$B$114)*('Total Distance Tables Sup #1'!H179/'Total Distance Tables Sup #1'!$B179)</f>
        <v>0</v>
      </c>
      <c r="I124" s="1">
        <f ca="1">$B124*('Updated Population'!I$114/'Updated Population'!$B$114)*('Total Distance Tables Sup #1'!I179/'Total Distance Tables Sup #1'!$B179)</f>
        <v>0</v>
      </c>
      <c r="J124" s="1">
        <f ca="1">$B124*('Updated Population'!J$114/'Updated Population'!$B$114)*('Total Distance Tables Sup #1'!J179/'Total Distance Tables Sup #1'!$B179)</f>
        <v>0</v>
      </c>
      <c r="K124" s="1">
        <f ca="1">$B124*('Updated Population'!K$114/'Updated Population'!$B$114)*('Total Distance Tables Sup #1'!K179/'Total Distance Tables Sup #1'!$B179)</f>
        <v>0</v>
      </c>
    </row>
    <row r="125" spans="1:11" x14ac:dyDescent="0.2">
      <c r="A125" t="str">
        <f ca="1">OFFSET(Canterbury_Reference,0,0)</f>
        <v>13 CANTERBURY</v>
      </c>
      <c r="B125" s="4"/>
      <c r="I125" s="1"/>
      <c r="J125" s="1"/>
      <c r="K125" s="1"/>
    </row>
    <row r="126" spans="1:11" x14ac:dyDescent="0.2">
      <c r="A126" t="str">
        <f ca="1">OFFSET(Canterbury_Reference,0,2)</f>
        <v>Pedestrian</v>
      </c>
      <c r="B126" s="4">
        <f ca="1">OFFSET(Canterbury_Reference,0,6)</f>
        <v>113.37513976</v>
      </c>
      <c r="C126" s="4">
        <f ca="1">$B126*('Updated Population'!C$125/'Updated Population'!$B$125)*('Total Distance Tables Sup #1'!C170/'Total Distance Tables Sup #1'!$B170)</f>
        <v>124.84369046415745</v>
      </c>
      <c r="D126" s="4">
        <f ca="1">$B126*('Updated Population'!D$125/'Updated Population'!$B$125)*('Total Distance Tables Sup #1'!D170/'Total Distance Tables Sup #1'!$B170)</f>
        <v>131.96503701405345</v>
      </c>
      <c r="E126" s="4">
        <f ca="1">$B126*('Updated Population'!E$125/'Updated Population'!$B$125)*('Total Distance Tables Sup #1'!E170/'Total Distance Tables Sup #1'!$B170)</f>
        <v>136.6486170558332</v>
      </c>
      <c r="F126" s="4">
        <f ca="1">$B126*('Updated Population'!F$125/'Updated Population'!$B$125)*('Total Distance Tables Sup #1'!F170/'Total Distance Tables Sup #1'!$B170)</f>
        <v>140.13359018174395</v>
      </c>
      <c r="G126" s="4">
        <f ca="1">$B126*('Updated Population'!G$125/'Updated Population'!$B$125)*('Total Distance Tables Sup #1'!G170/'Total Distance Tables Sup #1'!$B170)</f>
        <v>143.44026441461909</v>
      </c>
      <c r="H126" s="4">
        <f ca="1">$B126*('Updated Population'!H$125/'Updated Population'!$B$125)*('Total Distance Tables Sup #1'!H170/'Total Distance Tables Sup #1'!$B170)</f>
        <v>146.17597824122765</v>
      </c>
      <c r="I126" s="1">
        <f ca="1">$B126*('Updated Population'!I$125/'Updated Population'!$B$125)*('Total Distance Tables Sup #1'!I170/'Total Distance Tables Sup #1'!$B170)</f>
        <v>149.87413223332999</v>
      </c>
      <c r="J126" s="1">
        <f ca="1">$B126*('Updated Population'!J$125/'Updated Population'!$B$125)*('Total Distance Tables Sup #1'!J170/'Total Distance Tables Sup #1'!$B170)</f>
        <v>153.1767021671765</v>
      </c>
      <c r="K126" s="1">
        <f ca="1">$B126*('Updated Population'!K$125/'Updated Population'!$B$125)*('Total Distance Tables Sup #1'!K170/'Total Distance Tables Sup #1'!$B170)</f>
        <v>156.2156058301083</v>
      </c>
    </row>
    <row r="127" spans="1:11" x14ac:dyDescent="0.2">
      <c r="A127" t="str">
        <f ca="1">OFFSET(Canterbury_Reference,7,2)</f>
        <v>Cyclist</v>
      </c>
      <c r="B127" s="4">
        <f ca="1">OFFSET(Canterbury_Reference,7,6)</f>
        <v>97.023488555</v>
      </c>
      <c r="C127" s="4">
        <f ca="1">$B127*('Updated Population'!C$125/'Updated Population'!$B$125)*('Total Distance Tables Sup #1'!C171/'Total Distance Tables Sup #1'!$B171)</f>
        <v>109.85639552523888</v>
      </c>
      <c r="D127" s="4">
        <f ca="1">$B127*('Updated Population'!D$125/'Updated Population'!$B$125)*('Total Distance Tables Sup #1'!D171/'Total Distance Tables Sup #1'!$B171)</f>
        <v>117.12527427151501</v>
      </c>
      <c r="E127" s="4">
        <f ca="1">$B127*('Updated Population'!E$125/'Updated Population'!$B$125)*('Total Distance Tables Sup #1'!E171/'Total Distance Tables Sup #1'!$B171)</f>
        <v>120.56300110694526</v>
      </c>
      <c r="F127" s="4">
        <f ca="1">$B127*('Updated Population'!F$125/'Updated Population'!$B$125)*('Total Distance Tables Sup #1'!F171/'Total Distance Tables Sup #1'!$B171)</f>
        <v>125.39742734263187</v>
      </c>
      <c r="G127" s="4">
        <f ca="1">$B127*('Updated Population'!G$125/'Updated Population'!$B$125)*('Total Distance Tables Sup #1'!G171/'Total Distance Tables Sup #1'!$B171)</f>
        <v>132.05663948450155</v>
      </c>
      <c r="H127" s="4">
        <f ca="1">$B127*('Updated Population'!H$125/'Updated Population'!$B$125)*('Total Distance Tables Sup #1'!H171/'Total Distance Tables Sup #1'!$B171)</f>
        <v>138.66155084746254</v>
      </c>
      <c r="I127" s="1">
        <f ca="1">$B127*('Updated Population'!I$125/'Updated Population'!$B$125)*('Total Distance Tables Sup #1'!I171/'Total Distance Tables Sup #1'!$B171)</f>
        <v>142.1695948775932</v>
      </c>
      <c r="J127" s="1">
        <f ca="1">$B127*('Updated Population'!J$125/'Updated Population'!$B$125)*('Total Distance Tables Sup #1'!J171/'Total Distance Tables Sup #1'!$B171)</f>
        <v>145.30239052787192</v>
      </c>
      <c r="K127" s="1">
        <f ca="1">$B127*('Updated Population'!K$125/'Updated Population'!$B$125)*('Total Distance Tables Sup #1'!K171/'Total Distance Tables Sup #1'!$B171)</f>
        <v>148.18507412505485</v>
      </c>
    </row>
    <row r="128" spans="1:11" x14ac:dyDescent="0.2">
      <c r="A128" t="str">
        <f ca="1">OFFSET(Canterbury_Reference,14,2)</f>
        <v>Light Vehicle Driver</v>
      </c>
      <c r="B128" s="4">
        <f ca="1">OFFSET(Canterbury_Reference,14,6)</f>
        <v>3777.041205</v>
      </c>
      <c r="C128" s="4">
        <f ca="1">$B128*('Updated Population'!C$125/'Updated Population'!$B$125)*('Total Distance Tables Sup #1'!C172/'Total Distance Tables Sup #1'!$B172)</f>
        <v>4298.2149027771075</v>
      </c>
      <c r="D128" s="4">
        <f ca="1">$B128*('Updated Population'!D$125/'Updated Population'!$B$125)*('Total Distance Tables Sup #1'!D172/'Total Distance Tables Sup #1'!$B172)</f>
        <v>4638.321004792334</v>
      </c>
      <c r="E128" s="4">
        <f ca="1">$B128*('Updated Population'!E$125/'Updated Population'!$B$125)*('Total Distance Tables Sup #1'!E172/'Total Distance Tables Sup #1'!$B172)</f>
        <v>4852.4736831072723</v>
      </c>
      <c r="F128" s="4">
        <f ca="1">$B128*('Updated Population'!F$125/'Updated Population'!$B$125)*('Total Distance Tables Sup #1'!F172/'Total Distance Tables Sup #1'!$B172)</f>
        <v>5054.0821742512871</v>
      </c>
      <c r="G128" s="4">
        <f ca="1">$B128*('Updated Population'!G$125/'Updated Population'!$B$125)*('Total Distance Tables Sup #1'!G172/'Total Distance Tables Sup #1'!$B172)</f>
        <v>5215.2787374204954</v>
      </c>
      <c r="H128" s="4">
        <f ca="1">$B128*('Updated Population'!H$125/'Updated Population'!$B$125)*('Total Distance Tables Sup #1'!H172/'Total Distance Tables Sup #1'!$B172)</f>
        <v>5360.5144027527613</v>
      </c>
      <c r="I128" s="1">
        <f ca="1">$B128*('Updated Population'!I$125/'Updated Population'!$B$125)*('Total Distance Tables Sup #1'!I172/'Total Distance Tables Sup #1'!$B172)</f>
        <v>5496.1318138813367</v>
      </c>
      <c r="J128" s="1">
        <f ca="1">$B128*('Updated Population'!J$125/'Updated Population'!$B$125)*('Total Distance Tables Sup #1'!J172/'Total Distance Tables Sup #1'!$B172)</f>
        <v>5617.2425046356493</v>
      </c>
      <c r="K128" s="1">
        <f ca="1">$B128*('Updated Population'!K$125/'Updated Population'!$B$125)*('Total Distance Tables Sup #1'!K172/'Total Distance Tables Sup #1'!$B172)</f>
        <v>5728.6841180233241</v>
      </c>
    </row>
    <row r="129" spans="1:11" x14ac:dyDescent="0.2">
      <c r="A129" t="str">
        <f ca="1">OFFSET(Canterbury_Reference,21,2)</f>
        <v>Light Vehicle Passenger</v>
      </c>
      <c r="B129" s="4">
        <f ca="1">OFFSET(Canterbury_Reference,21,6)</f>
        <v>2033.7115475000001</v>
      </c>
      <c r="C129" s="4">
        <f ca="1">$B129*('Updated Population'!C$125/'Updated Population'!$B$125)*('Total Distance Tables Sup #1'!C173/'Total Distance Tables Sup #1'!$B173)</f>
        <v>2216.5525022896513</v>
      </c>
      <c r="D129" s="4">
        <f ca="1">$B129*('Updated Population'!D$125/'Updated Population'!$B$125)*('Total Distance Tables Sup #1'!D173/'Total Distance Tables Sup #1'!$B173)</f>
        <v>2332.9514736498913</v>
      </c>
      <c r="E129" s="4">
        <f ca="1">$B129*('Updated Population'!E$125/'Updated Population'!$B$125)*('Total Distance Tables Sup #1'!E173/'Total Distance Tables Sup #1'!$B173)</f>
        <v>2404.1235743673988</v>
      </c>
      <c r="F129" s="4">
        <f ca="1">$B129*('Updated Population'!F$125/'Updated Population'!$B$125)*('Total Distance Tables Sup #1'!F173/'Total Distance Tables Sup #1'!$B173)</f>
        <v>2462.1739848083284</v>
      </c>
      <c r="G129" s="4">
        <f ca="1">$B129*('Updated Population'!G$125/'Updated Population'!$B$125)*('Total Distance Tables Sup #1'!G173/'Total Distance Tables Sup #1'!$B173)</f>
        <v>2509.7873386189458</v>
      </c>
      <c r="H129" s="4">
        <f ca="1">$B129*('Updated Population'!H$125/'Updated Population'!$B$125)*('Total Distance Tables Sup #1'!H173/'Total Distance Tables Sup #1'!$B173)</f>
        <v>2545.8468314610145</v>
      </c>
      <c r="I129" s="1">
        <f ca="1">$B129*('Updated Population'!I$125/'Updated Population'!$B$125)*('Total Distance Tables Sup #1'!I173/'Total Distance Tables Sup #1'!$B173)</f>
        <v>2610.2550450151707</v>
      </c>
      <c r="J129" s="1">
        <f ca="1">$B129*('Updated Population'!J$125/'Updated Population'!$B$125)*('Total Distance Tables Sup #1'!J173/'Total Distance Tables Sup #1'!$B173)</f>
        <v>2667.7736421398395</v>
      </c>
      <c r="K129" s="1">
        <f ca="1">$B129*('Updated Population'!K$125/'Updated Population'!$B$125)*('Total Distance Tables Sup #1'!K173/'Total Distance Tables Sup #1'!$B173)</f>
        <v>2720.7001445274127</v>
      </c>
    </row>
    <row r="130" spans="1:11" x14ac:dyDescent="0.2">
      <c r="A130" t="str">
        <f ca="1">OFFSET(Canterbury_Reference,28,2)</f>
        <v>Taxi/Vehicle Share</v>
      </c>
      <c r="B130" s="4">
        <f ca="1">OFFSET(Canterbury_Reference,28,6)</f>
        <v>16.530142167000001</v>
      </c>
      <c r="C130" s="4">
        <f ca="1">$B130*('Updated Population'!C$125/'Updated Population'!$B$125)*('Total Distance Tables Sup #1'!C174/'Total Distance Tables Sup #1'!$B174)</f>
        <v>19.682626781762231</v>
      </c>
      <c r="D130" s="4">
        <f ca="1">$B130*('Updated Population'!D$125/'Updated Population'!$B$125)*('Total Distance Tables Sup #1'!D174/'Total Distance Tables Sup #1'!$B174)</f>
        <v>22.419593402815575</v>
      </c>
      <c r="E130" s="4">
        <f ca="1">$B130*('Updated Population'!E$125/'Updated Population'!$B$125)*('Total Distance Tables Sup #1'!E174/'Total Distance Tables Sup #1'!$B174)</f>
        <v>24.850805022011134</v>
      </c>
      <c r="F130" s="4">
        <f ca="1">$B130*('Updated Population'!F$125/'Updated Population'!$B$125)*('Total Distance Tables Sup #1'!F174/'Total Distance Tables Sup #1'!$B174)</f>
        <v>27.122821663885386</v>
      </c>
      <c r="G130" s="4">
        <f ca="1">$B130*('Updated Population'!G$125/'Updated Population'!$B$125)*('Total Distance Tables Sup #1'!G174/'Total Distance Tables Sup #1'!$B174)</f>
        <v>29.09247419624549</v>
      </c>
      <c r="H130" s="4">
        <f ca="1">$B130*('Updated Population'!H$125/'Updated Population'!$B$125)*('Total Distance Tables Sup #1'!H174/'Total Distance Tables Sup #1'!$B174)</f>
        <v>31.047228588773038</v>
      </c>
      <c r="I130" s="1">
        <f ca="1">$B130*('Updated Population'!I$125/'Updated Population'!$B$125)*('Total Distance Tables Sup #1'!I174/'Total Distance Tables Sup #1'!$B174)</f>
        <v>31.832702602566247</v>
      </c>
      <c r="J130" s="1">
        <f ca="1">$B130*('Updated Population'!J$125/'Updated Population'!$B$125)*('Total Distance Tables Sup #1'!J174/'Total Distance Tables Sup #1'!$B174)</f>
        <v>32.534156048612843</v>
      </c>
      <c r="K130" s="1">
        <f ca="1">$B130*('Updated Population'!K$125/'Updated Population'!$B$125)*('Total Distance Tables Sup #1'!K174/'Total Distance Tables Sup #1'!$B174)</f>
        <v>33.179607769323084</v>
      </c>
    </row>
    <row r="131" spans="1:11" x14ac:dyDescent="0.2">
      <c r="A131" t="str">
        <f ca="1">OFFSET(Canterbury_Reference,35,2)</f>
        <v>Motorcyclist</v>
      </c>
      <c r="B131" s="4">
        <f ca="1">OFFSET(Canterbury_Reference,35,6)</f>
        <v>12.048552727000001</v>
      </c>
      <c r="C131" s="4">
        <f ca="1">$B131*('Updated Population'!C$125/'Updated Population'!$B$125)*('Total Distance Tables Sup #1'!C175/'Total Distance Tables Sup #1'!$B175)</f>
        <v>13.572407862747513</v>
      </c>
      <c r="D131" s="4">
        <f ca="1">$B131*('Updated Population'!D$125/'Updated Population'!$B$125)*('Total Distance Tables Sup #1'!D175/'Total Distance Tables Sup #1'!$B175)</f>
        <v>14.5037630386011</v>
      </c>
      <c r="E131" s="4">
        <f ca="1">$B131*('Updated Population'!E$125/'Updated Population'!$B$125)*('Total Distance Tables Sup #1'!E175/'Total Distance Tables Sup #1'!$B175)</f>
        <v>14.810519903886012</v>
      </c>
      <c r="F131" s="4">
        <f ca="1">$B131*('Updated Population'!F$125/'Updated Population'!$B$125)*('Total Distance Tables Sup #1'!F175/'Total Distance Tables Sup #1'!$B175)</f>
        <v>14.986910911710542</v>
      </c>
      <c r="G131" s="4">
        <f ca="1">$B131*('Updated Population'!G$125/'Updated Population'!$B$125)*('Total Distance Tables Sup #1'!G175/'Total Distance Tables Sup #1'!$B175)</f>
        <v>14.910906431627909</v>
      </c>
      <c r="H131" s="4">
        <f ca="1">$B131*('Updated Population'!H$125/'Updated Population'!$B$125)*('Total Distance Tables Sup #1'!H175/'Total Distance Tables Sup #1'!$B175)</f>
        <v>14.760254696125678</v>
      </c>
      <c r="I131" s="1">
        <f ca="1">$B131*('Updated Population'!I$125/'Updated Population'!$B$125)*('Total Distance Tables Sup #1'!I175/'Total Distance Tables Sup #1'!$B175)</f>
        <v>15.133679218305682</v>
      </c>
      <c r="J131" s="1">
        <f ca="1">$B131*('Updated Population'!J$125/'Updated Population'!$B$125)*('Total Distance Tables Sup #1'!J175/'Total Distance Tables Sup #1'!$B175)</f>
        <v>15.467159274070363</v>
      </c>
      <c r="K131" s="1">
        <f ca="1">$B131*('Updated Population'!K$125/'Updated Population'!$B$125)*('Total Distance Tables Sup #1'!K175/'Total Distance Tables Sup #1'!$B175)</f>
        <v>15.77401538409304</v>
      </c>
    </row>
    <row r="132" spans="1:11" x14ac:dyDescent="0.2">
      <c r="A132" t="str">
        <f ca="1">OFFSET(Canterbury_Reference,42,2)</f>
        <v>Local Train</v>
      </c>
      <c r="B132" s="4">
        <f ca="1">OFFSET(Canterbury_Reference,42,6)</f>
        <v>0</v>
      </c>
      <c r="C132" s="4">
        <f ca="1">OFFSET(Canterbury_Reference,43,6)</f>
        <v>0</v>
      </c>
      <c r="D132" s="4">
        <f ca="1">OFFSET(Canterbury_Reference,44,6)</f>
        <v>0</v>
      </c>
      <c r="E132" s="4">
        <f ca="1">OFFSET(Canterbury_Reference,45,6)</f>
        <v>0</v>
      </c>
      <c r="F132" s="4">
        <f ca="1">OFFSET(Canterbury_Reference,46,6)</f>
        <v>0</v>
      </c>
      <c r="G132" s="4">
        <f ca="1">OFFSET(Canterbury_Reference,47,6)</f>
        <v>0</v>
      </c>
      <c r="H132" s="4">
        <f ca="1">OFFSET(Canterbury_Reference,48,6)</f>
        <v>0</v>
      </c>
      <c r="I132" s="1">
        <f ca="1">OFFSET(Canterbury_Reference,48,6)</f>
        <v>0</v>
      </c>
      <c r="J132" s="1">
        <f ca="1">OFFSET(Canterbury_Reference,48,6)</f>
        <v>0</v>
      </c>
      <c r="K132" s="1">
        <f ca="1">OFFSET(Canterbury_Reference,48,6)</f>
        <v>0</v>
      </c>
    </row>
    <row r="133" spans="1:11" x14ac:dyDescent="0.2">
      <c r="A133" t="str">
        <f ca="1">OFFSET(Canterbury_Reference,49,2)</f>
        <v>Local Bus</v>
      </c>
      <c r="B133" s="4">
        <f ca="1">OFFSET(Canterbury_Reference,49,6)</f>
        <v>174.53993166999999</v>
      </c>
      <c r="C133" s="4">
        <f ca="1">OFFSET(Canterbury_Reference,50,6)</f>
        <v>176.87296327000001</v>
      </c>
      <c r="D133" s="4">
        <f ca="1">OFFSET(Canterbury_Reference,51,6)</f>
        <v>174.21967068999999</v>
      </c>
      <c r="E133" s="4">
        <f ca="1">OFFSET(Canterbury_Reference,52,6)</f>
        <v>176.58415210000001</v>
      </c>
      <c r="F133" s="4">
        <f ca="1">OFFSET(Canterbury_Reference,53,6)</f>
        <v>174.93159184000001</v>
      </c>
      <c r="G133" s="4">
        <f ca="1">OFFSET(Canterbury_Reference,54,6)</f>
        <v>173.02374889999999</v>
      </c>
      <c r="H133" s="4">
        <f ca="1">OFFSET(Canterbury_Reference,55,6)</f>
        <v>170.2658198</v>
      </c>
      <c r="I133" s="1">
        <f ca="1">OFFSET(Canterbury_Reference,55,6)</f>
        <v>170.2658198</v>
      </c>
      <c r="J133" s="1">
        <f ca="1">OFFSET(Canterbury_Reference,55,6)</f>
        <v>170.2658198</v>
      </c>
      <c r="K133" s="1">
        <f ca="1">OFFSET(Canterbury_Reference,55,6)</f>
        <v>170.2658198</v>
      </c>
    </row>
    <row r="134" spans="1:11" x14ac:dyDescent="0.2">
      <c r="A134" t="str">
        <f ca="1">OFFSET(Wellington_Reference,56,2)</f>
        <v>Local Ferry</v>
      </c>
      <c r="B134" s="4">
        <v>0</v>
      </c>
      <c r="C134" s="4">
        <f ca="1">$B134*('Updated Population'!C$125/'Updated Population'!$B$125)*('Total Distance Tables Sup #1'!C178/'Total Distance Tables Sup #1'!$B178)</f>
        <v>0</v>
      </c>
      <c r="D134" s="4">
        <f ca="1">$B134*('Updated Population'!D$125/'Updated Population'!$B$125)*('Total Distance Tables Sup #1'!D178/'Total Distance Tables Sup #1'!$B178)</f>
        <v>0</v>
      </c>
      <c r="E134" s="4">
        <f ca="1">$B134*('Updated Population'!E$125/'Updated Population'!$B$125)*('Total Distance Tables Sup #1'!E178/'Total Distance Tables Sup #1'!$B178)</f>
        <v>0</v>
      </c>
      <c r="F134" s="4">
        <f ca="1">$B134*('Updated Population'!F$125/'Updated Population'!$B$125)*('Total Distance Tables Sup #1'!F178/'Total Distance Tables Sup #1'!$B178)</f>
        <v>0</v>
      </c>
      <c r="G134" s="4">
        <f ca="1">$B134*('Updated Population'!G$125/'Updated Population'!$B$125)*('Total Distance Tables Sup #1'!G178/'Total Distance Tables Sup #1'!$B178)</f>
        <v>0</v>
      </c>
      <c r="H134" s="4">
        <f ca="1">$B134*('Updated Population'!H$125/'Updated Population'!$B$125)*('Total Distance Tables Sup #1'!H178/'Total Distance Tables Sup #1'!$B178)</f>
        <v>0</v>
      </c>
      <c r="I134" s="1">
        <f ca="1">$B134*('Updated Population'!I$125/'Updated Population'!$B$125)*('Total Distance Tables Sup #1'!I178/'Total Distance Tables Sup #1'!$B178)</f>
        <v>0</v>
      </c>
      <c r="J134" s="1">
        <f ca="1">$B134*('Updated Population'!J$125/'Updated Population'!$B$125)*('Total Distance Tables Sup #1'!J178/'Total Distance Tables Sup #1'!$B178)</f>
        <v>0</v>
      </c>
      <c r="K134" s="1">
        <f ca="1">$B134*('Updated Population'!K$125/'Updated Population'!$B$125)*('Total Distance Tables Sup #1'!K178/'Total Distance Tables Sup #1'!$B178)</f>
        <v>0</v>
      </c>
    </row>
    <row r="135" spans="1:11" x14ac:dyDescent="0.2">
      <c r="A135" t="str">
        <f ca="1">OFFSET(Canterbury_Reference,56,2)</f>
        <v>Other Household Travel</v>
      </c>
      <c r="B135" s="4">
        <f ca="1">OFFSET(Canterbury_Reference,56,6)</f>
        <v>0</v>
      </c>
      <c r="C135" s="4">
        <f ca="1">$B135*('Updated Population'!C$125/'Updated Population'!$B$125)*('Total Distance Tables Sup #1'!C179/'Total Distance Tables Sup #1'!$B179)</f>
        <v>0</v>
      </c>
      <c r="D135" s="4">
        <f ca="1">$B135*('Updated Population'!D$125/'Updated Population'!$B$125)*('Total Distance Tables Sup #1'!D179/'Total Distance Tables Sup #1'!$B179)</f>
        <v>0</v>
      </c>
      <c r="E135" s="4">
        <f ca="1">$B135*('Updated Population'!E$125/'Updated Population'!$B$125)*('Total Distance Tables Sup #1'!E179/'Total Distance Tables Sup #1'!$B179)</f>
        <v>0</v>
      </c>
      <c r="F135" s="4">
        <f ca="1">$B135*('Updated Population'!F$125/'Updated Population'!$B$125)*('Total Distance Tables Sup #1'!F179/'Total Distance Tables Sup #1'!$B179)</f>
        <v>0</v>
      </c>
      <c r="G135" s="4">
        <f ca="1">$B135*('Updated Population'!G$125/'Updated Population'!$B$125)*('Total Distance Tables Sup #1'!G179/'Total Distance Tables Sup #1'!$B179)</f>
        <v>0</v>
      </c>
      <c r="H135" s="4">
        <f ca="1">$B135*('Updated Population'!H$125/'Updated Population'!$B$125)*('Total Distance Tables Sup #1'!H179/'Total Distance Tables Sup #1'!$B179)</f>
        <v>0</v>
      </c>
      <c r="I135" s="1">
        <f ca="1">$B135*('Updated Population'!I$125/'Updated Population'!$B$125)*('Total Distance Tables Sup #1'!I179/'Total Distance Tables Sup #1'!$B179)</f>
        <v>0</v>
      </c>
      <c r="J135" s="1">
        <f ca="1">$B135*('Updated Population'!J$125/'Updated Population'!$B$125)*('Total Distance Tables Sup #1'!J179/'Total Distance Tables Sup #1'!$B179)</f>
        <v>0</v>
      </c>
      <c r="K135" s="1">
        <f ca="1">$B135*('Updated Population'!K$125/'Updated Population'!$B$125)*('Total Distance Tables Sup #1'!K179/'Total Distance Tables Sup #1'!$B179)</f>
        <v>0</v>
      </c>
    </row>
    <row r="136" spans="1:11" x14ac:dyDescent="0.2">
      <c r="A136" t="str">
        <f ca="1">OFFSET(Otago_Reference,0,0)</f>
        <v>14 OTAGO</v>
      </c>
      <c r="I136" s="1"/>
      <c r="J136" s="1"/>
      <c r="K136" s="1"/>
    </row>
    <row r="137" spans="1:11" x14ac:dyDescent="0.2">
      <c r="A137" t="str">
        <f ca="1">OFFSET(Otago_Reference,0,2)</f>
        <v>Pedestrian</v>
      </c>
      <c r="B137" s="4">
        <f ca="1">OFFSET(Otago_Reference,0,6)</f>
        <v>45.829100335</v>
      </c>
      <c r="C137" s="4">
        <f ca="1">$B137*('Updated Population'!C$136/'Updated Population'!$B$136)*('Total Distance Tables Sup #1'!C170/'Total Distance Tables Sup #1'!$B170)</f>
        <v>49.293237380316555</v>
      </c>
      <c r="D137" s="4">
        <f ca="1">$B137*('Updated Population'!D$136/'Updated Population'!$B$136)*('Total Distance Tables Sup #1'!D170/'Total Distance Tables Sup #1'!$B170)</f>
        <v>51.097101609427753</v>
      </c>
      <c r="E137" s="4">
        <f ca="1">$B137*('Updated Population'!E$136/'Updated Population'!$B$136)*('Total Distance Tables Sup #1'!E170/'Total Distance Tables Sup #1'!$B170)</f>
        <v>52.053759657683237</v>
      </c>
      <c r="F137" s="4">
        <f ca="1">$B137*('Updated Population'!F$136/'Updated Population'!$B$136)*('Total Distance Tables Sup #1'!F170/'Total Distance Tables Sup #1'!$B170)</f>
        <v>52.539569938071764</v>
      </c>
      <c r="G137" s="4">
        <f ca="1">$B137*('Updated Population'!G$136/'Updated Population'!$B$136)*('Total Distance Tables Sup #1'!G170/'Total Distance Tables Sup #1'!$B170)</f>
        <v>52.963684600227062</v>
      </c>
      <c r="H137" s="4">
        <f ca="1">$B137*('Updated Population'!H$136/'Updated Population'!$B$136)*('Total Distance Tables Sup #1'!H170/'Total Distance Tables Sup #1'!$B170)</f>
        <v>53.16730413430642</v>
      </c>
      <c r="I137" s="1">
        <f ca="1">$B137*('Updated Population'!I$136/'Updated Population'!$B$136)*('Total Distance Tables Sup #1'!I170/'Total Distance Tables Sup #1'!$B170)</f>
        <v>53.697841648352416</v>
      </c>
      <c r="J137" s="1">
        <f ca="1">$B137*('Updated Population'!J$136/'Updated Population'!$B$136)*('Total Distance Tables Sup #1'!J170/'Total Distance Tables Sup #1'!$B170)</f>
        <v>54.0610380800033</v>
      </c>
      <c r="K137" s="1">
        <f ca="1">$B137*('Updated Population'!K$136/'Updated Population'!$B$136)*('Total Distance Tables Sup #1'!K170/'Total Distance Tables Sup #1'!$B170)</f>
        <v>54.309724591477455</v>
      </c>
    </row>
    <row r="138" spans="1:11" x14ac:dyDescent="0.2">
      <c r="A138" t="str">
        <f ca="1">OFFSET(Otago_Reference,7,2)</f>
        <v>Cyclist</v>
      </c>
      <c r="B138" s="4">
        <f ca="1">OFFSET(Otago_Reference,7,6)</f>
        <v>16.325352069000001</v>
      </c>
      <c r="C138" s="4">
        <f ca="1">$B138*('Updated Population'!C$136/'Updated Population'!$B$136)*('Total Distance Tables Sup #1'!C171/'Total Distance Tables Sup #1'!$B171)</f>
        <v>18.055447742357767</v>
      </c>
      <c r="D138" s="4">
        <f ca="1">$B138*('Updated Population'!D$136/'Updated Population'!$B$136)*('Total Distance Tables Sup #1'!D171/'Total Distance Tables Sup #1'!$B171)</f>
        <v>18.877747675193529</v>
      </c>
      <c r="E138" s="4">
        <f ca="1">$B138*('Updated Population'!E$136/'Updated Population'!$B$136)*('Total Distance Tables Sup #1'!E171/'Total Distance Tables Sup #1'!$B171)</f>
        <v>19.117147256715214</v>
      </c>
      <c r="F138" s="4">
        <f ca="1">$B138*('Updated Population'!F$136/'Updated Population'!$B$136)*('Total Distance Tables Sup #1'!F171/'Total Distance Tables Sup #1'!$B171)</f>
        <v>19.570191039465623</v>
      </c>
      <c r="G138" s="4">
        <f ca="1">$B138*('Updated Population'!G$136/'Updated Population'!$B$136)*('Total Distance Tables Sup #1'!G171/'Total Distance Tables Sup #1'!$B171)</f>
        <v>20.296891426173403</v>
      </c>
      <c r="H138" s="4">
        <f ca="1">$B138*('Updated Population'!H$136/'Updated Population'!$B$136)*('Total Distance Tables Sup #1'!H171/'Total Distance Tables Sup #1'!$B171)</f>
        <v>20.993597082653501</v>
      </c>
      <c r="I138" s="1">
        <f ca="1">$B138*('Updated Population'!I$136/'Updated Population'!$B$136)*('Total Distance Tables Sup #1'!I171/'Total Distance Tables Sup #1'!$B171)</f>
        <v>21.203084680124658</v>
      </c>
      <c r="J138" s="1">
        <f ca="1">$B138*('Updated Population'!J$136/'Updated Population'!$B$136)*('Total Distance Tables Sup #1'!J171/'Total Distance Tables Sup #1'!$B171)</f>
        <v>21.346496118264817</v>
      </c>
      <c r="K138" s="1">
        <f ca="1">$B138*('Updated Population'!K$136/'Updated Population'!$B$136)*('Total Distance Tables Sup #1'!K171/'Total Distance Tables Sup #1'!$B171)</f>
        <v>21.444692265441862</v>
      </c>
    </row>
    <row r="139" spans="1:11" x14ac:dyDescent="0.2">
      <c r="A139" t="str">
        <f ca="1">OFFSET(Otago_Reference,14,2)</f>
        <v>Light Vehicle Driver</v>
      </c>
      <c r="B139" s="4">
        <f ca="1">OFFSET(Otago_Reference,14,6)</f>
        <v>1192.1699989000001</v>
      </c>
      <c r="C139" s="4">
        <f ca="1">$B139*('Updated Population'!C$136/'Updated Population'!$B$136)*('Total Distance Tables Sup #1'!C172/'Total Distance Tables Sup #1'!$B172)</f>
        <v>1325.1707421225319</v>
      </c>
      <c r="D139" s="4">
        <f ca="1">$B139*('Updated Population'!D$136/'Updated Population'!$B$136)*('Total Distance Tables Sup #1'!D172/'Total Distance Tables Sup #1'!$B172)</f>
        <v>1402.3652884160558</v>
      </c>
      <c r="E139" s="4">
        <f ca="1">$B139*('Updated Population'!E$136/'Updated Population'!$B$136)*('Total Distance Tables Sup #1'!E172/'Total Distance Tables Sup #1'!$B172)</f>
        <v>1443.3545312139072</v>
      </c>
      <c r="F139" s="4">
        <f ca="1">$B139*('Updated Population'!F$136/'Updated Population'!$B$136)*('Total Distance Tables Sup #1'!F172/'Total Distance Tables Sup #1'!$B172)</f>
        <v>1479.617752175483</v>
      </c>
      <c r="G139" s="4">
        <f ca="1">$B139*('Updated Population'!G$136/'Updated Population'!$B$136)*('Total Distance Tables Sup #1'!G172/'Total Distance Tables Sup #1'!$B172)</f>
        <v>1503.6529403960214</v>
      </c>
      <c r="H139" s="4">
        <f ca="1">$B139*('Updated Population'!H$136/'Updated Population'!$B$136)*('Total Distance Tables Sup #1'!H172/'Total Distance Tables Sup #1'!$B172)</f>
        <v>1522.4325743841675</v>
      </c>
      <c r="I139" s="1">
        <f ca="1">$B139*('Updated Population'!I$136/'Updated Population'!$B$136)*('Total Distance Tables Sup #1'!I172/'Total Distance Tables Sup #1'!$B172)</f>
        <v>1537.6243845853403</v>
      </c>
      <c r="J139" s="1">
        <f ca="1">$B139*('Updated Population'!J$136/'Updated Population'!$B$136)*('Total Distance Tables Sup #1'!J172/'Total Distance Tables Sup #1'!$B172)</f>
        <v>1548.024424373865</v>
      </c>
      <c r="K139" s="1">
        <f ca="1">$B139*('Updated Population'!K$136/'Updated Population'!$B$136)*('Total Distance Tables Sup #1'!K172/'Total Distance Tables Sup #1'!$B172)</f>
        <v>1555.1455009836895</v>
      </c>
    </row>
    <row r="140" spans="1:11" x14ac:dyDescent="0.2">
      <c r="A140" t="str">
        <f ca="1">OFFSET(Otago_Reference,21,2)</f>
        <v>Light Vehicle Passenger</v>
      </c>
      <c r="B140" s="4">
        <f ca="1">OFFSET(Otago_Reference,21,6)</f>
        <v>849.31688999999994</v>
      </c>
      <c r="C140" s="4">
        <f ca="1">$B140*('Updated Population'!C$136/'Updated Population'!$B$136)*('Total Distance Tables Sup #1'!C173/'Total Distance Tables Sup #1'!$B173)</f>
        <v>904.18162329793938</v>
      </c>
      <c r="D140" s="4">
        <f ca="1">$B140*('Updated Population'!D$136/'Updated Population'!$B$136)*('Total Distance Tables Sup #1'!D173/'Total Distance Tables Sup #1'!$B173)</f>
        <v>933.25429572871099</v>
      </c>
      <c r="E140" s="4">
        <f ca="1">$B140*('Updated Population'!E$136/'Updated Population'!$B$136)*('Total Distance Tables Sup #1'!E173/'Total Distance Tables Sup #1'!$B173)</f>
        <v>946.15123090064947</v>
      </c>
      <c r="F140" s="4">
        <f ca="1">$B140*('Updated Population'!F$136/'Updated Population'!$B$136)*('Total Distance Tables Sup #1'!F173/'Total Distance Tables Sup #1'!$B173)</f>
        <v>953.71785441226621</v>
      </c>
      <c r="G140" s="4">
        <f ca="1">$B140*('Updated Population'!G$136/'Updated Population'!$B$136)*('Total Distance Tables Sup #1'!G173/'Total Distance Tables Sup #1'!$B173)</f>
        <v>957.4165875100922</v>
      </c>
      <c r="H140" s="4">
        <f ca="1">$B140*('Updated Population'!H$136/'Updated Population'!$B$136)*('Total Distance Tables Sup #1'!H173/'Total Distance Tables Sup #1'!$B173)</f>
        <v>956.66043269584986</v>
      </c>
      <c r="I140" s="1">
        <f ca="1">$B140*('Updated Population'!I$136/'Updated Population'!$B$136)*('Total Distance Tables Sup #1'!I173/'Total Distance Tables Sup #1'!$B173)</f>
        <v>966.20660502887813</v>
      </c>
      <c r="J140" s="1">
        <f ca="1">$B140*('Updated Population'!J$136/'Updated Population'!$B$136)*('Total Distance Tables Sup #1'!J173/'Total Distance Tables Sup #1'!$B173)</f>
        <v>972.74174276275687</v>
      </c>
      <c r="K140" s="1">
        <f ca="1">$B140*('Updated Population'!K$136/'Updated Population'!$B$136)*('Total Distance Tables Sup #1'!K173/'Total Distance Tables Sup #1'!$B173)</f>
        <v>977.21645799510179</v>
      </c>
    </row>
    <row r="141" spans="1:11" x14ac:dyDescent="0.2">
      <c r="A141" t="str">
        <f ca="1">OFFSET(Otago_Reference,28,2)</f>
        <v>Taxi/Vehicle Share</v>
      </c>
      <c r="B141" s="4">
        <f ca="1">OFFSET(Otago_Reference,28,6)</f>
        <v>7.2892681777000004</v>
      </c>
      <c r="C141" s="4">
        <f ca="1">$B141*('Updated Population'!C$136/'Updated Population'!$B$136)*('Total Distance Tables Sup #1'!C174/'Total Distance Tables Sup #1'!$B174)</f>
        <v>8.4778874093851879</v>
      </c>
      <c r="D141" s="4">
        <f ca="1">$B141*('Updated Population'!D$136/'Updated Population'!$B$136)*('Total Distance Tables Sup #1'!D174/'Total Distance Tables Sup #1'!$B174)</f>
        <v>9.469977734660791</v>
      </c>
      <c r="E141" s="4">
        <f ca="1">$B141*('Updated Population'!E$136/'Updated Population'!$B$136)*('Total Distance Tables Sup #1'!E174/'Total Distance Tables Sup #1'!$B174)</f>
        <v>10.326928429074568</v>
      </c>
      <c r="F141" s="4">
        <f ca="1">$B141*('Updated Population'!F$136/'Updated Population'!$B$136)*('Total Distance Tables Sup #1'!F174/'Total Distance Tables Sup #1'!$B174)</f>
        <v>11.093356678394461</v>
      </c>
      <c r="G141" s="4">
        <f ca="1">$B141*('Updated Population'!G$136/'Updated Population'!$B$136)*('Total Distance Tables Sup #1'!G174/'Total Distance Tables Sup #1'!$B174)</f>
        <v>11.718488949922936</v>
      </c>
      <c r="H141" s="4">
        <f ca="1">$B141*('Updated Population'!H$136/'Updated Population'!$B$136)*('Total Distance Tables Sup #1'!H174/'Total Distance Tables Sup #1'!$B174)</f>
        <v>12.318995983925902</v>
      </c>
      <c r="I141" s="1">
        <f ca="1">$B141*('Updated Population'!I$136/'Updated Population'!$B$136)*('Total Distance Tables Sup #1'!I174/'Total Distance Tables Sup #1'!$B174)</f>
        <v>12.441922839279425</v>
      </c>
      <c r="J141" s="1">
        <f ca="1">$B141*('Updated Population'!J$136/'Updated Population'!$B$136)*('Total Distance Tables Sup #1'!J174/'Total Distance Tables Sup #1'!$B174)</f>
        <v>12.52607635158806</v>
      </c>
      <c r="K141" s="1">
        <f ca="1">$B141*('Updated Population'!K$136/'Updated Population'!$B$136)*('Total Distance Tables Sup #1'!K174/'Total Distance Tables Sup #1'!$B174)</f>
        <v>12.5836976319217</v>
      </c>
    </row>
    <row r="142" spans="1:11" x14ac:dyDescent="0.2">
      <c r="A142" t="str">
        <f ca="1">OFFSET(Otago_Reference,35,2)</f>
        <v>Motorcyclist</v>
      </c>
      <c r="B142" s="4">
        <f ca="1">OFFSET(Otago_Reference,35,6)</f>
        <v>18.503357486999999</v>
      </c>
      <c r="C142" s="4">
        <f ca="1">$B142*('Updated Population'!C$136/'Updated Population'!$B$136)*('Total Distance Tables Sup #1'!C175/'Total Distance Tables Sup #1'!$B175)</f>
        <v>20.359626489231648</v>
      </c>
      <c r="D142" s="4">
        <f ca="1">$B142*('Updated Population'!D$136/'Updated Population'!$B$136)*('Total Distance Tables Sup #1'!D175/'Total Distance Tables Sup #1'!$B175)</f>
        <v>21.335864210587879</v>
      </c>
      <c r="E142" s="4">
        <f ca="1">$B142*('Updated Population'!E$136/'Updated Population'!$B$136)*('Total Distance Tables Sup #1'!E175/'Total Distance Tables Sup #1'!$B175)</f>
        <v>21.434301065155001</v>
      </c>
      <c r="F142" s="4">
        <f ca="1">$B142*('Updated Population'!F$136/'Updated Population'!$B$136)*('Total Distance Tables Sup #1'!F175/'Total Distance Tables Sup #1'!$B175)</f>
        <v>21.347575158128947</v>
      </c>
      <c r="G142" s="4">
        <f ca="1">$B142*('Updated Population'!G$136/'Updated Population'!$B$136)*('Total Distance Tables Sup #1'!G175/'Total Distance Tables Sup #1'!$B175)</f>
        <v>20.917188932099737</v>
      </c>
      <c r="H142" s="4">
        <f ca="1">$B142*('Updated Population'!H$136/'Updated Population'!$B$136)*('Total Distance Tables Sup #1'!H175/'Total Distance Tables Sup #1'!$B175)</f>
        <v>20.396452724231178</v>
      </c>
      <c r="I142" s="1">
        <f ca="1">$B142*('Updated Population'!I$136/'Updated Population'!$B$136)*('Total Distance Tables Sup #1'!I175/'Total Distance Tables Sup #1'!$B175)</f>
        <v>20.599981631702864</v>
      </c>
      <c r="J142" s="1">
        <f ca="1">$B142*('Updated Population'!J$136/'Updated Population'!$B$136)*('Total Distance Tables Sup #1'!J175/'Total Distance Tables Sup #1'!$B175)</f>
        <v>20.739313857934672</v>
      </c>
      <c r="K142" s="1">
        <f ca="1">$B142*('Updated Population'!K$136/'Updated Population'!$B$136)*('Total Distance Tables Sup #1'!K175/'Total Distance Tables Sup #1'!$B175)</f>
        <v>20.834716902287333</v>
      </c>
    </row>
    <row r="143" spans="1:11" x14ac:dyDescent="0.2">
      <c r="A143" t="str">
        <f ca="1">OFFSET(Canterbury_Reference,42,2)</f>
        <v>Local Train</v>
      </c>
      <c r="B143" s="4">
        <v>0</v>
      </c>
      <c r="C143" s="4">
        <f ca="1">$B143*('Updated Population'!C$136/'Updated Population'!$B$136)*('Total Distance Tables Sup #1'!C176/'Total Distance Tables Sup #1'!$B176)</f>
        <v>0</v>
      </c>
      <c r="D143" s="4">
        <f ca="1">$B143*('Updated Population'!D$136/'Updated Population'!$B$136)*('Total Distance Tables Sup #1'!D176/'Total Distance Tables Sup #1'!$B176)</f>
        <v>0</v>
      </c>
      <c r="E143" s="4">
        <f ca="1">$B143*('Updated Population'!E$136/'Updated Population'!$B$136)*('Total Distance Tables Sup #1'!E176/'Total Distance Tables Sup #1'!$B176)</f>
        <v>0</v>
      </c>
      <c r="F143" s="4">
        <f ca="1">$B143*('Updated Population'!F$136/'Updated Population'!$B$136)*('Total Distance Tables Sup #1'!F176/'Total Distance Tables Sup #1'!$B176)</f>
        <v>0</v>
      </c>
      <c r="G143" s="4">
        <f ca="1">$B143*('Updated Population'!G$136/'Updated Population'!$B$136)*('Total Distance Tables Sup #1'!G176/'Total Distance Tables Sup #1'!$B176)</f>
        <v>0</v>
      </c>
      <c r="H143" s="4">
        <f ca="1">$B143*('Updated Population'!H$136/'Updated Population'!$B$136)*('Total Distance Tables Sup #1'!H176/'Total Distance Tables Sup #1'!$B176)</f>
        <v>0</v>
      </c>
      <c r="I143" s="1">
        <f ca="1">$B143*('Updated Population'!I$136/'Updated Population'!$B$136)*('Total Distance Tables Sup #1'!I176/'Total Distance Tables Sup #1'!$B176)</f>
        <v>0</v>
      </c>
      <c r="J143" s="1">
        <f ca="1">$B143*('Updated Population'!J$136/'Updated Population'!$B$136)*('Total Distance Tables Sup #1'!J176/'Total Distance Tables Sup #1'!$B176)</f>
        <v>0</v>
      </c>
      <c r="K143" s="1">
        <f ca="1">$B143*('Updated Population'!K$136/'Updated Population'!$B$136)*('Total Distance Tables Sup #1'!K176/'Total Distance Tables Sup #1'!$B176)</f>
        <v>0</v>
      </c>
    </row>
    <row r="144" spans="1:11" x14ac:dyDescent="0.2">
      <c r="A144" t="str">
        <f ca="1">OFFSET(Otago_Reference,42,2)</f>
        <v>Local Bus</v>
      </c>
      <c r="B144" s="4">
        <f ca="1">OFFSET(Otago_Reference,42,6)</f>
        <v>27.157477096000001</v>
      </c>
      <c r="C144" s="4">
        <f ca="1">$B144*('Updated Population'!C$136/'Updated Population'!$B$136)*('Total Distance Tables Sup #1'!C177/'Total Distance Tables Sup #1'!$B177)</f>
        <v>26.789767999700153</v>
      </c>
      <c r="D144" s="4">
        <f ca="1">$B144*('Updated Population'!D$136/'Updated Population'!$B$136)*('Total Distance Tables Sup #1'!D177/'Total Distance Tables Sup #1'!$B177)</f>
        <v>26.390664171486687</v>
      </c>
      <c r="E144" s="4">
        <f ca="1">$B144*('Updated Population'!E$136/'Updated Population'!$B$136)*('Total Distance Tables Sup #1'!E177/'Total Distance Tables Sup #1'!$B177)</f>
        <v>25.938610086208545</v>
      </c>
      <c r="F144" s="4">
        <f ca="1">$B144*('Updated Population'!F$136/'Updated Population'!$B$136)*('Total Distance Tables Sup #1'!F177/'Total Distance Tables Sup #1'!$B177)</f>
        <v>25.123979778089293</v>
      </c>
      <c r="G144" s="4">
        <f ca="1">$B144*('Updated Population'!G$136/'Updated Population'!$B$136)*('Total Distance Tables Sup #1'!G177/'Total Distance Tables Sup #1'!$B177)</f>
        <v>24.632848323673155</v>
      </c>
      <c r="H144" s="4">
        <f ca="1">$B144*('Updated Population'!H$136/'Updated Population'!$B$136)*('Total Distance Tables Sup #1'!H177/'Total Distance Tables Sup #1'!$B177)</f>
        <v>24.042793971349759</v>
      </c>
      <c r="I144" s="1">
        <f ca="1">$B144*('Updated Population'!I$136/'Updated Population'!$B$136)*('Total Distance Tables Sup #1'!I177/'Total Distance Tables Sup #1'!$B177)</f>
        <v>24.282708414106867</v>
      </c>
      <c r="J144" s="1">
        <f ca="1">$B144*('Updated Population'!J$136/'Updated Population'!$B$136)*('Total Distance Tables Sup #1'!J177/'Total Distance Tables Sup #1'!$B177)</f>
        <v>24.44694952280128</v>
      </c>
      <c r="K144" s="1">
        <f ca="1">$B144*('Updated Population'!K$136/'Updated Population'!$B$136)*('Total Distance Tables Sup #1'!K177/'Total Distance Tables Sup #1'!$B177)</f>
        <v>24.55940808462196</v>
      </c>
    </row>
    <row r="145" spans="1:11" x14ac:dyDescent="0.2">
      <c r="A145" t="str">
        <f ca="1">OFFSET(Wellington_Reference,56,2)</f>
        <v>Local Ferry</v>
      </c>
      <c r="B145" s="4">
        <v>0</v>
      </c>
      <c r="C145" s="4">
        <f ca="1">$B145*('Updated Population'!C$136/'Updated Population'!$B$136)*('Total Distance Tables Sup #1'!C178/'Total Distance Tables Sup #1'!$B178)</f>
        <v>0</v>
      </c>
      <c r="D145" s="4">
        <f ca="1">$B145*('Updated Population'!D$136/'Updated Population'!$B$136)*('Total Distance Tables Sup #1'!D178/'Total Distance Tables Sup #1'!$B178)</f>
        <v>0</v>
      </c>
      <c r="E145" s="4">
        <f ca="1">$B145*('Updated Population'!E$136/'Updated Population'!$B$136)*('Total Distance Tables Sup #1'!E178/'Total Distance Tables Sup #1'!$B178)</f>
        <v>0</v>
      </c>
      <c r="F145" s="4">
        <f ca="1">$B145*('Updated Population'!F$136/'Updated Population'!$B$136)*('Total Distance Tables Sup #1'!F178/'Total Distance Tables Sup #1'!$B178)</f>
        <v>0</v>
      </c>
      <c r="G145" s="4">
        <f ca="1">$B145*('Updated Population'!G$136/'Updated Population'!$B$136)*('Total Distance Tables Sup #1'!G178/'Total Distance Tables Sup #1'!$B178)</f>
        <v>0</v>
      </c>
      <c r="H145" s="4">
        <f ca="1">$B145*('Updated Population'!H$136/'Updated Population'!$B$136)*('Total Distance Tables Sup #1'!H178/'Total Distance Tables Sup #1'!$B178)</f>
        <v>0</v>
      </c>
      <c r="I145" s="1">
        <f ca="1">$B145*('Updated Population'!I$136/'Updated Population'!$B$136)*('Total Distance Tables Sup #1'!I178/'Total Distance Tables Sup #1'!$B178)</f>
        <v>0</v>
      </c>
      <c r="J145" s="1">
        <f ca="1">$B145*('Updated Population'!J$136/'Updated Population'!$B$136)*('Total Distance Tables Sup #1'!J178/'Total Distance Tables Sup #1'!$B178)</f>
        <v>0</v>
      </c>
      <c r="K145" s="1">
        <f ca="1">$B145*('Updated Population'!K$136/'Updated Population'!$B$136)*('Total Distance Tables Sup #1'!K178/'Total Distance Tables Sup #1'!$B178)</f>
        <v>0</v>
      </c>
    </row>
    <row r="146" spans="1:11" x14ac:dyDescent="0.2">
      <c r="A146" t="str">
        <f ca="1">OFFSET(Otago_Reference,49,2)</f>
        <v>Other Household Travel</v>
      </c>
      <c r="B146" s="4">
        <f ca="1">OFFSET(Otago_Reference,49,6)</f>
        <v>0</v>
      </c>
      <c r="C146" s="4">
        <f ca="1">$B146*('Updated Population'!C$136/'Updated Population'!$B$136)*('Total Distance Tables Sup #1'!C179/'Total Distance Tables Sup #1'!$B179)</f>
        <v>0</v>
      </c>
      <c r="D146" s="4">
        <f ca="1">$B146*('Updated Population'!D$136/'Updated Population'!$B$136)*('Total Distance Tables Sup #1'!D179/'Total Distance Tables Sup #1'!$B179)</f>
        <v>0</v>
      </c>
      <c r="E146" s="4">
        <f ca="1">$B146*('Updated Population'!E$136/'Updated Population'!$B$136)*('Total Distance Tables Sup #1'!E179/'Total Distance Tables Sup #1'!$B179)</f>
        <v>0</v>
      </c>
      <c r="F146" s="4">
        <f ca="1">$B146*('Updated Population'!F$136/'Updated Population'!$B$136)*('Total Distance Tables Sup #1'!F179/'Total Distance Tables Sup #1'!$B179)</f>
        <v>0</v>
      </c>
      <c r="G146" s="4">
        <f ca="1">$B146*('Updated Population'!G$136/'Updated Population'!$B$136)*('Total Distance Tables Sup #1'!G179/'Total Distance Tables Sup #1'!$B179)</f>
        <v>0</v>
      </c>
      <c r="H146" s="4">
        <f ca="1">$B146*('Updated Population'!H$136/'Updated Population'!$B$136)*('Total Distance Tables Sup #1'!H179/'Total Distance Tables Sup #1'!$B179)</f>
        <v>0</v>
      </c>
      <c r="I146" s="1">
        <f ca="1">$B146*('Updated Population'!I$136/'Updated Population'!$B$136)*('Total Distance Tables Sup #1'!I179/'Total Distance Tables Sup #1'!$B179)</f>
        <v>0</v>
      </c>
      <c r="J146" s="1">
        <f ca="1">$B146*('Updated Population'!J$136/'Updated Population'!$B$136)*('Total Distance Tables Sup #1'!J179/'Total Distance Tables Sup #1'!$B179)</f>
        <v>0</v>
      </c>
      <c r="K146" s="1">
        <f ca="1">$B146*('Updated Population'!K$136/'Updated Population'!$B$136)*('Total Distance Tables Sup #1'!K179/'Total Distance Tables Sup #1'!$B179)</f>
        <v>0</v>
      </c>
    </row>
    <row r="147" spans="1:11" x14ac:dyDescent="0.2">
      <c r="A147" t="str">
        <f ca="1">OFFSET(Southland_Reference,0,0)</f>
        <v>15 SOUTHLAND</v>
      </c>
      <c r="I147" s="1"/>
      <c r="J147" s="1"/>
      <c r="K147" s="1"/>
    </row>
    <row r="148" spans="1:11" x14ac:dyDescent="0.2">
      <c r="A148" t="str">
        <f ca="1">OFFSET(Southland_Reference,0,2)</f>
        <v>Pedestrian</v>
      </c>
      <c r="B148" s="4">
        <f ca="1">OFFSET(Southland_Reference,0,6)</f>
        <v>8.8466785109000003</v>
      </c>
      <c r="C148" s="4">
        <f ca="1">$B148*('Updated Population'!C$147/'Updated Population'!$B$147)*('Total Distance Tables Sup #1'!C170/'Total Distance Tables Sup #1'!$B170)</f>
        <v>9.0922894136656129</v>
      </c>
      <c r="D148" s="4">
        <f ca="1">$B148*('Updated Population'!D$147/'Updated Population'!$B$147)*('Total Distance Tables Sup #1'!D170/'Total Distance Tables Sup #1'!$B170)</f>
        <v>9.0994787593484698</v>
      </c>
      <c r="E148" s="4">
        <f ca="1">$B148*('Updated Population'!E$147/'Updated Population'!$B$147)*('Total Distance Tables Sup #1'!E170/'Total Distance Tables Sup #1'!$B170)</f>
        <v>9.0589629136115128</v>
      </c>
      <c r="F148" s="4">
        <f ca="1">$B148*('Updated Population'!F$147/'Updated Population'!$B$147)*('Total Distance Tables Sup #1'!F170/'Total Distance Tables Sup #1'!$B170)</f>
        <v>8.9372920419998483</v>
      </c>
      <c r="G148" s="4">
        <f ca="1">$B148*('Updated Population'!G$147/'Updated Population'!$B$147)*('Total Distance Tables Sup #1'!G170/'Total Distance Tables Sup #1'!$B170)</f>
        <v>8.7997659965986923</v>
      </c>
      <c r="H148" s="4">
        <f ca="1">$B148*('Updated Population'!H$147/'Updated Population'!$B$147)*('Total Distance Tables Sup #1'!H170/'Total Distance Tables Sup #1'!$B170)</f>
        <v>8.6291581938014073</v>
      </c>
      <c r="I148" s="1">
        <f ca="1">$B148*('Updated Population'!I$147/'Updated Population'!$B$147)*('Total Distance Tables Sup #1'!I170/'Total Distance Tables Sup #1'!$B170)</f>
        <v>8.5135654442919169</v>
      </c>
      <c r="J148" s="1">
        <f ca="1">$B148*('Updated Population'!J$147/'Updated Population'!$B$147)*('Total Distance Tables Sup #1'!J170/'Total Distance Tables Sup #1'!$B170)</f>
        <v>8.3727840059633785</v>
      </c>
      <c r="K148" s="1">
        <f ca="1">$B148*('Updated Population'!K$147/'Updated Population'!$B$147)*('Total Distance Tables Sup #1'!K170/'Total Distance Tables Sup #1'!$B170)</f>
        <v>8.2166344398699227</v>
      </c>
    </row>
    <row r="149" spans="1:11" x14ac:dyDescent="0.2">
      <c r="A149" t="str">
        <f ca="1">OFFSET(Southland_Reference,7,2)</f>
        <v>Cyclist</v>
      </c>
      <c r="B149" s="4">
        <f ca="1">OFFSET(Southland_Reference,7,6)</f>
        <v>7.5402861329000004</v>
      </c>
      <c r="C149" s="4">
        <f ca="1">$B149*('Updated Population'!C$147/'Updated Population'!$B$147)*('Total Distance Tables Sup #1'!C171/'Total Distance Tables Sup #1'!$B171)</f>
        <v>7.9685725121172331</v>
      </c>
      <c r="D149" s="4">
        <f ca="1">$B149*('Updated Population'!D$147/'Updated Population'!$B$147)*('Total Distance Tables Sup #1'!D171/'Total Distance Tables Sup #1'!$B171)</f>
        <v>8.0437170125874236</v>
      </c>
      <c r="E149" s="4">
        <f ca="1">$B149*('Updated Population'!E$147/'Updated Population'!$B$147)*('Total Distance Tables Sup #1'!E171/'Total Distance Tables Sup #1'!$B171)</f>
        <v>7.9604170579046194</v>
      </c>
      <c r="F149" s="4">
        <f ca="1">$B149*('Updated Population'!F$147/'Updated Population'!$B$147)*('Total Distance Tables Sup #1'!F171/'Total Distance Tables Sup #1'!$B171)</f>
        <v>7.9652765362661455</v>
      </c>
      <c r="G149" s="4">
        <f ca="1">$B149*('Updated Population'!G$147/'Updated Population'!$B$147)*('Total Distance Tables Sup #1'!G171/'Total Distance Tables Sup #1'!$B171)</f>
        <v>8.068797540491607</v>
      </c>
      <c r="H149" s="4">
        <f ca="1">$B149*('Updated Population'!H$147/'Updated Population'!$B$147)*('Total Distance Tables Sup #1'!H171/'Total Distance Tables Sup #1'!$B171)</f>
        <v>8.1526163531178142</v>
      </c>
      <c r="I149" s="1">
        <f ca="1">$B149*('Updated Population'!I$147/'Updated Population'!$B$147)*('Total Distance Tables Sup #1'!I171/'Total Distance Tables Sup #1'!$B171)</f>
        <v>8.0434071673794101</v>
      </c>
      <c r="J149" s="1">
        <f ca="1">$B149*('Updated Population'!J$147/'Updated Population'!$B$147)*('Total Distance Tables Sup #1'!J171/'Total Distance Tables Sup #1'!$B171)</f>
        <v>7.9104003281772801</v>
      </c>
      <c r="K149" s="1">
        <f ca="1">$B149*('Updated Population'!K$147/'Updated Population'!$B$147)*('Total Distance Tables Sup #1'!K171/'Total Distance Tables Sup #1'!$B171)</f>
        <v>7.7628740599741777</v>
      </c>
    </row>
    <row r="150" spans="1:11" x14ac:dyDescent="0.2">
      <c r="A150" t="str">
        <f ca="1">OFFSET(Southland_Reference,14,2)</f>
        <v>Light Vehicle Driver</v>
      </c>
      <c r="B150" s="4">
        <f ca="1">OFFSET(Southland_Reference,14,6)</f>
        <v>657.74873722999996</v>
      </c>
      <c r="C150" s="4">
        <f ca="1">$B150*('Updated Population'!C$147/'Updated Population'!$B$147)*('Total Distance Tables Sup #1'!C172/'Total Distance Tables Sup #1'!$B172)</f>
        <v>698.61944436472004</v>
      </c>
      <c r="D150" s="4">
        <f ca="1">$B150*('Updated Population'!D$147/'Updated Population'!$B$147)*('Total Distance Tables Sup #1'!D172/'Total Distance Tables Sup #1'!$B172)</f>
        <v>713.77991582498873</v>
      </c>
      <c r="E150" s="4">
        <f ca="1">$B150*('Updated Population'!E$147/'Updated Population'!$B$147)*('Total Distance Tables Sup #1'!E172/'Total Distance Tables Sup #1'!$B172)</f>
        <v>717.93036132762575</v>
      </c>
      <c r="F150" s="4">
        <f ca="1">$B150*('Updated Population'!F$147/'Updated Population'!$B$147)*('Total Distance Tables Sup #1'!F172/'Total Distance Tables Sup #1'!$B172)</f>
        <v>719.36928398450709</v>
      </c>
      <c r="G150" s="4">
        <f ca="1">$B150*('Updated Population'!G$147/'Updated Population'!$B$147)*('Total Distance Tables Sup #1'!G172/'Total Distance Tables Sup #1'!$B172)</f>
        <v>714.04151321186555</v>
      </c>
      <c r="H150" s="4">
        <f ca="1">$B150*('Updated Population'!H$147/'Updated Population'!$B$147)*('Total Distance Tables Sup #1'!H172/'Total Distance Tables Sup #1'!$B172)</f>
        <v>706.2277517777203</v>
      </c>
      <c r="I150" s="1">
        <f ca="1">$B150*('Updated Population'!I$147/'Updated Population'!$B$147)*('Total Distance Tables Sup #1'!I172/'Total Distance Tables Sup #1'!$B172)</f>
        <v>696.76740746898656</v>
      </c>
      <c r="J150" s="1">
        <f ca="1">$B150*('Updated Population'!J$147/'Updated Population'!$B$147)*('Total Distance Tables Sup #1'!J172/'Total Distance Tables Sup #1'!$B172)</f>
        <v>685.24556994441593</v>
      </c>
      <c r="K150" s="1">
        <f ca="1">$B150*('Updated Population'!K$147/'Updated Population'!$B$147)*('Total Distance Tables Sup #1'!K172/'Total Distance Tables Sup #1'!$B172)</f>
        <v>672.46597377448336</v>
      </c>
    </row>
    <row r="151" spans="1:11" x14ac:dyDescent="0.2">
      <c r="A151" t="str">
        <f ca="1">OFFSET(Southland_Reference,21,2)</f>
        <v>Light Vehicle Passenger</v>
      </c>
      <c r="B151" s="4">
        <f ca="1">OFFSET(Southland_Reference,21,6)</f>
        <v>380.70733008000002</v>
      </c>
      <c r="C151" s="4">
        <f ca="1">$B151*('Updated Population'!C$147/'Updated Population'!$B$147)*('Total Distance Tables Sup #1'!C173/'Total Distance Tables Sup #1'!$B173)</f>
        <v>387.27917985400603</v>
      </c>
      <c r="D151" s="4">
        <f ca="1">$B151*('Updated Population'!D$147/'Updated Population'!$B$147)*('Total Distance Tables Sup #1'!D173/'Total Distance Tables Sup #1'!$B173)</f>
        <v>385.92490984596839</v>
      </c>
      <c r="E151" s="4">
        <f ca="1">$B151*('Updated Population'!E$147/'Updated Population'!$B$147)*('Total Distance Tables Sup #1'!E173/'Total Distance Tables Sup #1'!$B173)</f>
        <v>382.35740223572486</v>
      </c>
      <c r="F151" s="4">
        <f ca="1">$B151*('Updated Population'!F$147/'Updated Population'!$B$147)*('Total Distance Tables Sup #1'!F173/'Total Distance Tables Sup #1'!$B173)</f>
        <v>376.72280703991737</v>
      </c>
      <c r="G151" s="4">
        <f ca="1">$B151*('Updated Population'!G$147/'Updated Population'!$B$147)*('Total Distance Tables Sup #1'!G173/'Total Distance Tables Sup #1'!$B173)</f>
        <v>369.38260928737003</v>
      </c>
      <c r="H151" s="4">
        <f ca="1">$B151*('Updated Population'!H$147/'Updated Population'!$B$147)*('Total Distance Tables Sup #1'!H173/'Total Distance Tables Sup #1'!$B173)</f>
        <v>360.54889372273084</v>
      </c>
      <c r="I151" s="1">
        <f ca="1">$B151*('Updated Population'!I$147/'Updated Population'!$B$147)*('Total Distance Tables Sup #1'!I173/'Total Distance Tables Sup #1'!$B173)</f>
        <v>355.71912504518434</v>
      </c>
      <c r="J151" s="1">
        <f ca="1">$B151*('Updated Population'!J$147/'Updated Population'!$B$147)*('Total Distance Tables Sup #1'!J173/'Total Distance Tables Sup #1'!$B173)</f>
        <v>349.83690679097379</v>
      </c>
      <c r="K151" s="1">
        <f ca="1">$B151*('Updated Population'!K$147/'Updated Population'!$B$147)*('Total Distance Tables Sup #1'!K173/'Total Distance Tables Sup #1'!$B173)</f>
        <v>343.31256779453247</v>
      </c>
    </row>
    <row r="152" spans="1:11" x14ac:dyDescent="0.2">
      <c r="A152" t="str">
        <f ca="1">OFFSET(Southland_Reference,28,2)</f>
        <v>Taxi/Vehicle Share</v>
      </c>
      <c r="B152" s="4">
        <f ca="1">OFFSET(Southland_Reference,28,6)</f>
        <v>1.2430116738999999</v>
      </c>
      <c r="C152" s="4">
        <f ca="1">$B152*('Updated Population'!C$147/'Updated Population'!$B$147)*('Total Distance Tables Sup #1'!C174/'Total Distance Tables Sup #1'!$B174)</f>
        <v>1.381420572406171</v>
      </c>
      <c r="D152" s="4">
        <f ca="1">$B152*('Updated Population'!D$147/'Updated Population'!$B$147)*('Total Distance Tables Sup #1'!D174/'Total Distance Tables Sup #1'!$B174)</f>
        <v>1.4897780546481587</v>
      </c>
      <c r="E152" s="4">
        <f ca="1">$B152*('Updated Population'!E$147/'Updated Population'!$B$147)*('Total Distance Tables Sup #1'!E174/'Total Distance Tables Sup #1'!$B174)</f>
        <v>1.5876322478322626</v>
      </c>
      <c r="F152" s="4">
        <f ca="1">$B152*('Updated Population'!F$147/'Updated Population'!$B$147)*('Total Distance Tables Sup #1'!F174/'Total Distance Tables Sup #1'!$B174)</f>
        <v>1.6669968460259386</v>
      </c>
      <c r="G152" s="4">
        <f ca="1">$B152*('Updated Population'!G$147/'Updated Population'!$B$147)*('Total Distance Tables Sup #1'!G174/'Total Distance Tables Sup #1'!$B174)</f>
        <v>1.7199543214003237</v>
      </c>
      <c r="H152" s="4">
        <f ca="1">$B152*('Updated Population'!H$147/'Updated Population'!$B$147)*('Total Distance Tables Sup #1'!H174/'Total Distance Tables Sup #1'!$B174)</f>
        <v>1.7662471330073892</v>
      </c>
      <c r="I152" s="1">
        <f ca="1">$B152*('Updated Population'!I$147/'Updated Population'!$B$147)*('Total Distance Tables Sup #1'!I174/'Total Distance Tables Sup #1'!$B174)</f>
        <v>1.7425871933200816</v>
      </c>
      <c r="J152" s="1">
        <f ca="1">$B152*('Updated Population'!J$147/'Updated Population'!$B$147)*('Total Distance Tables Sup #1'!J174/'Total Distance Tables Sup #1'!$B174)</f>
        <v>1.7137715422167037</v>
      </c>
      <c r="K152" s="1">
        <f ca="1">$B152*('Updated Population'!K$147/'Updated Population'!$B$147)*('Total Distance Tables Sup #1'!K174/'Total Distance Tables Sup #1'!$B174)</f>
        <v>1.6818102874524754</v>
      </c>
    </row>
    <row r="153" spans="1:11" x14ac:dyDescent="0.2">
      <c r="A153" t="str">
        <f ca="1">OFFSET(Southland_Reference,35,2)</f>
        <v>Motorcyclist</v>
      </c>
      <c r="B153" s="4">
        <f ca="1">OFFSET(Southland_Reference,35,6)</f>
        <v>18.926640866</v>
      </c>
      <c r="C153" s="4">
        <f ca="1">$B153*('Updated Population'!C$147/'Updated Population'!$B$147)*('Total Distance Tables Sup #1'!C175/'Total Distance Tables Sup #1'!$B175)</f>
        <v>19.899391852554977</v>
      </c>
      <c r="D153" s="4">
        <f ca="1">$B153*('Updated Population'!D$147/'Updated Population'!$B$147)*('Total Distance Tables Sup #1'!D175/'Total Distance Tables Sup #1'!$B175)</f>
        <v>20.133281990839315</v>
      </c>
      <c r="E153" s="4">
        <f ca="1">$B153*('Updated Population'!E$147/'Updated Population'!$B$147)*('Total Distance Tables Sup #1'!E175/'Total Distance Tables Sup #1'!$B175)</f>
        <v>19.766045652471764</v>
      </c>
      <c r="F153" s="4">
        <f ca="1">$B153*('Updated Population'!F$147/'Updated Population'!$B$147)*('Total Distance Tables Sup #1'!F175/'Total Distance Tables Sup #1'!$B175)</f>
        <v>19.24208264512281</v>
      </c>
      <c r="G153" s="4">
        <f ca="1">$B153*('Updated Population'!G$147/'Updated Population'!$B$147)*('Total Distance Tables Sup #1'!G175/'Total Distance Tables Sup #1'!$B175)</f>
        <v>18.415365392544377</v>
      </c>
      <c r="H153" s="4">
        <f ca="1">$B153*('Updated Population'!H$147/'Updated Population'!$B$147)*('Total Distance Tables Sup #1'!H175/'Total Distance Tables Sup #1'!$B175)</f>
        <v>17.541330143219636</v>
      </c>
      <c r="I153" s="1">
        <f ca="1">$B153*('Updated Population'!I$147/'Updated Population'!$B$147)*('Total Distance Tables Sup #1'!I175/'Total Distance Tables Sup #1'!$B175)</f>
        <v>17.306353505201226</v>
      </c>
      <c r="J153" s="1">
        <f ca="1">$B153*('Updated Population'!J$147/'Updated Population'!$B$147)*('Total Distance Tables Sup #1'!J175/'Total Distance Tables Sup #1'!$B175)</f>
        <v>17.020173366618057</v>
      </c>
      <c r="K153" s="1">
        <f ca="1">$B153*('Updated Population'!K$147/'Updated Population'!$B$147)*('Total Distance Tables Sup #1'!K175/'Total Distance Tables Sup #1'!$B175)</f>
        <v>16.702752938222929</v>
      </c>
    </row>
    <row r="154" spans="1:11" x14ac:dyDescent="0.2">
      <c r="A154" t="str">
        <f ca="1">OFFSET(Canterbury_Reference,42,2)</f>
        <v>Local Train</v>
      </c>
      <c r="B154" s="4">
        <v>0</v>
      </c>
      <c r="C154" s="4">
        <f ca="1">$B154*('Updated Population'!C$147/'Updated Population'!$B$147)*('Total Distance Tables Sup #1'!C176/'Total Distance Tables Sup #1'!$B176)</f>
        <v>0</v>
      </c>
      <c r="D154" s="4">
        <f ca="1">$B154*('Updated Population'!D$147/'Updated Population'!$B$147)*('Total Distance Tables Sup #1'!D176/'Total Distance Tables Sup #1'!$B176)</f>
        <v>0</v>
      </c>
      <c r="E154" s="4">
        <f ca="1">$B154*('Updated Population'!E$147/'Updated Population'!$B$147)*('Total Distance Tables Sup #1'!E176/'Total Distance Tables Sup #1'!$B176)</f>
        <v>0</v>
      </c>
      <c r="F154" s="4">
        <f ca="1">$B154*('Updated Population'!F$147/'Updated Population'!$B$147)*('Total Distance Tables Sup #1'!F176/'Total Distance Tables Sup #1'!$B176)</f>
        <v>0</v>
      </c>
      <c r="G154" s="4">
        <f ca="1">$B154*('Updated Population'!G$147/'Updated Population'!$B$147)*('Total Distance Tables Sup #1'!G176/'Total Distance Tables Sup #1'!$B176)</f>
        <v>0</v>
      </c>
      <c r="H154" s="4">
        <f ca="1">$B154*('Updated Population'!H$147/'Updated Population'!$B$147)*('Total Distance Tables Sup #1'!H176/'Total Distance Tables Sup #1'!$B176)</f>
        <v>0</v>
      </c>
      <c r="I154" s="1">
        <f ca="1">$B154*('Updated Population'!I$147/'Updated Population'!$B$147)*('Total Distance Tables Sup #1'!I176/'Total Distance Tables Sup #1'!$B176)</f>
        <v>0</v>
      </c>
      <c r="J154" s="1">
        <f ca="1">$B154*('Updated Population'!J$147/'Updated Population'!$B$147)*('Total Distance Tables Sup #1'!J176/'Total Distance Tables Sup #1'!$B176)</f>
        <v>0</v>
      </c>
      <c r="K154" s="1">
        <f ca="1">$B154*('Updated Population'!K$147/'Updated Population'!$B$147)*('Total Distance Tables Sup #1'!K176/'Total Distance Tables Sup #1'!$B176)</f>
        <v>0</v>
      </c>
    </row>
    <row r="155" spans="1:11" x14ac:dyDescent="0.2">
      <c r="A155" t="str">
        <f ca="1">OFFSET(Southland_Reference,42,2)</f>
        <v>Local Bus</v>
      </c>
      <c r="B155" s="4">
        <f ca="1">OFFSET(Southland_Reference,42,6)</f>
        <v>30.182609224</v>
      </c>
      <c r="C155" s="4">
        <f ca="1">$B155*('Updated Population'!C$147/'Updated Population'!$B$147)*('Total Distance Tables Sup #1'!C177/'Total Distance Tables Sup #1'!$B177)</f>
        <v>28.450067914738185</v>
      </c>
      <c r="D155" s="4">
        <f ca="1">$B155*('Updated Population'!D$147/'Updated Population'!$B$147)*('Total Distance Tables Sup #1'!D177/'Total Distance Tables Sup #1'!$B177)</f>
        <v>27.058207006731891</v>
      </c>
      <c r="E155" s="4">
        <f ca="1">$B155*('Updated Population'!E$147/'Updated Population'!$B$147)*('Total Distance Tables Sup #1'!E177/'Total Distance Tables Sup #1'!$B177)</f>
        <v>25.989715500842422</v>
      </c>
      <c r="F155" s="4">
        <f ca="1">$B155*('Updated Population'!F$147/'Updated Population'!$B$147)*('Total Distance Tables Sup #1'!F177/'Total Distance Tables Sup #1'!$B177)</f>
        <v>24.605733538555054</v>
      </c>
      <c r="G155" s="4">
        <f ca="1">$B155*('Updated Population'!G$147/'Updated Population'!$B$147)*('Total Distance Tables Sup #1'!G177/'Total Distance Tables Sup #1'!$B177)</f>
        <v>23.563294491709208</v>
      </c>
      <c r="H155" s="4">
        <f ca="1">$B155*('Updated Population'!H$147/'Updated Population'!$B$147)*('Total Distance Tables Sup #1'!H177/'Total Distance Tables Sup #1'!$B177)</f>
        <v>22.46659059372093</v>
      </c>
      <c r="I155" s="1">
        <f ca="1">$B155*('Updated Population'!I$147/'Updated Population'!$B$147)*('Total Distance Tables Sup #1'!I177/'Total Distance Tables Sup #1'!$B177)</f>
        <v>22.165637137948416</v>
      </c>
      <c r="J155" s="1">
        <f ca="1">$B155*('Updated Population'!J$147/'Updated Population'!$B$147)*('Total Distance Tables Sup #1'!J177/'Total Distance Tables Sup #1'!$B177)</f>
        <v>21.799103245871382</v>
      </c>
      <c r="K155" s="1">
        <f ca="1">$B155*('Updated Population'!K$147/'Updated Population'!$B$147)*('Total Distance Tables Sup #1'!K177/'Total Distance Tables Sup #1'!$B177)</f>
        <v>21.39255740512775</v>
      </c>
    </row>
    <row r="156" spans="1:11" x14ac:dyDescent="0.2">
      <c r="A156" t="str">
        <f ca="1">OFFSET(Wellington_Reference,56,2)</f>
        <v>Local Ferry</v>
      </c>
      <c r="B156" s="4">
        <v>0</v>
      </c>
      <c r="C156" s="4">
        <f ca="1">$B156*('Updated Population'!C$147/'Updated Population'!$B$147)*('Total Distance Tables Sup #1'!C178/'Total Distance Tables Sup #1'!$B178)</f>
        <v>0</v>
      </c>
      <c r="D156" s="4">
        <f ca="1">$B156*('Updated Population'!D$147/'Updated Population'!$B$147)*('Total Distance Tables Sup #1'!D178/'Total Distance Tables Sup #1'!$B178)</f>
        <v>0</v>
      </c>
      <c r="E156" s="4">
        <f ca="1">$B156*('Updated Population'!E$147/'Updated Population'!$B$147)*('Total Distance Tables Sup #1'!E178/'Total Distance Tables Sup #1'!$B178)</f>
        <v>0</v>
      </c>
      <c r="F156" s="4">
        <f ca="1">$B156*('Updated Population'!F$147/'Updated Population'!$B$147)*('Total Distance Tables Sup #1'!F178/'Total Distance Tables Sup #1'!$B178)</f>
        <v>0</v>
      </c>
      <c r="G156" s="4">
        <f ca="1">$B156*('Updated Population'!G$147/'Updated Population'!$B$147)*('Total Distance Tables Sup #1'!G178/'Total Distance Tables Sup #1'!$B178)</f>
        <v>0</v>
      </c>
      <c r="H156" s="4">
        <f ca="1">$B156*('Updated Population'!H$147/'Updated Population'!$B$147)*('Total Distance Tables Sup #1'!H178/'Total Distance Tables Sup #1'!$B178)</f>
        <v>0</v>
      </c>
      <c r="I156" s="1">
        <f ca="1">$B156*('Updated Population'!I$147/'Updated Population'!$B$147)*('Total Distance Tables Sup #1'!I178/'Total Distance Tables Sup #1'!$B178)</f>
        <v>0</v>
      </c>
      <c r="J156" s="1">
        <f ca="1">$B156*('Updated Population'!J$147/'Updated Population'!$B$147)*('Total Distance Tables Sup #1'!J178/'Total Distance Tables Sup #1'!$B178)</f>
        <v>0</v>
      </c>
      <c r="K156" s="1">
        <f ca="1">$B156*('Updated Population'!K$147/'Updated Population'!$B$147)*('Total Distance Tables Sup #1'!K178/'Total Distance Tables Sup #1'!$B178)</f>
        <v>0</v>
      </c>
    </row>
    <row r="157" spans="1:11" x14ac:dyDescent="0.2">
      <c r="A157" t="str">
        <f ca="1">OFFSET(Southland_Reference,49,2)</f>
        <v>Other Household Travel</v>
      </c>
      <c r="B157" s="4">
        <f ca="1">OFFSET(Southland_Reference,49,6)</f>
        <v>0</v>
      </c>
      <c r="C157" s="4">
        <f ca="1">$B157*('Updated Population'!C$147/'Updated Population'!$B$147)*('Total Distance Tables Sup #1'!C179/'Total Distance Tables Sup #1'!$B179)</f>
        <v>0</v>
      </c>
      <c r="D157" s="4">
        <f ca="1">$B157*('Updated Population'!D$147/'Updated Population'!$B$147)*('Total Distance Tables Sup #1'!D179/'Total Distance Tables Sup #1'!$B179)</f>
        <v>0</v>
      </c>
      <c r="E157" s="4">
        <f ca="1">$B157*('Updated Population'!E$147/'Updated Population'!$B$147)*('Total Distance Tables Sup #1'!E179/'Total Distance Tables Sup #1'!$B179)</f>
        <v>0</v>
      </c>
      <c r="F157" s="4">
        <f ca="1">$B157*('Updated Population'!F$147/'Updated Population'!$B$147)*('Total Distance Tables Sup #1'!F179/'Total Distance Tables Sup #1'!$B179)</f>
        <v>0</v>
      </c>
      <c r="G157" s="4">
        <f ca="1">$B157*('Updated Population'!G$147/'Updated Population'!$B$147)*('Total Distance Tables Sup #1'!G179/'Total Distance Tables Sup #1'!$B179)</f>
        <v>0</v>
      </c>
      <c r="H157" s="4">
        <f ca="1">$B157*('Updated Population'!H$147/'Updated Population'!$B$147)*('Total Distance Tables Sup #1'!H179/'Total Distance Tables Sup #1'!$B179)</f>
        <v>0</v>
      </c>
      <c r="I157" s="1">
        <f ca="1">$B157*('Updated Population'!I$147/'Updated Population'!$B$147)*('Total Distance Tables Sup #1'!I179/'Total Distance Tables Sup #1'!$B179)</f>
        <v>0</v>
      </c>
      <c r="J157" s="1">
        <f ca="1">$B157*('Updated Population'!J$147/'Updated Population'!$B$147)*('Total Distance Tables Sup #1'!J179/'Total Distance Tables Sup #1'!$B179)</f>
        <v>0</v>
      </c>
      <c r="K157" s="1">
        <f ca="1">$B157*('Updated Population'!K$147/'Updated Population'!$B$147)*('Total Distance Tables Sup #1'!K179/'Total Distance Tables Sup #1'!$B179)</f>
        <v>0</v>
      </c>
    </row>
    <row r="158" spans="1:11" x14ac:dyDescent="0.2">
      <c r="A158" t="s">
        <v>19</v>
      </c>
      <c r="I158" s="1"/>
      <c r="J158" s="1"/>
      <c r="K158" s="1"/>
    </row>
    <row r="159" spans="1:11" x14ac:dyDescent="0.2">
      <c r="A159" t="str">
        <f t="shared" ref="A159:A165" ca="1" si="0">A5</f>
        <v>Pedestrian</v>
      </c>
      <c r="B159" s="4">
        <f t="shared" ref="B159:H164" ca="1" si="1">B5+B16+B27+B38+B49+B60+B71+B82+B93+B104+B115+B126+B137+B148</f>
        <v>807.42091028530001</v>
      </c>
      <c r="C159" s="4">
        <f t="shared" ca="1" si="1"/>
        <v>881.07243791759549</v>
      </c>
      <c r="D159" s="4">
        <f t="shared" ca="1" si="1"/>
        <v>928.1399242483468</v>
      </c>
      <c r="E159" s="4">
        <f t="shared" ca="1" si="1"/>
        <v>961.955304956031</v>
      </c>
      <c r="F159" s="4">
        <f t="shared" ca="1" si="1"/>
        <v>986.46048727188895</v>
      </c>
      <c r="G159" s="4">
        <f t="shared" ca="1" si="1"/>
        <v>1008.9195705766967</v>
      </c>
      <c r="H159" s="4">
        <f t="shared" ca="1" si="1"/>
        <v>1027.1420079491313</v>
      </c>
      <c r="I159" s="1">
        <f t="shared" ref="I159:K159" ca="1" si="2">I5+I16+I27+I38+I49+I60+I71+I82+I93+I104+I115+I126+I137+I148</f>
        <v>1052.412334702464</v>
      </c>
      <c r="J159" s="1">
        <f t="shared" ca="1" si="2"/>
        <v>1075.2054154043574</v>
      </c>
      <c r="K159" s="1">
        <f t="shared" ca="1" si="2"/>
        <v>1096.4687495531084</v>
      </c>
    </row>
    <row r="160" spans="1:11" x14ac:dyDescent="0.2">
      <c r="A160" t="str">
        <f t="shared" ca="1" si="0"/>
        <v>Cyclist</v>
      </c>
      <c r="B160" s="4">
        <f t="shared" ca="1" si="1"/>
        <v>312.57850166600002</v>
      </c>
      <c r="C160" s="4">
        <f t="shared" ca="1" si="1"/>
        <v>348.13523580444081</v>
      </c>
      <c r="D160" s="4">
        <f t="shared" ca="1" si="1"/>
        <v>367.43686726990978</v>
      </c>
      <c r="E160" s="4">
        <f t="shared" ca="1" si="1"/>
        <v>376.3582147203627</v>
      </c>
      <c r="F160" s="4">
        <f t="shared" ca="1" si="1"/>
        <v>389.36992242071665</v>
      </c>
      <c r="G160" s="4">
        <f t="shared" ca="1" si="1"/>
        <v>407.73857303025585</v>
      </c>
      <c r="H160" s="4">
        <f t="shared" ca="1" si="1"/>
        <v>425.72705938968761</v>
      </c>
      <c r="I160" s="1">
        <f t="shared" ref="I160:K160" ca="1" si="3">I6+I17+I28+I39+I50+I61+I72+I83+I94+I105+I116+I127+I138+I149</f>
        <v>434.16125569903977</v>
      </c>
      <c r="J160" s="1">
        <f t="shared" ca="1" si="3"/>
        <v>441.46998088451471</v>
      </c>
      <c r="K160" s="1">
        <f t="shared" ca="1" si="3"/>
        <v>448.05500386829743</v>
      </c>
    </row>
    <row r="161" spans="1:20" x14ac:dyDescent="0.2">
      <c r="A161" t="str">
        <f t="shared" ca="1" si="0"/>
        <v>Light Vehicle Driver</v>
      </c>
      <c r="B161" s="4">
        <f t="shared" ca="1" si="1"/>
        <v>30373.708042980001</v>
      </c>
      <c r="C161" s="4">
        <f t="shared" ca="1" si="1"/>
        <v>34143.786151061904</v>
      </c>
      <c r="D161" s="4">
        <f t="shared" ca="1" si="1"/>
        <v>36611.114868716722</v>
      </c>
      <c r="E161" s="4">
        <f t="shared" ca="1" si="1"/>
        <v>38254.272175988146</v>
      </c>
      <c r="F161" s="4">
        <f t="shared" ca="1" si="1"/>
        <v>39758.133897154155</v>
      </c>
      <c r="G161" s="4">
        <f t="shared" ca="1" si="1"/>
        <v>40909.09022140145</v>
      </c>
      <c r="H161" s="4">
        <f t="shared" ca="1" si="1"/>
        <v>41925.008395489538</v>
      </c>
      <c r="I161" s="1">
        <f t="shared" ref="I161:K161" ca="1" si="4">I7+I18+I29+I40+I51+I62+I73+I84+I95+I106+I117+I128+I139+I150</f>
        <v>42873.259629257096</v>
      </c>
      <c r="J161" s="1">
        <f t="shared" ca="1" si="4"/>
        <v>43717.22903223498</v>
      </c>
      <c r="K161" s="1">
        <f t="shared" ca="1" si="4"/>
        <v>44495.995787805914</v>
      </c>
    </row>
    <row r="162" spans="1:20" x14ac:dyDescent="0.2">
      <c r="A162" t="str">
        <f t="shared" ca="1" si="0"/>
        <v>Light Vehicle Passenger</v>
      </c>
      <c r="B162" s="4">
        <f t="shared" ca="1" si="1"/>
        <v>17104.323927279998</v>
      </c>
      <c r="C162" s="4">
        <f t="shared" ca="1" si="1"/>
        <v>18377.429658116169</v>
      </c>
      <c r="D162" s="4">
        <f t="shared" ca="1" si="1"/>
        <v>19189.323030117743</v>
      </c>
      <c r="E162" s="4">
        <f t="shared" ca="1" si="1"/>
        <v>19725.581298932386</v>
      </c>
      <c r="F162" s="4">
        <f t="shared" ca="1" si="1"/>
        <v>20134.397898684208</v>
      </c>
      <c r="G162" s="4">
        <f t="shared" ca="1" si="1"/>
        <v>20441.865690723458</v>
      </c>
      <c r="H162" s="4">
        <f t="shared" ca="1" si="1"/>
        <v>20652.073529418787</v>
      </c>
      <c r="I162" s="1">
        <f t="shared" ref="I162:K162" ca="1" si="5">I8+I19+I30+I41+I52+I63+I74+I85+I96+I107+I118+I129+I140+I151</f>
        <v>21095.925073293336</v>
      </c>
      <c r="J162" s="1">
        <f t="shared" ca="1" si="5"/>
        <v>21487.440942579116</v>
      </c>
      <c r="K162" s="1">
        <f t="shared" ca="1" si="5"/>
        <v>21845.987933249497</v>
      </c>
    </row>
    <row r="163" spans="1:20" x14ac:dyDescent="0.2">
      <c r="A163" t="str">
        <f t="shared" ca="1" si="0"/>
        <v>Taxi/Vehicle Share</v>
      </c>
      <c r="B163" s="4">
        <f t="shared" ca="1" si="1"/>
        <v>102.6492410403</v>
      </c>
      <c r="C163" s="4">
        <f t="shared" ca="1" si="1"/>
        <v>121.22859761955785</v>
      </c>
      <c r="D163" s="4">
        <f t="shared" ca="1" si="1"/>
        <v>137.77354277412826</v>
      </c>
      <c r="E163" s="4">
        <f t="shared" ca="1" si="1"/>
        <v>152.9688074425207</v>
      </c>
      <c r="F163" s="4">
        <f t="shared" ca="1" si="1"/>
        <v>167.08864692373851</v>
      </c>
      <c r="G163" s="4">
        <f t="shared" ca="1" si="1"/>
        <v>179.23275363127811</v>
      </c>
      <c r="H163" s="4">
        <f t="shared" ca="1" si="1"/>
        <v>191.24816433396546</v>
      </c>
      <c r="I163" s="1">
        <f t="shared" ref="I163:K163" ca="1" si="6">I9+I20+I31+I42+I53+I64+I75+I86+I97+I108+I119+I130+I141+I152</f>
        <v>196.12399637680863</v>
      </c>
      <c r="J163" s="1">
        <f t="shared" ca="1" si="6"/>
        <v>200.55016162076481</v>
      </c>
      <c r="K163" s="1">
        <f t="shared" ca="1" si="6"/>
        <v>204.70232972170828</v>
      </c>
    </row>
    <row r="164" spans="1:20" x14ac:dyDescent="0.2">
      <c r="A164" t="str">
        <f t="shared" ca="1" si="0"/>
        <v>Motorcyclist</v>
      </c>
      <c r="B164" s="4">
        <f t="shared" ca="1" si="1"/>
        <v>249.6655534436</v>
      </c>
      <c r="C164" s="4">
        <f t="shared" ca="1" si="1"/>
        <v>275.0612944174992</v>
      </c>
      <c r="D164" s="4">
        <f t="shared" ca="1" si="1"/>
        <v>289.64172803462128</v>
      </c>
      <c r="E164" s="4">
        <f t="shared" ca="1" si="1"/>
        <v>293.49722537729303</v>
      </c>
      <c r="F164" s="4">
        <f t="shared" ca="1" si="1"/>
        <v>294.50705407367855</v>
      </c>
      <c r="G164" s="4">
        <f t="shared" ca="1" si="1"/>
        <v>290.39182376890517</v>
      </c>
      <c r="H164" s="4">
        <f t="shared" ca="1" si="1"/>
        <v>284.86397411249703</v>
      </c>
      <c r="I164" s="1">
        <f t="shared" ref="I164:K164" ca="1" si="7">I10+I21+I32+I43+I54+I65+I76+I87+I98+I109+I120+I131+I142+I153</f>
        <v>289.51788373203931</v>
      </c>
      <c r="J164" s="1">
        <f t="shared" ca="1" si="7"/>
        <v>293.39503464929123</v>
      </c>
      <c r="K164" s="1">
        <f t="shared" ca="1" si="7"/>
        <v>296.7701260067397</v>
      </c>
    </row>
    <row r="165" spans="1:20" x14ac:dyDescent="0.2">
      <c r="A165" t="str">
        <f t="shared" ca="1" si="0"/>
        <v>Local Train</v>
      </c>
      <c r="B165" s="4">
        <f t="shared" ref="B165:H165" ca="1" si="8">B22+B99</f>
        <v>377.40696634</v>
      </c>
      <c r="C165" s="4">
        <f t="shared" ca="1" si="8"/>
        <v>412.70256953000001</v>
      </c>
      <c r="D165" s="4">
        <f t="shared" ca="1" si="8"/>
        <v>438.06784270000003</v>
      </c>
      <c r="E165" s="4">
        <f t="shared" ca="1" si="8"/>
        <v>461.53117811000004</v>
      </c>
      <c r="F165" s="4">
        <f t="shared" ca="1" si="8"/>
        <v>478.55891507000001</v>
      </c>
      <c r="G165" s="4">
        <f t="shared" ca="1" si="8"/>
        <v>493.68423777999999</v>
      </c>
      <c r="H165" s="4">
        <f t="shared" ca="1" si="8"/>
        <v>506.19513123999997</v>
      </c>
      <c r="I165" s="1">
        <f t="shared" ref="I165:K165" ca="1" si="9">I22+I99</f>
        <v>516.62409473268337</v>
      </c>
      <c r="J165" s="1">
        <f t="shared" ca="1" si="9"/>
        <v>525.74746220048519</v>
      </c>
      <c r="K165" s="1">
        <f t="shared" ca="1" si="9"/>
        <v>534.0437146873885</v>
      </c>
    </row>
    <row r="166" spans="1:20" x14ac:dyDescent="0.2">
      <c r="A166" t="s">
        <v>16</v>
      </c>
      <c r="B166" s="4">
        <f t="shared" ref="B166:H166" ca="1" si="10">B12+B34+B45+B56+B67+B78+B89+B111+B122+B144+B155</f>
        <v>333.23856347439994</v>
      </c>
      <c r="C166" s="4">
        <f t="shared" ca="1" si="10"/>
        <v>323.2052498498299</v>
      </c>
      <c r="D166" s="4">
        <f t="shared" ca="1" si="10"/>
        <v>315.29775970025088</v>
      </c>
      <c r="E166" s="4">
        <f t="shared" ca="1" si="10"/>
        <v>308.9918466796791</v>
      </c>
      <c r="F166" s="4">
        <f t="shared" ca="1" si="10"/>
        <v>298.0552039836511</v>
      </c>
      <c r="G166" s="4">
        <f t="shared" ca="1" si="10"/>
        <v>290.72941886610357</v>
      </c>
      <c r="H166" s="4">
        <f t="shared" ca="1" si="10"/>
        <v>282.27585876502349</v>
      </c>
      <c r="I166" s="1">
        <f t="shared" ref="I166:K166" ca="1" si="11">I12+I34+I45+I56+I67+I78+I89+I111+I122+I144+I155</f>
        <v>283.63813231112243</v>
      </c>
      <c r="J166" s="1">
        <f t="shared" ca="1" si="11"/>
        <v>284.14164379923733</v>
      </c>
      <c r="K166" s="1">
        <f t="shared" ca="1" si="11"/>
        <v>284.07606699479612</v>
      </c>
    </row>
    <row r="167" spans="1:20" x14ac:dyDescent="0.2">
      <c r="A167" t="str">
        <f ca="1">A13</f>
        <v>Local Ferry</v>
      </c>
      <c r="B167" s="4">
        <f t="shared" ref="B167:H168" ca="1" si="12">B13+B24+B35+B46+B57+B68+B79+B90+B101+B112+B123+B134+B145+B156</f>
        <v>0</v>
      </c>
      <c r="C167" s="4">
        <f t="shared" ca="1" si="12"/>
        <v>0</v>
      </c>
      <c r="D167" s="4">
        <f t="shared" ca="1" si="12"/>
        <v>0</v>
      </c>
      <c r="E167" s="4">
        <f t="shared" ca="1" si="12"/>
        <v>0</v>
      </c>
      <c r="F167" s="4">
        <f t="shared" ca="1" si="12"/>
        <v>0</v>
      </c>
      <c r="G167" s="4">
        <f t="shared" ca="1" si="12"/>
        <v>0</v>
      </c>
      <c r="H167" s="4">
        <f t="shared" ca="1" si="12"/>
        <v>0</v>
      </c>
      <c r="I167" s="1">
        <f t="shared" ref="I167:K167" ca="1" si="13">I13+I24+I35+I46+I57+I68+I79+I90+I101+I112+I123+I134+I145+I156</f>
        <v>0</v>
      </c>
      <c r="J167" s="1">
        <f t="shared" ca="1" si="13"/>
        <v>0</v>
      </c>
      <c r="K167" s="1">
        <f t="shared" ca="1" si="13"/>
        <v>0</v>
      </c>
    </row>
    <row r="168" spans="1:20" x14ac:dyDescent="0.2">
      <c r="A168" t="str">
        <f ca="1">A14</f>
        <v>Other Household Travel</v>
      </c>
      <c r="B168" s="4">
        <f t="shared" ca="1" si="12"/>
        <v>1.8241938706</v>
      </c>
      <c r="C168" s="4">
        <f t="shared" ca="1" si="12"/>
        <v>1.9518945726787162</v>
      </c>
      <c r="D168" s="4">
        <f t="shared" ca="1" si="12"/>
        <v>1.9723988180203154</v>
      </c>
      <c r="E168" s="4">
        <f t="shared" ca="1" si="12"/>
        <v>1.9903862938194317</v>
      </c>
      <c r="F168" s="4">
        <f t="shared" ca="1" si="12"/>
        <v>1.9080564271374407</v>
      </c>
      <c r="G168" s="4">
        <f t="shared" ca="1" si="12"/>
        <v>1.7348821120054125</v>
      </c>
      <c r="H168" s="4">
        <f t="shared" ca="1" si="12"/>
        <v>1.5593955645326949</v>
      </c>
      <c r="I168" s="1">
        <f t="shared" ref="I168:K168" ca="1" si="14">I14+I25+I36+I47+I58+I69+I80+I91+I102+I113+I124+I135+I146+I157</f>
        <v>1.6264111761469573</v>
      </c>
      <c r="J168" s="1">
        <f t="shared" ca="1" si="14"/>
        <v>1.6909071720528965</v>
      </c>
      <c r="K168" s="1">
        <f t="shared" ca="1" si="14"/>
        <v>1.7541828116192766</v>
      </c>
    </row>
    <row r="169" spans="1:20" x14ac:dyDescent="0.2">
      <c r="A169" s="59" t="s">
        <v>112</v>
      </c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 t="s">
        <v>113</v>
      </c>
      <c r="N169" s="59"/>
      <c r="O169" s="59"/>
      <c r="P169" s="59"/>
      <c r="Q169" s="59"/>
      <c r="R169" s="59"/>
      <c r="S169" s="59"/>
      <c r="T169" s="59"/>
    </row>
    <row r="170" spans="1:20" x14ac:dyDescent="0.2">
      <c r="A170" s="59" t="str">
        <f t="shared" ref="A170:A179" ca="1" si="15">A16</f>
        <v>Pedestrian</v>
      </c>
      <c r="B170" s="60">
        <f ca="1">B181*1000000/'Original Population'!B$158</f>
        <v>181.78604788483881</v>
      </c>
      <c r="C170" s="60">
        <f ca="1">(C181*1000000/'Original Population'!C$158)</f>
        <v>180.80611508590306</v>
      </c>
      <c r="D170" s="60">
        <f ca="1">(D181*1000000/'Original Population'!D$158)</f>
        <v>179.32216511719653</v>
      </c>
      <c r="E170" s="60">
        <f ca="1">(E181*1000000/'Original Population'!E$158)</f>
        <v>177.63643011219796</v>
      </c>
      <c r="F170" s="60">
        <f ca="1">(F181*1000000/'Original Population'!F$158)</f>
        <v>175.25059638179812</v>
      </c>
      <c r="G170" s="60">
        <f ca="1">(G181*1000000/'Original Population'!G$158)</f>
        <v>173.58918306205217</v>
      </c>
      <c r="H170" s="60">
        <f ca="1">(H181*1000000/'Original Population'!H$158)</f>
        <v>171.9431077013904</v>
      </c>
      <c r="I170" s="60">
        <f ca="1">H170</f>
        <v>171.9431077013904</v>
      </c>
      <c r="J170" s="60">
        <f t="shared" ref="J170:K170" ca="1" si="16">I170</f>
        <v>171.9431077013904</v>
      </c>
      <c r="K170" s="60">
        <f t="shared" ca="1" si="16"/>
        <v>171.9431077013904</v>
      </c>
      <c r="L170" s="60"/>
      <c r="M170" s="60">
        <f ca="1">B159*'Total Distance Tables Sup #2'!B159*1000000/'Updated Population'!B$158</f>
        <v>181.78604788483881</v>
      </c>
      <c r="N170" s="60">
        <f ca="1">C159*'Total Distance Tables Sup #2'!C159*1000000/'Updated Population'!C$158</f>
        <v>180.80611508590309</v>
      </c>
      <c r="O170" s="60">
        <f ca="1">D159*'Total Distance Tables Sup #2'!D159*1000000/'Updated Population'!D$158</f>
        <v>179.32216511719653</v>
      </c>
      <c r="P170" s="60">
        <f ca="1">E159*'Total Distance Tables Sup #2'!E159*1000000/'Updated Population'!E$158</f>
        <v>177.63643011219796</v>
      </c>
      <c r="Q170" s="60">
        <f ca="1">F159*'Total Distance Tables Sup #2'!F159*1000000/'Updated Population'!F$158</f>
        <v>175.25059638179812</v>
      </c>
      <c r="R170" s="60">
        <f ca="1">G159*'Total Distance Tables Sup #2'!G159*1000000/'Updated Population'!G$158</f>
        <v>173.58918306205217</v>
      </c>
      <c r="S170" s="60">
        <f ca="1">H159*'Total Distance Tables Sup #2'!H159*1000000/'Updated Population'!H$158</f>
        <v>171.9431077013904</v>
      </c>
      <c r="T170" s="59"/>
    </row>
    <row r="171" spans="1:20" x14ac:dyDescent="0.2">
      <c r="A171" s="59" t="str">
        <f t="shared" ca="1" si="15"/>
        <v>Cyclist</v>
      </c>
      <c r="B171" s="60">
        <f ca="1">B182*1000000/'Original Population'!B$158</f>
        <v>70.375203004773056</v>
      </c>
      <c r="C171" s="60">
        <f ca="1">(C182*1000000/'Original Population'!C$158)</f>
        <v>71.97338424491862</v>
      </c>
      <c r="D171" s="60">
        <f ca="1">(D182*1000000/'Original Population'!D$158)</f>
        <v>71.998885347507127</v>
      </c>
      <c r="E171" s="60">
        <f ca="1">(E182*1000000/'Original Population'!E$158)</f>
        <v>70.899130350703544</v>
      </c>
      <c r="F171" s="60">
        <f ca="1">(F182*1000000/'Original Population'!F$158)</f>
        <v>70.942411096835841</v>
      </c>
      <c r="G171" s="60">
        <f ca="1">(G182*1000000/'Original Population'!G$158)</f>
        <v>72.295603205470485</v>
      </c>
      <c r="H171" s="60">
        <f ca="1">(H182*1000000/'Original Population'!H$158)</f>
        <v>73.784455777559046</v>
      </c>
      <c r="I171" s="60">
        <f t="shared" ref="I171:K179" ca="1" si="17">H171</f>
        <v>73.784455777559046</v>
      </c>
      <c r="J171" s="60">
        <f t="shared" ca="1" si="17"/>
        <v>73.784455777559046</v>
      </c>
      <c r="K171" s="60">
        <f t="shared" ca="1" si="17"/>
        <v>73.784455777559046</v>
      </c>
      <c r="L171" s="60"/>
      <c r="M171" s="60">
        <f ca="1">B160*'Total Distance Tables Sup #2'!B160*1000000/'Updated Population'!B$158</f>
        <v>70.375203004773056</v>
      </c>
      <c r="N171" s="60">
        <f ca="1">C160*'Total Distance Tables Sup #2'!C160*1000000/'Updated Population'!C$158</f>
        <v>71.97338424491862</v>
      </c>
      <c r="O171" s="60">
        <f ca="1">D160*'Total Distance Tables Sup #2'!D160*1000000/'Updated Population'!D$158</f>
        <v>71.998885347507127</v>
      </c>
      <c r="P171" s="60">
        <f ca="1">E160*'Total Distance Tables Sup #2'!E160*1000000/'Updated Population'!E$158</f>
        <v>70.89913035070353</v>
      </c>
      <c r="Q171" s="60">
        <f ca="1">F160*'Total Distance Tables Sup #2'!F160*1000000/'Updated Population'!F$158</f>
        <v>70.942411096835841</v>
      </c>
      <c r="R171" s="60">
        <f ca="1">G160*'Total Distance Tables Sup #2'!G160*1000000/'Updated Population'!G$158</f>
        <v>72.295603205470499</v>
      </c>
      <c r="S171" s="60">
        <f ca="1">H160*'Total Distance Tables Sup #2'!H160*1000000/'Updated Population'!H$158</f>
        <v>73.784455777559032</v>
      </c>
      <c r="T171" s="59"/>
    </row>
    <row r="172" spans="1:20" x14ac:dyDescent="0.2">
      <c r="A172" s="59" t="str">
        <f t="shared" ca="1" si="15"/>
        <v>Light Vehicle Driver</v>
      </c>
      <c r="B172" s="60">
        <f ca="1">B183*1000000/'Original Population'!B$158</f>
        <v>6838.460924662284</v>
      </c>
      <c r="C172" s="60">
        <f ca="1">C183*1000000/'Original Population'!C$158</f>
        <v>7029.0814631714484</v>
      </c>
      <c r="D172" s="60">
        <f ca="1">D183*1000000/'Original Population'!D$158</f>
        <v>7117.046870774644</v>
      </c>
      <c r="E172" s="60">
        <f ca="1">E183*1000000/'Original Population'!E$158</f>
        <v>7122.8519754235813</v>
      </c>
      <c r="F172" s="60">
        <f ca="1">F183*1000000/'Original Population'!F$158</f>
        <v>7137.1280579535014</v>
      </c>
      <c r="G172" s="60">
        <f ca="1">G183*1000000/'Original Population'!G$158</f>
        <v>7126.7748942549006</v>
      </c>
      <c r="H172" s="60">
        <f ca="1">H183*1000000/'Original Population'!H$158</f>
        <v>7119.98640922714</v>
      </c>
      <c r="I172" s="60">
        <f t="shared" ca="1" si="17"/>
        <v>7119.98640922714</v>
      </c>
      <c r="J172" s="60">
        <f t="shared" ca="1" si="17"/>
        <v>7119.98640922714</v>
      </c>
      <c r="K172" s="60">
        <f t="shared" ca="1" si="17"/>
        <v>7119.98640922714</v>
      </c>
      <c r="L172" s="60"/>
      <c r="M172" s="60">
        <f ca="1">B161*'Total Distance Tables Sup #2'!B161*1000000/'Updated Population'!B$158</f>
        <v>6838.460924662284</v>
      </c>
      <c r="N172" s="60">
        <f ca="1">C161*'Total Distance Tables Sup #2'!C161*1000000/'Updated Population'!C$158</f>
        <v>7029.0814631714475</v>
      </c>
      <c r="O172" s="60">
        <f ca="1">D161*'Total Distance Tables Sup #2'!D161*1000000/'Updated Population'!D$158</f>
        <v>7117.046870774644</v>
      </c>
      <c r="P172" s="60">
        <f ca="1">E161*'Total Distance Tables Sup #2'!E161*1000000/'Updated Population'!E$158</f>
        <v>7122.8519754235804</v>
      </c>
      <c r="Q172" s="60">
        <f ca="1">F161*'Total Distance Tables Sup #2'!F161*1000000/'Updated Population'!F$158</f>
        <v>7137.1280579535014</v>
      </c>
      <c r="R172" s="60">
        <f ca="1">G161*'Total Distance Tables Sup #2'!G161*1000000/'Updated Population'!G$158</f>
        <v>7126.7748942549006</v>
      </c>
      <c r="S172" s="60">
        <f ca="1">H161*'Total Distance Tables Sup #2'!H161*1000000/'Updated Population'!H$158</f>
        <v>7119.98640922714</v>
      </c>
      <c r="T172" s="59"/>
    </row>
    <row r="173" spans="1:20" x14ac:dyDescent="0.2">
      <c r="A173" s="59" t="str">
        <f t="shared" ca="1" si="15"/>
        <v>Light Vehicle Passenger</v>
      </c>
      <c r="B173" s="60">
        <f ca="1">B184*1000000/'Original Population'!B$158</f>
        <v>3850.9374836275215</v>
      </c>
      <c r="C173" s="60">
        <f ca="1">C184*1000000/'Original Population'!C$158</f>
        <v>3791.045007184618</v>
      </c>
      <c r="D173" s="60">
        <f ca="1">D184*1000000/'Original Population'!D$158</f>
        <v>3743.8220387077868</v>
      </c>
      <c r="E173" s="60">
        <f ca="1">E184*1000000/'Original Population'!E$158</f>
        <v>3690.7785185172247</v>
      </c>
      <c r="F173" s="60">
        <f ca="1">F184*1000000/'Original Population'!F$158</f>
        <v>3636.3895024091862</v>
      </c>
      <c r="G173" s="60">
        <f ca="1">G184*1000000/'Original Population'!G$158</f>
        <v>3586.9300498672383</v>
      </c>
      <c r="H173" s="60">
        <f ca="1">H184*1000000/'Original Population'!H$158</f>
        <v>3536.5144373395055</v>
      </c>
      <c r="I173" s="60">
        <f t="shared" ca="1" si="17"/>
        <v>3536.5144373395055</v>
      </c>
      <c r="J173" s="60">
        <f t="shared" ca="1" si="17"/>
        <v>3536.5144373395055</v>
      </c>
      <c r="K173" s="60">
        <f t="shared" ca="1" si="17"/>
        <v>3536.5144373395055</v>
      </c>
      <c r="L173" s="60"/>
      <c r="M173" s="60">
        <f ca="1">B162*'Total Distance Tables Sup #2'!B162*1000000/'Updated Population'!B$158</f>
        <v>3850.9374836275215</v>
      </c>
      <c r="N173" s="60">
        <f ca="1">C162*'Total Distance Tables Sup #2'!C162*1000000/'Updated Population'!C$158</f>
        <v>3791.0450071846171</v>
      </c>
      <c r="O173" s="60">
        <f ca="1">D162*'Total Distance Tables Sup #2'!D162*1000000/'Updated Population'!D$158</f>
        <v>3743.8220387077859</v>
      </c>
      <c r="P173" s="60">
        <f ca="1">E162*'Total Distance Tables Sup #2'!E162*1000000/'Updated Population'!E$158</f>
        <v>3690.7785185172252</v>
      </c>
      <c r="Q173" s="60">
        <f ca="1">F162*'Total Distance Tables Sup #2'!F162*1000000/'Updated Population'!F$158</f>
        <v>3636.3895024091862</v>
      </c>
      <c r="R173" s="60">
        <f ca="1">G162*'Total Distance Tables Sup #2'!G162*1000000/'Updated Population'!G$158</f>
        <v>3586.9300498672387</v>
      </c>
      <c r="S173" s="60">
        <f ca="1">H162*'Total Distance Tables Sup #2'!H162*1000000/'Updated Population'!H$158</f>
        <v>3536.5144373395055</v>
      </c>
      <c r="T173" s="59"/>
    </row>
    <row r="174" spans="1:20" x14ac:dyDescent="0.2">
      <c r="A174" s="59" t="str">
        <f t="shared" ca="1" si="15"/>
        <v>Taxi/Vehicle Share</v>
      </c>
      <c r="B174" s="60">
        <f ca="1">B185*1000000/'Original Population'!B$158</f>
        <v>23.110870190989733</v>
      </c>
      <c r="C174" s="60">
        <f ca="1">C185*1000000/'Original Population'!C$158</f>
        <v>24.855732768737202</v>
      </c>
      <c r="D174" s="60">
        <f ca="1">D185*1000000/'Original Population'!D$158</f>
        <v>26.564388246397606</v>
      </c>
      <c r="E174" s="60">
        <f ca="1">E185*1000000/'Original Population'!E$158</f>
        <v>28.168534624415333</v>
      </c>
      <c r="F174" s="60">
        <f ca="1">F185*1000000/'Original Population'!F$158</f>
        <v>29.576659481556408</v>
      </c>
      <c r="G174" s="60">
        <f ca="1">G185*1000000/'Original Population'!G$158</f>
        <v>30.69935400874768</v>
      </c>
      <c r="H174" s="60">
        <f ca="1">H185*1000000/'Original Population'!H$158</f>
        <v>31.844072145775701</v>
      </c>
      <c r="I174" s="60">
        <f t="shared" ca="1" si="17"/>
        <v>31.844072145775701</v>
      </c>
      <c r="J174" s="60">
        <f t="shared" ca="1" si="17"/>
        <v>31.844072145775701</v>
      </c>
      <c r="K174" s="60">
        <f t="shared" ca="1" si="17"/>
        <v>31.844072145775701</v>
      </c>
      <c r="L174" s="60"/>
      <c r="M174" s="60">
        <f ca="1">B163*'Total Distance Tables Sup #2'!B163*1000000/'Updated Population'!B$158</f>
        <v>23.110870190989733</v>
      </c>
      <c r="N174" s="60">
        <f ca="1">C163*'Total Distance Tables Sup #2'!C163*1000000/'Updated Population'!C$158</f>
        <v>24.855732768737202</v>
      </c>
      <c r="O174" s="60">
        <f ca="1">D163*'Total Distance Tables Sup #2'!D163*1000000/'Updated Population'!D$158</f>
        <v>26.564388246397606</v>
      </c>
      <c r="P174" s="60">
        <f ca="1">E163*'Total Distance Tables Sup #2'!E163*1000000/'Updated Population'!E$158</f>
        <v>28.168534624415326</v>
      </c>
      <c r="Q174" s="60">
        <f ca="1">F163*'Total Distance Tables Sup #2'!F163*1000000/'Updated Population'!F$158</f>
        <v>29.576659481556408</v>
      </c>
      <c r="R174" s="60">
        <f ca="1">G163*'Total Distance Tables Sup #2'!G163*1000000/'Updated Population'!G$158</f>
        <v>30.69935400874768</v>
      </c>
      <c r="S174" s="60">
        <f ca="1">H163*'Total Distance Tables Sup #2'!H163*1000000/'Updated Population'!H$158</f>
        <v>31.844072145775698</v>
      </c>
      <c r="T174" s="59"/>
    </row>
    <row r="175" spans="1:20" x14ac:dyDescent="0.2">
      <c r="A175" s="59" t="str">
        <f t="shared" ca="1" si="15"/>
        <v>Motorcyclist</v>
      </c>
      <c r="B175" s="60">
        <f ca="1">B186*1000000/'Original Population'!B$158</f>
        <v>56.210724388418591</v>
      </c>
      <c r="C175" s="60">
        <f ca="1">C186*1000000/'Original Population'!C$158</f>
        <v>57.193280241794888</v>
      </c>
      <c r="D175" s="60">
        <f ca="1">D186*1000000/'Original Population'!D$158</f>
        <v>57.3452397256927</v>
      </c>
      <c r="E175" s="60">
        <f ca="1">E186*1000000/'Original Population'!E$158</f>
        <v>56.0194301951868</v>
      </c>
      <c r="F175" s="60">
        <f ca="1">F186*1000000/'Original Population'!F$158</f>
        <v>54.534453906498811</v>
      </c>
      <c r="G175" s="60">
        <f ca="1">G186*1000000/'Original Population'!G$158</f>
        <v>52.504583062797806</v>
      </c>
      <c r="H175" s="60">
        <f ca="1">H186*1000000/'Original Population'!H$158</f>
        <v>50.51777351615592</v>
      </c>
      <c r="I175" s="60">
        <f t="shared" ca="1" si="17"/>
        <v>50.51777351615592</v>
      </c>
      <c r="J175" s="60">
        <f t="shared" ca="1" si="17"/>
        <v>50.51777351615592</v>
      </c>
      <c r="K175" s="60">
        <f t="shared" ca="1" si="17"/>
        <v>50.51777351615592</v>
      </c>
      <c r="L175" s="60"/>
      <c r="M175" s="60">
        <f ca="1">B164*'Total Distance Tables Sup #2'!B164*1000000/'Updated Population'!B$158</f>
        <v>56.210724388418591</v>
      </c>
      <c r="N175" s="60">
        <f ca="1">C164*'Total Distance Tables Sup #2'!C164*1000000/'Updated Population'!C$158</f>
        <v>57.193280241794888</v>
      </c>
      <c r="O175" s="60">
        <f ca="1">D164*'Total Distance Tables Sup #2'!D164*1000000/'Updated Population'!D$158</f>
        <v>57.3452397256927</v>
      </c>
      <c r="P175" s="60">
        <f ca="1">E164*'Total Distance Tables Sup #2'!E164*1000000/'Updated Population'!E$158</f>
        <v>56.0194301951868</v>
      </c>
      <c r="Q175" s="60">
        <f ca="1">F164*'Total Distance Tables Sup #2'!F164*1000000/'Updated Population'!F$158</f>
        <v>54.534453906498804</v>
      </c>
      <c r="R175" s="60">
        <f ca="1">G164*'Total Distance Tables Sup #2'!G164*1000000/'Updated Population'!G$158</f>
        <v>52.504583062797813</v>
      </c>
      <c r="S175" s="60">
        <f ca="1">H164*'Total Distance Tables Sup #2'!H164*1000000/'Updated Population'!H$158</f>
        <v>50.51777351615592</v>
      </c>
      <c r="T175" s="59"/>
    </row>
    <row r="176" spans="1:20" x14ac:dyDescent="0.2">
      <c r="A176" s="59" t="str">
        <f t="shared" ca="1" si="15"/>
        <v>Local Train</v>
      </c>
      <c r="B176" s="60">
        <f ca="1">B187*1000000/'Original Population'!B$158</f>
        <v>84.970948833753596</v>
      </c>
      <c r="C176" s="60">
        <f ca="1">C187*1000000/'Original Population'!C$158</f>
        <v>87.106644194685416</v>
      </c>
      <c r="D176" s="60">
        <f ca="1">D187*1000000/'Original Population'!D$158</f>
        <v>88.532536266445717</v>
      </c>
      <c r="E176" s="60">
        <f ca="1">E187*1000000/'Original Population'!E$158</f>
        <v>89.574221855410002</v>
      </c>
      <c r="F176" s="60">
        <f ca="1">F187*1000000/'Original Population'!F$158</f>
        <v>89.653031167687672</v>
      </c>
      <c r="G176" s="60">
        <f ca="1">G187*1000000/'Original Population'!G$158</f>
        <v>89.783624518968466</v>
      </c>
      <c r="H176" s="60">
        <f ca="1">H187*1000000/'Original Population'!H$158</f>
        <v>89.770009796410577</v>
      </c>
      <c r="I176" s="60">
        <f t="shared" ca="1" si="17"/>
        <v>89.770009796410577</v>
      </c>
      <c r="J176" s="60">
        <f t="shared" ca="1" si="17"/>
        <v>89.770009796410577</v>
      </c>
      <c r="K176" s="60">
        <f t="shared" ca="1" si="17"/>
        <v>89.770009796410577</v>
      </c>
      <c r="L176" s="60"/>
      <c r="M176" s="60">
        <f ca="1">B165*'Total Distance Tables Sup #2'!B165*1000000/'Updated Population'!B$158</f>
        <v>84.970948833753596</v>
      </c>
      <c r="N176" s="60">
        <f ca="1">C165*'Total Distance Tables Sup #2'!C165*1000000/'Updated Population'!C$158</f>
        <v>87.106644194685401</v>
      </c>
      <c r="O176" s="60">
        <f ca="1">D165*'Total Distance Tables Sup #2'!D165*1000000/'Updated Population'!D$158</f>
        <v>88.532536266445703</v>
      </c>
      <c r="P176" s="60">
        <f ca="1">E165*'Total Distance Tables Sup #2'!E165*1000000/'Updated Population'!E$158</f>
        <v>89.574221855410002</v>
      </c>
      <c r="Q176" s="60">
        <f ca="1">F165*'Total Distance Tables Sup #2'!F165*1000000/'Updated Population'!F$158</f>
        <v>89.653031167687672</v>
      </c>
      <c r="R176" s="60">
        <f ca="1">G165*'Total Distance Tables Sup #2'!G165*1000000/'Updated Population'!G$158</f>
        <v>89.78362451896848</v>
      </c>
      <c r="S176" s="60">
        <f ca="1">H165*'Total Distance Tables Sup #2'!H165*1000000/'Updated Population'!H$158</f>
        <v>89.770009796410591</v>
      </c>
      <c r="T176" s="59"/>
    </row>
    <row r="177" spans="1:20" x14ac:dyDescent="0.2">
      <c r="A177" s="59" t="s">
        <v>16</v>
      </c>
      <c r="B177" s="60">
        <f ca="1">B188*1000000/'Original Population'!B$169</f>
        <v>175.4995594451232</v>
      </c>
      <c r="C177" s="60">
        <f ca="1">C188*1000000/'Original Population'!C$169</f>
        <v>160.08923083867865</v>
      </c>
      <c r="D177" s="60">
        <f ca="1">D188*1000000/'Original Population'!D$169</f>
        <v>150.88824951559178</v>
      </c>
      <c r="E177" s="60">
        <f ca="1">E188*1000000/'Original Population'!E$169</f>
        <v>144.20955193319145</v>
      </c>
      <c r="F177" s="60">
        <f ca="1">F188*1000000/'Original Population'!F$169</f>
        <v>136.53022898490403</v>
      </c>
      <c r="G177" s="60">
        <f ca="1">G188*1000000/'Original Population'!G$169</f>
        <v>131.53050688272188</v>
      </c>
      <c r="H177" s="60">
        <f ca="1">H188*1000000/'Original Population'!H$169</f>
        <v>126.67545106444955</v>
      </c>
      <c r="I177" s="60">
        <f t="shared" ca="1" si="17"/>
        <v>126.67545106444955</v>
      </c>
      <c r="J177" s="60">
        <f t="shared" ca="1" si="17"/>
        <v>126.67545106444955</v>
      </c>
      <c r="K177" s="60">
        <f t="shared" ca="1" si="17"/>
        <v>126.67545106444955</v>
      </c>
      <c r="L177" s="60"/>
      <c r="M177" s="60">
        <f ca="1">B166*'Total Distance Tables Sup #2'!B166*1000000/'Updated Population'!B$169</f>
        <v>175.4995594451232</v>
      </c>
      <c r="N177" s="60">
        <f ca="1">C166*'Total Distance Tables Sup #2'!C166*1000000/'Updated Population'!C$169</f>
        <v>160.08923083867865</v>
      </c>
      <c r="O177" s="60">
        <f ca="1">D166*'Total Distance Tables Sup #2'!D166*1000000/'Updated Population'!D$169</f>
        <v>150.88824951559178</v>
      </c>
      <c r="P177" s="60">
        <f ca="1">E166*'Total Distance Tables Sup #2'!E166*1000000/'Updated Population'!E$169</f>
        <v>144.20955193319145</v>
      </c>
      <c r="Q177" s="60">
        <f ca="1">F166*'Total Distance Tables Sup #2'!F166*1000000/'Updated Population'!F$169</f>
        <v>136.53022898490406</v>
      </c>
      <c r="R177" s="60">
        <f ca="1">G166*'Total Distance Tables Sup #2'!G166*1000000/'Updated Population'!G$169</f>
        <v>131.53050688272185</v>
      </c>
      <c r="S177" s="60">
        <f ca="1">H166*'Total Distance Tables Sup #2'!H166*1000000/'Updated Population'!H$169</f>
        <v>126.67545106444955</v>
      </c>
      <c r="T177" s="59"/>
    </row>
    <row r="178" spans="1:20" x14ac:dyDescent="0.2">
      <c r="A178" s="59" t="str">
        <f t="shared" ca="1" si="15"/>
        <v>Local Ferry</v>
      </c>
      <c r="B178" s="60">
        <f ca="1">IF(B189=0,1,B189*1000000/'Original Population'!B$158)</f>
        <v>1</v>
      </c>
      <c r="C178" s="60">
        <f ca="1">C189*1000000/'Original Population'!C$158</f>
        <v>0</v>
      </c>
      <c r="D178" s="60">
        <f ca="1">D189*1000000/'Original Population'!D$158</f>
        <v>0</v>
      </c>
      <c r="E178" s="60">
        <f ca="1">E189*1000000/'Original Population'!E$158</f>
        <v>0</v>
      </c>
      <c r="F178" s="60">
        <f ca="1">F189*1000000/'Original Population'!F$158</f>
        <v>0</v>
      </c>
      <c r="G178" s="60">
        <f ca="1">G189*1000000/'Original Population'!G$158</f>
        <v>0</v>
      </c>
      <c r="H178" s="60">
        <f ca="1">H189*1000000/'Original Population'!H$158</f>
        <v>0</v>
      </c>
      <c r="I178" s="60">
        <f t="shared" ca="1" si="17"/>
        <v>0</v>
      </c>
      <c r="J178" s="60">
        <f t="shared" ca="1" si="17"/>
        <v>0</v>
      </c>
      <c r="K178" s="60">
        <f t="shared" ca="1" si="17"/>
        <v>0</v>
      </c>
      <c r="L178" s="60"/>
      <c r="M178" s="60">
        <f ca="1">B167*'Total Distance Tables Sup #2'!B167*1000000/'Updated Population'!B$158</f>
        <v>0</v>
      </c>
      <c r="N178" s="60">
        <f ca="1">C167*'Total Distance Tables Sup #2'!C167*1000000/'Updated Population'!C$158</f>
        <v>0</v>
      </c>
      <c r="O178" s="60">
        <f ca="1">D167*'Total Distance Tables Sup #2'!D167*1000000/'Updated Population'!D$158</f>
        <v>0</v>
      </c>
      <c r="P178" s="60">
        <f ca="1">E167*'Total Distance Tables Sup #2'!E167*1000000/'Updated Population'!E$158</f>
        <v>0</v>
      </c>
      <c r="Q178" s="60">
        <f ca="1">F167*'Total Distance Tables Sup #2'!F167*1000000/'Updated Population'!F$158</f>
        <v>0</v>
      </c>
      <c r="R178" s="60">
        <f ca="1">G167*'Total Distance Tables Sup #2'!G167*1000000/'Updated Population'!G$158</f>
        <v>0</v>
      </c>
      <c r="S178" s="60">
        <f ca="1">H167*'Total Distance Tables Sup #2'!H167*1000000/'Updated Population'!H$158</f>
        <v>0</v>
      </c>
      <c r="T178" s="59"/>
    </row>
    <row r="179" spans="1:20" x14ac:dyDescent="0.2">
      <c r="A179" s="59" t="str">
        <f t="shared" ca="1" si="15"/>
        <v>Other Household Travel</v>
      </c>
      <c r="B179" s="60">
        <f ca="1">B190*1000000/'Original Population'!B$158</f>
        <v>0.41070647302773777</v>
      </c>
      <c r="C179" s="60">
        <f ca="1">C190*1000000/'Original Population'!C$158</f>
        <v>0.38602152261550476</v>
      </c>
      <c r="D179" s="60">
        <f ca="1">D190*1000000/'Original Population'!D$158</f>
        <v>0.35663486756532808</v>
      </c>
      <c r="E179" s="60">
        <f ca="1">E190*1000000/'Original Population'!E$158</f>
        <v>0.33623352176613297</v>
      </c>
      <c r="F179" s="60">
        <f ca="1">F190*1000000/'Original Population'!F$158</f>
        <v>0.30372171041046098</v>
      </c>
      <c r="G179" s="60">
        <f ca="1">G190*1000000/'Original Population'!G$158</f>
        <v>0.26240231151565852</v>
      </c>
      <c r="H179" s="60">
        <f ca="1">H190*1000000/'Original Population'!H$158</f>
        <v>0.22536568009150887</v>
      </c>
      <c r="I179" s="60">
        <f t="shared" ca="1" si="17"/>
        <v>0.22536568009150887</v>
      </c>
      <c r="J179" s="60">
        <f t="shared" ca="1" si="17"/>
        <v>0.22536568009150887</v>
      </c>
      <c r="K179" s="60">
        <f t="shared" ca="1" si="17"/>
        <v>0.22536568009150887</v>
      </c>
      <c r="L179" s="60"/>
      <c r="M179" s="60">
        <f ca="1">B168*'Total Distance Tables Sup #2'!B168*1000000/'Updated Population'!B$158</f>
        <v>0.41070647302773777</v>
      </c>
      <c r="N179" s="60">
        <f ca="1">C168*'Total Distance Tables Sup #2'!C168*1000000/'Updated Population'!C$158</f>
        <v>0.38602152261550482</v>
      </c>
      <c r="O179" s="60">
        <f ca="1">D168*'Total Distance Tables Sup #2'!D168*1000000/'Updated Population'!D$158</f>
        <v>0.35663486756532808</v>
      </c>
      <c r="P179" s="60">
        <f ca="1">E168*'Total Distance Tables Sup #2'!E168*1000000/'Updated Population'!E$158</f>
        <v>0.33623352176613297</v>
      </c>
      <c r="Q179" s="60">
        <f ca="1">F168*'Total Distance Tables Sup #2'!F168*1000000/'Updated Population'!F$158</f>
        <v>0.30372171041046092</v>
      </c>
      <c r="R179" s="60">
        <f ca="1">G168*'Total Distance Tables Sup #2'!G168*1000000/'Updated Population'!G$158</f>
        <v>0.26240231151565846</v>
      </c>
      <c r="S179" s="60">
        <f ca="1">H168*'Total Distance Tables Sup #2'!H168*1000000/'Updated Population'!H$158</f>
        <v>0.22536568009150892</v>
      </c>
      <c r="T179" s="59"/>
    </row>
    <row r="180" spans="1:20" x14ac:dyDescent="0.2">
      <c r="A180" t="s">
        <v>21</v>
      </c>
    </row>
    <row r="181" spans="1:20" x14ac:dyDescent="0.2">
      <c r="A181" t="str">
        <f t="shared" ref="A181:A187" ca="1" si="18">A27</f>
        <v>Pedestrian</v>
      </c>
      <c r="B181" s="4">
        <f ca="1">'Total Distance Tables Original'!B159</f>
        <v>807.42091028530001</v>
      </c>
      <c r="C181" s="4">
        <f ca="1">'Total Distance Tables Original'!C159</f>
        <v>856.64129266550003</v>
      </c>
      <c r="D181" s="4">
        <f ca="1">'Total Distance Tables Original'!D159</f>
        <v>887.30400521640013</v>
      </c>
      <c r="E181" s="4">
        <f ca="1">'Total Distance Tables Original'!E159</f>
        <v>915.27170615310001</v>
      </c>
      <c r="F181" s="4">
        <f ca="1">'Total Distance Tables Original'!F159</f>
        <v>935.47015842640019</v>
      </c>
      <c r="G181" s="4">
        <f ca="1">'Total Distance Tables Original'!G159</f>
        <v>954.49748198500004</v>
      </c>
      <c r="H181" s="4">
        <f ca="1">'Total Distance Tables Original'!H159</f>
        <v>969.55279570660014</v>
      </c>
      <c r="I181" s="1">
        <f ca="1">'Total Distance Tables Original'!I159</f>
        <v>993.21232930771589</v>
      </c>
      <c r="J181" s="1">
        <f ca="1">'Total Distance Tables Original'!J159</f>
        <v>1014.5309943770831</v>
      </c>
      <c r="K181" s="1">
        <f ca="1">'Total Distance Tables Original'!K159</f>
        <v>1034.40445772918</v>
      </c>
    </row>
    <row r="182" spans="1:20" x14ac:dyDescent="0.2">
      <c r="A182" t="str">
        <f t="shared" ca="1" si="18"/>
        <v>Cyclist</v>
      </c>
      <c r="B182" s="4">
        <f ca="1">'Total Distance Tables Original'!B160</f>
        <v>312.57850166600002</v>
      </c>
      <c r="C182" s="4">
        <f ca="1">'Total Distance Tables Original'!C160</f>
        <v>341.00269721399991</v>
      </c>
      <c r="D182" s="4">
        <f ca="1">'Total Distance Tables Original'!D160</f>
        <v>356.25768458800002</v>
      </c>
      <c r="E182" s="4">
        <f ca="1">'Total Distance Tables Original'!E160</f>
        <v>365.30776913200003</v>
      </c>
      <c r="F182" s="4">
        <f ca="1">'Total Distance Tables Original'!F160</f>
        <v>378.68349619380001</v>
      </c>
      <c r="G182" s="4">
        <f ca="1">'Total Distance Tables Original'!G160</f>
        <v>397.52460378559999</v>
      </c>
      <c r="H182" s="4">
        <f ca="1">'Total Distance Tables Original'!H160</f>
        <v>416.05578923849993</v>
      </c>
      <c r="I182" s="1">
        <f ca="1">'Total Distance Tables Original'!I160</f>
        <v>424.2885123696941</v>
      </c>
      <c r="J182" s="1">
        <f ca="1">'Total Distance Tables Original'!J160</f>
        <v>431.4265632611681</v>
      </c>
      <c r="K182" s="1">
        <f ca="1">'Total Distance Tables Original'!K160</f>
        <v>437.86293416051387</v>
      </c>
    </row>
    <row r="183" spans="1:20" x14ac:dyDescent="0.2">
      <c r="A183" t="str">
        <f t="shared" ca="1" si="18"/>
        <v>Light Vehicle Driver</v>
      </c>
      <c r="B183" s="4">
        <f ca="1">'Total Distance Tables Original'!B161</f>
        <v>30373.708042980001</v>
      </c>
      <c r="C183" s="4">
        <f ca="1">'Total Distance Tables Original'!C161</f>
        <v>33303.085064360006</v>
      </c>
      <c r="D183" s="4">
        <f ca="1">'Total Distance Tables Original'!D161</f>
        <v>35215.859621280011</v>
      </c>
      <c r="E183" s="4">
        <f ca="1">'Total Distance Tables Original'!E161</f>
        <v>36700.494803370006</v>
      </c>
      <c r="F183" s="4">
        <f ca="1">'Total Distance Tables Original'!F161</f>
        <v>38097.275860549998</v>
      </c>
      <c r="G183" s="4">
        <f ca="1">'Total Distance Tables Original'!G161</f>
        <v>39187.284433549998</v>
      </c>
      <c r="H183" s="4">
        <f ca="1">'Total Distance Tables Original'!H161</f>
        <v>40148.179364349999</v>
      </c>
      <c r="I183" s="1">
        <f ca="1">'Total Distance Tables Original'!I161</f>
        <v>41037.658124905771</v>
      </c>
      <c r="J183" s="1">
        <f ca="1">'Total Distance Tables Original'!J161</f>
        <v>41826.69673941176</v>
      </c>
      <c r="K183" s="1">
        <f ca="1">'Total Distance Tables Original'!K161</f>
        <v>42552.81533484449</v>
      </c>
    </row>
    <row r="184" spans="1:20" x14ac:dyDescent="0.2">
      <c r="A184" t="str">
        <f t="shared" ca="1" si="18"/>
        <v>Light Vehicle Passenger</v>
      </c>
      <c r="B184" s="4">
        <f ca="1">'Total Distance Tables Original'!B162</f>
        <v>17104.323927279998</v>
      </c>
      <c r="C184" s="4">
        <f ca="1">'Total Distance Tables Original'!C162</f>
        <v>17961.59213954</v>
      </c>
      <c r="D184" s="4">
        <f ca="1">'Total Distance Tables Original'!D162</f>
        <v>18524.805829729998</v>
      </c>
      <c r="E184" s="4">
        <f ca="1">'Total Distance Tables Original'!E162</f>
        <v>19016.736316660001</v>
      </c>
      <c r="F184" s="4">
        <f ca="1">'Total Distance Tables Original'!F162</f>
        <v>19410.683524909997</v>
      </c>
      <c r="G184" s="4">
        <f ca="1">'Total Distance Tables Original'!G162</f>
        <v>19723.093572199996</v>
      </c>
      <c r="H184" s="4">
        <f ca="1">'Total Distance Tables Original'!H162</f>
        <v>19941.697609270002</v>
      </c>
      <c r="I184" s="1">
        <f ca="1">'Total Distance Tables Original'!I162</f>
        <v>20376.873462857951</v>
      </c>
      <c r="J184" s="1">
        <f ca="1">'Total Distance Tables Original'!J162</f>
        <v>20761.859503791344</v>
      </c>
      <c r="K184" s="1">
        <f ca="1">'Total Distance Tables Original'!K162</f>
        <v>21115.325155063743</v>
      </c>
    </row>
    <row r="185" spans="1:20" x14ac:dyDescent="0.2">
      <c r="A185" t="str">
        <f t="shared" ca="1" si="18"/>
        <v>Taxi/Vehicle Share</v>
      </c>
      <c r="B185" s="4">
        <f ca="1">'Total Distance Tables Original'!B163</f>
        <v>102.6492410403</v>
      </c>
      <c r="C185" s="4">
        <f ca="1">'Total Distance Tables Original'!C163</f>
        <v>117.76397628499998</v>
      </c>
      <c r="D185" s="4">
        <f ca="1">'Total Distance Tables Original'!D163</f>
        <v>131.443249482</v>
      </c>
      <c r="E185" s="4">
        <f ca="1">'Total Distance Tables Original'!E163</f>
        <v>145.1383746523</v>
      </c>
      <c r="F185" s="4">
        <f ca="1">'Total Distance Tables Original'!F163</f>
        <v>157.87725064659995</v>
      </c>
      <c r="G185" s="4">
        <f ca="1">'Total Distance Tables Original'!G163</f>
        <v>168.80346795249997</v>
      </c>
      <c r="H185" s="4">
        <f ca="1">'Total Distance Tables Original'!H163</f>
        <v>179.56235401560002</v>
      </c>
      <c r="I185" s="1">
        <f ca="1">'Total Distance Tables Original'!I163</f>
        <v>184.45598488055276</v>
      </c>
      <c r="J185" s="1">
        <f ca="1">'Total Distance Tables Original'!J163</f>
        <v>188.94412339122701</v>
      </c>
      <c r="K185" s="1">
        <f ca="1">'Total Distance Tables Original'!K163</f>
        <v>193.19025625927955</v>
      </c>
    </row>
    <row r="186" spans="1:20" x14ac:dyDescent="0.2">
      <c r="A186" t="str">
        <f t="shared" ca="1" si="18"/>
        <v>Motorcyclist</v>
      </c>
      <c r="B186" s="4">
        <f ca="1">'Total Distance Tables Original'!B164</f>
        <v>249.6655534436</v>
      </c>
      <c r="C186" s="4">
        <f ca="1">'Total Distance Tables Original'!C164</f>
        <v>270.97604245759999</v>
      </c>
      <c r="D186" s="4">
        <f ca="1">'Total Distance Tables Original'!D164</f>
        <v>283.74998068670004</v>
      </c>
      <c r="E186" s="4">
        <f ca="1">'Total Distance Tables Original'!E164</f>
        <v>288.64011408069996</v>
      </c>
      <c r="F186" s="4">
        <f ca="1">'Total Distance Tables Original'!F164</f>
        <v>291.0994615075</v>
      </c>
      <c r="G186" s="4">
        <f ca="1">'Total Distance Tables Original'!G164</f>
        <v>288.70170042910001</v>
      </c>
      <c r="H186" s="4">
        <f ca="1">'Total Distance Tables Original'!H164</f>
        <v>284.8596213029</v>
      </c>
      <c r="I186" s="1">
        <f ca="1">'Total Distance Tables Original'!I164</f>
        <v>289.19376342378018</v>
      </c>
      <c r="J186" s="1">
        <f ca="1">'Total Distance Tables Original'!J164</f>
        <v>292.75921796233291</v>
      </c>
      <c r="K186" s="1">
        <f ca="1">'Total Distance Tables Original'!K164</f>
        <v>295.83290154554112</v>
      </c>
    </row>
    <row r="187" spans="1:20" x14ac:dyDescent="0.2">
      <c r="A187" t="str">
        <f t="shared" ca="1" si="18"/>
        <v>Local Train</v>
      </c>
      <c r="B187" s="4">
        <f ca="1">'Total Distance Tables Original'!B22+'Total Distance Tables Original'!B99</f>
        <v>377.40696634</v>
      </c>
      <c r="C187" s="4">
        <f ca="1">'Total Distance Tables Original'!C22+'Total Distance Tables Original'!C99</f>
        <v>412.70256953000001</v>
      </c>
      <c r="D187" s="4">
        <f ca="1">'Total Distance Tables Original'!D22+'Total Distance Tables Original'!D99</f>
        <v>438.06784270000003</v>
      </c>
      <c r="E187" s="4">
        <f ca="1">'Total Distance Tables Original'!E22+'Total Distance Tables Original'!E99</f>
        <v>461.53117811000004</v>
      </c>
      <c r="F187" s="4">
        <f ca="1">'Total Distance Tables Original'!F22+'Total Distance Tables Original'!F99</f>
        <v>478.55891507000001</v>
      </c>
      <c r="G187" s="4">
        <f ca="1">'Total Distance Tables Original'!G22+'Total Distance Tables Original'!G99</f>
        <v>493.68423777999999</v>
      </c>
      <c r="H187" s="4">
        <f ca="1">'Total Distance Tables Original'!H22+'Total Distance Tables Original'!H99</f>
        <v>506.19513123999997</v>
      </c>
      <c r="I187" s="1">
        <f ca="1">'Total Distance Tables Original'!I22+'Total Distance Tables Original'!I99</f>
        <v>516.62409473268337</v>
      </c>
      <c r="J187" s="1">
        <f ca="1">'Total Distance Tables Original'!J22+'Total Distance Tables Original'!J99</f>
        <v>525.74746220048519</v>
      </c>
      <c r="K187" s="1">
        <f ca="1">'Total Distance Tables Original'!K22+'Total Distance Tables Original'!K99</f>
        <v>534.04371468738839</v>
      </c>
    </row>
    <row r="188" spans="1:20" x14ac:dyDescent="0.2">
      <c r="A188" t="s">
        <v>16</v>
      </c>
      <c r="B188" s="4">
        <f ca="1">'Total Distance Tables Original'!B12+'Total Distance Tables Original'!B34+'Total Distance Tables Original'!B45+'Total Distance Tables Original'!B56+'Total Distance Tables Original'!B67+'Total Distance Tables Original'!B78+'Total Distance Tables Original'!B89+'Total Distance Tables Original'!B111+'Total Distance Tables Original'!B122+'Total Distance Tables Original'!B144+'Total Distance Tables Original'!B155</f>
        <v>333.23856347439994</v>
      </c>
      <c r="C188" s="4">
        <f ca="1">'Total Distance Tables Original'!C12+'Total Distance Tables Original'!C34+'Total Distance Tables Original'!C45+'Total Distance Tables Original'!C56+'Total Distance Tables Original'!C67+'Total Distance Tables Original'!C78+'Total Distance Tables Original'!C89+'Total Distance Tables Original'!C111+'Total Distance Tables Original'!C122+'Total Distance Tables Original'!C144+'Total Distance Tables Original'!C155</f>
        <v>315.96811490630006</v>
      </c>
      <c r="D188" s="4">
        <f ca="1">'Total Distance Tables Original'!D12+'Total Distance Tables Original'!D34+'Total Distance Tables Original'!D45+'Total Distance Tables Original'!D56+'Total Distance Tables Original'!D67+'Total Distance Tables Original'!D78+'Total Distance Tables Original'!D89+'Total Distance Tables Original'!D111+'Total Distance Tables Original'!D122+'Total Distance Tables Original'!D144+'Total Distance Tables Original'!D155</f>
        <v>305.32237289479997</v>
      </c>
      <c r="E188" s="4">
        <f ca="1">'Total Distance Tables Original'!E12+'Total Distance Tables Original'!E34+'Total Distance Tables Original'!E45+'Total Distance Tables Original'!E56+'Total Distance Tables Original'!E67+'Total Distance Tables Original'!E78+'Total Distance Tables Original'!E89+'Total Distance Tables Original'!E111+'Total Distance Tables Original'!E122+'Total Distance Tables Original'!E144+'Total Distance Tables Original'!E155</f>
        <v>298.09556480110001</v>
      </c>
      <c r="F188" s="4">
        <f ca="1">'Total Distance Tables Original'!F12+'Total Distance Tables Original'!F34+'Total Distance Tables Original'!F45+'Total Distance Tables Original'!F56+'Total Distance Tables Original'!F67+'Total Distance Tables Original'!F78+'Total Distance Tables Original'!F89+'Total Distance Tables Original'!F111+'Total Distance Tables Original'!F122+'Total Distance Tables Original'!F144+'Total Distance Tables Original'!F155</f>
        <v>286.69982784539997</v>
      </c>
      <c r="G188" s="4">
        <f ca="1">'Total Distance Tables Original'!G12+'Total Distance Tables Original'!G34+'Total Distance Tables Original'!G45+'Total Distance Tables Original'!G56+'Total Distance Tables Original'!G67+'Total Distance Tables Original'!G78+'Total Distance Tables Original'!G89+'Total Distance Tables Original'!G111+'Total Distance Tables Original'!G122+'Total Distance Tables Original'!G144+'Total Distance Tables Original'!G155</f>
        <v>278.92359289550001</v>
      </c>
      <c r="H188" s="4">
        <f ca="1">'Total Distance Tables Original'!H12+'Total Distance Tables Original'!H34+'Total Distance Tables Original'!H45+'Total Distance Tables Original'!H56+'Total Distance Tables Original'!H67+'Total Distance Tables Original'!H78+'Total Distance Tables Original'!H89+'Total Distance Tables Original'!H111+'Total Distance Tables Original'!H122+'Total Distance Tables Original'!H144+'Total Distance Tables Original'!H155</f>
        <v>270.05939412430001</v>
      </c>
      <c r="I188" s="1">
        <f ca="1">'Total Distance Tables Original'!I12+'Total Distance Tables Original'!I34+'Total Distance Tables Original'!I45+'Total Distance Tables Original'!I56+'Total Distance Tables Original'!I67+'Total Distance Tables Original'!I78+'Total Distance Tables Original'!I89+'Total Distance Tables Original'!I111+'Total Distance Tables Original'!I122+'Total Distance Tables Original'!I144+'Total Distance Tables Original'!I155</f>
        <v>271.24169741825028</v>
      </c>
      <c r="J188" s="1">
        <f ca="1">'Total Distance Tables Original'!J12+'Total Distance Tables Original'!J34+'Total Distance Tables Original'!J45+'Total Distance Tables Original'!J56+'Total Distance Tables Original'!J67+'Total Distance Tables Original'!J78+'Total Distance Tables Original'!J89+'Total Distance Tables Original'!J111+'Total Distance Tables Original'!J122+'Total Distance Tables Original'!J144+'Total Distance Tables Original'!J155</f>
        <v>271.60412642214908</v>
      </c>
      <c r="K188" s="1">
        <f ca="1">'Total Distance Tables Original'!K12+'Total Distance Tables Original'!K34+'Total Distance Tables Original'!K45+'Total Distance Tables Original'!K56+'Total Distance Tables Original'!K67+'Total Distance Tables Original'!K78+'Total Distance Tables Original'!K89+'Total Distance Tables Original'!K111+'Total Distance Tables Original'!K122+'Total Distance Tables Original'!K144+'Total Distance Tables Original'!K155</f>
        <v>271.42454324153897</v>
      </c>
    </row>
    <row r="189" spans="1:20" x14ac:dyDescent="0.2">
      <c r="A189" t="str">
        <f ca="1">A35</f>
        <v>Local Ferry</v>
      </c>
      <c r="B189" s="4">
        <f ca="1">'Total Distance Tables Original'!B167</f>
        <v>0</v>
      </c>
      <c r="C189" s="4">
        <f ca="1">'Total Distance Tables Original'!C167</f>
        <v>0</v>
      </c>
      <c r="D189" s="4">
        <f ca="1">'Total Distance Tables Original'!D167</f>
        <v>0</v>
      </c>
      <c r="E189" s="4">
        <f ca="1">'Total Distance Tables Original'!E167</f>
        <v>0</v>
      </c>
      <c r="F189" s="4">
        <f ca="1">'Total Distance Tables Original'!F167</f>
        <v>0</v>
      </c>
      <c r="G189" s="4">
        <f ca="1">'Total Distance Tables Original'!G167</f>
        <v>0</v>
      </c>
      <c r="H189" s="4">
        <f ca="1">'Total Distance Tables Original'!H167</f>
        <v>0</v>
      </c>
      <c r="I189" s="1">
        <f ca="1">'Total Distance Tables Original'!I167</f>
        <v>0</v>
      </c>
      <c r="J189" s="1">
        <f ca="1">'Total Distance Tables Original'!J167</f>
        <v>0</v>
      </c>
      <c r="K189" s="1">
        <f ca="1">'Total Distance Tables Original'!K167</f>
        <v>0</v>
      </c>
    </row>
    <row r="190" spans="1:20" x14ac:dyDescent="0.2">
      <c r="A190" t="str">
        <f ca="1">A36</f>
        <v>Other Household Travel</v>
      </c>
      <c r="B190" s="4">
        <f ca="1">'Total Distance Tables Original'!B168</f>
        <v>1.8241938706</v>
      </c>
      <c r="C190" s="4">
        <f ca="1">'Total Distance Tables Original'!C168</f>
        <v>1.828931372</v>
      </c>
      <c r="D190" s="4">
        <f ca="1">'Total Distance Tables Original'!D168</f>
        <v>1.7646649882000001</v>
      </c>
      <c r="E190" s="4">
        <f ca="1">'Total Distance Tables Original'!E168</f>
        <v>1.7324432209</v>
      </c>
      <c r="F190" s="4">
        <f ca="1">'Total Distance Tables Original'!F168</f>
        <v>1.6212361179999999</v>
      </c>
      <c r="G190" s="4">
        <f ca="1">'Total Distance Tables Original'!G168</f>
        <v>1.4428453501</v>
      </c>
      <c r="H190" s="4">
        <f ca="1">'Total Distance Tables Original'!H168</f>
        <v>1.2707919969000001</v>
      </c>
      <c r="I190" s="1">
        <f ca="1">'Total Distance Tables Original'!I168</f>
        <v>1.3254047615145281</v>
      </c>
      <c r="J190" s="1">
        <f ca="1">'Total Distance Tables Original'!J168</f>
        <v>1.3779642257668996</v>
      </c>
      <c r="K190" s="1">
        <f ca="1">'Total Distance Tables Original'!K168</f>
        <v>1.4295291899033604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B177:D177 E177:H17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14</vt:i4>
      </vt:variant>
    </vt:vector>
  </HeadingPairs>
  <TitlesOfParts>
    <vt:vector size="34" baseType="lpstr">
      <vt:lpstr>Provenance</vt:lpstr>
      <vt:lpstr>Total Trip Tables</vt:lpstr>
      <vt:lpstr>Total Distance Tables</vt:lpstr>
      <vt:lpstr>Total Duration Tables</vt:lpstr>
      <vt:lpstr>Total Trip Tables Sup #2</vt:lpstr>
      <vt:lpstr>Total Trip Tables Sup #1</vt:lpstr>
      <vt:lpstr>Total Trip Tables Original</vt:lpstr>
      <vt:lpstr>Total Distance Tables Sup #2</vt:lpstr>
      <vt:lpstr>Total Distance Tables Sup #1</vt:lpstr>
      <vt:lpstr>Total Distance Tables Original</vt:lpstr>
      <vt:lpstr>Total Duration Tables Sup #2</vt:lpstr>
      <vt:lpstr>Total Duration Tables Sup #1</vt:lpstr>
      <vt:lpstr>Total Duration Tables Original</vt:lpstr>
      <vt:lpstr>Original Population</vt:lpstr>
      <vt:lpstr>Updated Population</vt:lpstr>
      <vt:lpstr>Formatted Trip Summary</vt:lpstr>
      <vt:lpstr>Unformatted Trip Summary</vt:lpstr>
      <vt:lpstr>Active Mode Assumptions</vt:lpstr>
      <vt:lpstr>PT Assumptions</vt:lpstr>
      <vt:lpstr>Other Assumptions</vt:lpstr>
      <vt:lpstr>Auckland_Reference</vt:lpstr>
      <vt:lpstr>BOP_Reference</vt:lpstr>
      <vt:lpstr>Canterbury_Reference</vt:lpstr>
      <vt:lpstr>Gisborne_Reference</vt:lpstr>
      <vt:lpstr>Hawkes_Bay_Reference</vt:lpstr>
      <vt:lpstr>Manawatu_Reference</vt:lpstr>
      <vt:lpstr>Nelson_Reference</vt:lpstr>
      <vt:lpstr>Northland_Reference</vt:lpstr>
      <vt:lpstr>Otago_Reference</vt:lpstr>
      <vt:lpstr>Southland_Reference</vt:lpstr>
      <vt:lpstr>Taranaki_Reference</vt:lpstr>
      <vt:lpstr>Waikato_Reference</vt:lpstr>
      <vt:lpstr>Wellington_Reference</vt:lpstr>
      <vt:lpstr>West_Coast_Reference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Samuelson</dc:creator>
  <cp:lastModifiedBy>Eruera West</cp:lastModifiedBy>
  <cp:lastPrinted>2017-05-08T03:06:17Z</cp:lastPrinted>
  <dcterms:created xsi:type="dcterms:W3CDTF">2016-05-18T22:59:49Z</dcterms:created>
  <dcterms:modified xsi:type="dcterms:W3CDTF">2019-06-05T23:34:33Z</dcterms:modified>
</cp:coreProperties>
</file>